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GitHub\ShipGame\data\"/>
    </mc:Choice>
  </mc:AlternateContent>
  <xr:revisionPtr revIDLastSave="0" documentId="13_ncr:1_{8D1B5112-243D-4A4F-8A5A-400AAF8B7CB4}" xr6:coauthVersionLast="36" xr6:coauthVersionMax="36" xr10:uidLastSave="{00000000-0000-0000-0000-000000000000}"/>
  <bookViews>
    <workbookView xWindow="0" yWindow="0" windowWidth="19200" windowHeight="896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0" i="1" l="1"/>
  <c r="E117" i="1"/>
  <c r="E118" i="1" s="1"/>
  <c r="E119" i="1"/>
  <c r="E115" i="1"/>
  <c r="E121" i="1" s="1"/>
  <c r="D123" i="1"/>
  <c r="D124" i="1"/>
  <c r="D125" i="1"/>
  <c r="D126" i="1"/>
  <c r="D127" i="1"/>
  <c r="D128" i="1"/>
  <c r="D129" i="1"/>
  <c r="D130" i="1"/>
  <c r="D131" i="1"/>
  <c r="C122" i="1"/>
  <c r="D121" i="1"/>
  <c r="D122" i="1"/>
  <c r="C115" i="1"/>
  <c r="D115" i="1"/>
  <c r="D117" i="1"/>
  <c r="D118" i="1" s="1"/>
  <c r="D119" i="1"/>
  <c r="D120" i="1"/>
  <c r="E125" i="1" l="1"/>
  <c r="E122" i="1" s="1"/>
  <c r="E124" i="1"/>
  <c r="E123" i="1"/>
  <c r="E131" i="1"/>
  <c r="E130" i="1"/>
  <c r="E129" i="1"/>
  <c r="E128" i="1"/>
  <c r="E127" i="1"/>
  <c r="E126" i="1"/>
  <c r="C295" i="1"/>
  <c r="C322" i="1"/>
  <c r="C274" i="1"/>
  <c r="C266" i="1"/>
  <c r="C24" i="1"/>
  <c r="C77" i="1"/>
  <c r="C78" i="1"/>
  <c r="C79" i="1" s="1"/>
  <c r="C72" i="1"/>
  <c r="C73" i="1"/>
  <c r="C71" i="1"/>
  <c r="C303" i="1"/>
  <c r="C272" i="1"/>
  <c r="C253" i="1"/>
  <c r="C267" i="1"/>
  <c r="C229" i="1"/>
  <c r="C230" i="1" s="1"/>
  <c r="C228" i="1"/>
  <c r="C234" i="1"/>
  <c r="C256" i="1"/>
  <c r="C264" i="1" s="1"/>
  <c r="C262" i="1" l="1"/>
  <c r="C258" i="1"/>
  <c r="C257" i="1"/>
  <c r="C260" i="1"/>
  <c r="C120" i="1"/>
  <c r="C259" i="1" l="1"/>
  <c r="C268" i="1" s="1"/>
  <c r="C265" i="1"/>
  <c r="C271" i="1" s="1"/>
  <c r="C273" i="1"/>
  <c r="C261" i="1"/>
  <c r="C269" i="1" s="1"/>
  <c r="C263" i="1"/>
  <c r="C270" i="1" s="1"/>
  <c r="C81" i="1"/>
  <c r="C294" i="1" l="1"/>
  <c r="C67" i="1" l="1"/>
  <c r="C63" i="1"/>
  <c r="C51" i="1"/>
  <c r="C41" i="1"/>
  <c r="C14" i="1" l="1"/>
  <c r="C84" i="1" s="1"/>
  <c r="C86" i="1" l="1"/>
  <c r="C301" i="1"/>
  <c r="AK25" i="3"/>
  <c r="AL25" i="3"/>
  <c r="AM25" i="3"/>
  <c r="AK24" i="3"/>
  <c r="AL24" i="3"/>
  <c r="AM24" i="3"/>
  <c r="AK7" i="3"/>
  <c r="AL7" i="3"/>
  <c r="AM7" i="3"/>
  <c r="AL2" i="3"/>
  <c r="AM2" i="3"/>
  <c r="AL3" i="3"/>
  <c r="AM3" i="3"/>
  <c r="AK3" i="3"/>
  <c r="AK2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8" i="3"/>
  <c r="D18" i="3"/>
  <c r="E18" i="3"/>
  <c r="F18" i="3"/>
  <c r="B18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0" i="3"/>
  <c r="C297" i="1" l="1"/>
  <c r="C304" i="1"/>
  <c r="C309" i="1"/>
  <c r="C306" i="1" l="1"/>
  <c r="C10" i="1" l="1"/>
  <c r="G5" i="3"/>
  <c r="H5" i="3"/>
  <c r="Q5" i="3"/>
  <c r="T5" i="3"/>
  <c r="U5" i="3"/>
  <c r="Y5" i="3"/>
  <c r="AB5" i="3"/>
  <c r="AC5" i="3"/>
  <c r="AG5" i="3"/>
  <c r="AL5" i="3"/>
  <c r="AO5" i="3"/>
  <c r="AQ5" i="3"/>
  <c r="C29" i="1"/>
  <c r="C82" i="1"/>
  <c r="B8" i="3"/>
  <c r="D8" i="3"/>
  <c r="F8" i="3"/>
  <c r="H8" i="3"/>
  <c r="I8" i="3"/>
  <c r="N8" i="3"/>
  <c r="T8" i="3"/>
  <c r="U8" i="3"/>
  <c r="V8" i="3"/>
  <c r="X8" i="3"/>
  <c r="Y8" i="3"/>
  <c r="C102" i="1"/>
  <c r="AC8" i="3"/>
  <c r="AH8" i="3"/>
  <c r="AI8" i="3"/>
  <c r="AJ8" i="3"/>
  <c r="AK8" i="3"/>
  <c r="AM8" i="3"/>
  <c r="AN8" i="3"/>
  <c r="AO8" i="3"/>
  <c r="AQ19" i="3"/>
  <c r="C117" i="1"/>
  <c r="C118" i="1" s="1"/>
  <c r="C119" i="1"/>
  <c r="C176" i="1"/>
  <c r="B21" i="3"/>
  <c r="C21" i="3"/>
  <c r="E21" i="3"/>
  <c r="F21" i="3"/>
  <c r="G21" i="3"/>
  <c r="H21" i="3"/>
  <c r="I21" i="3"/>
  <c r="J21" i="3"/>
  <c r="K21" i="3"/>
  <c r="N21" i="3"/>
  <c r="O21" i="3"/>
  <c r="P21" i="3"/>
  <c r="Q21" i="3"/>
  <c r="R21" i="3"/>
  <c r="S21" i="3"/>
  <c r="T21" i="3"/>
  <c r="U21" i="3"/>
  <c r="V21" i="3"/>
  <c r="W21" i="3"/>
  <c r="Y21" i="3"/>
  <c r="C203" i="1"/>
  <c r="Z21" i="3" s="1"/>
  <c r="AA21" i="3"/>
  <c r="AB21" i="3"/>
  <c r="AC21" i="3"/>
  <c r="AD21" i="3"/>
  <c r="AE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P19" i="3"/>
  <c r="C213" i="1"/>
  <c r="C216" i="1" s="1"/>
  <c r="C233" i="1"/>
  <c r="C292" i="1" s="1"/>
  <c r="C255" i="1"/>
  <c r="C282" i="1"/>
  <c r="C312" i="1"/>
  <c r="C314" i="1"/>
  <c r="C316" i="1"/>
  <c r="C319" i="1"/>
  <c r="B2" i="3"/>
  <c r="B1" i="4" s="1"/>
  <c r="C2" i="3"/>
  <c r="C1" i="4" s="1"/>
  <c r="D2" i="3"/>
  <c r="D1" i="4" s="1"/>
  <c r="E2" i="3"/>
  <c r="E1" i="4" s="1"/>
  <c r="F2" i="3"/>
  <c r="F1" i="4" s="1"/>
  <c r="G2" i="3"/>
  <c r="G1" i="4" s="1"/>
  <c r="H2" i="3"/>
  <c r="H1" i="4" s="1"/>
  <c r="I2" i="3"/>
  <c r="I1" i="4" s="1"/>
  <c r="J2" i="3"/>
  <c r="J1" i="4" s="1"/>
  <c r="K2" i="3"/>
  <c r="K1" i="4" s="1"/>
  <c r="L2" i="3"/>
  <c r="L1" i="4" s="1"/>
  <c r="M2" i="3"/>
  <c r="M1" i="4" s="1"/>
  <c r="N2" i="3"/>
  <c r="N1" i="4" s="1"/>
  <c r="O2" i="3"/>
  <c r="O1" i="4" s="1"/>
  <c r="P2" i="3"/>
  <c r="P1" i="4" s="1"/>
  <c r="Q2" i="3"/>
  <c r="Q1" i="4" s="1"/>
  <c r="R2" i="3"/>
  <c r="R1" i="4" s="1"/>
  <c r="S2" i="3"/>
  <c r="S1" i="4" s="1"/>
  <c r="T2" i="3"/>
  <c r="T1" i="4" s="1"/>
  <c r="U2" i="3"/>
  <c r="U1" i="4" s="1"/>
  <c r="V2" i="3"/>
  <c r="V1" i="4" s="1"/>
  <c r="W2" i="3"/>
  <c r="W1" i="4" s="1"/>
  <c r="X2" i="3"/>
  <c r="X1" i="4" s="1"/>
  <c r="Y2" i="3"/>
  <c r="Y1" i="4" s="1"/>
  <c r="Z2" i="3"/>
  <c r="Z1" i="4" s="1"/>
  <c r="AA2" i="3"/>
  <c r="AA1" i="4" s="1"/>
  <c r="AB2" i="3"/>
  <c r="AB1" i="4" s="1"/>
  <c r="AC2" i="3"/>
  <c r="AC1" i="4" s="1"/>
  <c r="AD2" i="3"/>
  <c r="AD1" i="4" s="1"/>
  <c r="AE2" i="3"/>
  <c r="AF2" i="3"/>
  <c r="AG2" i="3"/>
  <c r="AH2" i="3"/>
  <c r="AI2" i="3"/>
  <c r="AJ2" i="3"/>
  <c r="AN2" i="3"/>
  <c r="AO2" i="3"/>
  <c r="AP2" i="3"/>
  <c r="AQ2" i="3"/>
  <c r="AR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N3" i="3"/>
  <c r="AO3" i="3"/>
  <c r="AP3" i="3"/>
  <c r="AQ3" i="3"/>
  <c r="AR3" i="3"/>
  <c r="D5" i="3"/>
  <c r="E5" i="3"/>
  <c r="I5" i="3"/>
  <c r="L5" i="3"/>
  <c r="M5" i="3"/>
  <c r="P5" i="3"/>
  <c r="R5" i="3"/>
  <c r="V5" i="3"/>
  <c r="AD5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N7" i="3"/>
  <c r="AO7" i="3"/>
  <c r="AP7" i="3"/>
  <c r="AQ7" i="3"/>
  <c r="AR7" i="3"/>
  <c r="C8" i="3"/>
  <c r="G8" i="3"/>
  <c r="K8" i="3"/>
  <c r="L8" i="3"/>
  <c r="O8" i="3"/>
  <c r="P8" i="3"/>
  <c r="S8" i="3"/>
  <c r="W8" i="3"/>
  <c r="AB8" i="3"/>
  <c r="AD8" i="3"/>
  <c r="AE8" i="3"/>
  <c r="AF8" i="3"/>
  <c r="AP8" i="3"/>
  <c r="AQ8" i="3"/>
  <c r="D21" i="3"/>
  <c r="L21" i="3"/>
  <c r="M21" i="3"/>
  <c r="X21" i="3"/>
  <c r="AF21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N24" i="3"/>
  <c r="AO24" i="3"/>
  <c r="AP24" i="3"/>
  <c r="AQ24" i="3"/>
  <c r="AR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N25" i="3"/>
  <c r="AO25" i="3"/>
  <c r="AP25" i="3"/>
  <c r="AQ25" i="3"/>
  <c r="AR25" i="3"/>
  <c r="B6" i="4"/>
  <c r="W6" i="4"/>
  <c r="X6" i="4"/>
  <c r="B14" i="4"/>
  <c r="W14" i="4"/>
  <c r="X14" i="4"/>
  <c r="B22" i="4"/>
  <c r="W22" i="4"/>
  <c r="X22" i="4"/>
  <c r="C218" i="1" l="1"/>
  <c r="C219" i="1"/>
  <c r="C288" i="1" s="1"/>
  <c r="C310" i="1"/>
  <c r="C311" i="1"/>
  <c r="C293" i="1"/>
  <c r="Z8" i="3"/>
  <c r="C206" i="1"/>
  <c r="C207" i="1"/>
  <c r="Z19" i="3" s="1"/>
  <c r="AA8" i="3"/>
  <c r="AH5" i="3"/>
  <c r="AK5" i="3"/>
  <c r="AL8" i="3"/>
  <c r="AM5" i="3"/>
  <c r="E19" i="3"/>
  <c r="C121" i="1"/>
  <c r="J8" i="3"/>
  <c r="AR5" i="3"/>
  <c r="R8" i="3"/>
  <c r="C19" i="3"/>
  <c r="C164" i="1"/>
  <c r="C158" i="1"/>
  <c r="C159" i="1"/>
  <c r="C160" i="1"/>
  <c r="AF5" i="3"/>
  <c r="K5" i="3"/>
  <c r="AN5" i="3"/>
  <c r="AE19" i="3"/>
  <c r="AG8" i="3"/>
  <c r="Q8" i="3"/>
  <c r="E8" i="3"/>
  <c r="M8" i="3"/>
  <c r="AJ5" i="3"/>
  <c r="O5" i="3"/>
  <c r="AR8" i="3"/>
  <c r="X5" i="3"/>
  <c r="C5" i="3"/>
  <c r="Y19" i="3"/>
  <c r="C166" i="1"/>
  <c r="C126" i="1"/>
  <c r="C162" i="1"/>
  <c r="C125" i="1"/>
  <c r="AG19" i="3"/>
  <c r="AM19" i="3"/>
  <c r="AC19" i="3"/>
  <c r="M19" i="3"/>
  <c r="I19" i="3"/>
  <c r="AO19" i="3"/>
  <c r="AK19" i="3"/>
  <c r="U19" i="3"/>
  <c r="AL19" i="3"/>
  <c r="AH19" i="3"/>
  <c r="N19" i="3"/>
  <c r="AD18" i="3"/>
  <c r="AP5" i="3"/>
  <c r="AI5" i="3"/>
  <c r="AE5" i="3"/>
  <c r="W5" i="3"/>
  <c r="S5" i="3"/>
  <c r="AD19" i="3"/>
  <c r="N5" i="3"/>
  <c r="J5" i="3"/>
  <c r="F5" i="3"/>
  <c r="B5" i="3"/>
  <c r="Q19" i="3"/>
  <c r="C123" i="1"/>
  <c r="C127" i="1"/>
  <c r="C138" i="1" s="1"/>
  <c r="C130" i="1"/>
  <c r="C141" i="1" s="1"/>
  <c r="C124" i="1"/>
  <c r="C135" i="1" s="1"/>
  <c r="C129" i="1"/>
  <c r="C140" i="1" s="1"/>
  <c r="C163" i="1"/>
  <c r="C165" i="1"/>
  <c r="C128" i="1"/>
  <c r="C139" i="1" s="1"/>
  <c r="C131" i="1"/>
  <c r="C142" i="1" s="1"/>
  <c r="AA19" i="3"/>
  <c r="W19" i="3"/>
  <c r="K19" i="3"/>
  <c r="G19" i="3"/>
  <c r="V19" i="3"/>
  <c r="R19" i="3"/>
  <c r="F19" i="3"/>
  <c r="B19" i="3"/>
  <c r="S19" i="3"/>
  <c r="J19" i="3"/>
  <c r="C283" i="1"/>
  <c r="AI19" i="3"/>
  <c r="O19" i="3"/>
  <c r="AG18" i="3"/>
  <c r="AN19" i="3"/>
  <c r="AJ19" i="3"/>
  <c r="AF19" i="3"/>
  <c r="AB19" i="3"/>
  <c r="X19" i="3"/>
  <c r="T19" i="3"/>
  <c r="P19" i="3"/>
  <c r="L19" i="3"/>
  <c r="H19" i="3"/>
  <c r="D19" i="3"/>
  <c r="C286" i="1"/>
  <c r="C290" i="1" l="1"/>
  <c r="C136" i="1"/>
  <c r="C137" i="1"/>
  <c r="AK4" i="3"/>
  <c r="AK17" i="3" s="1"/>
  <c r="AR19" i="3"/>
  <c r="AL4" i="3"/>
  <c r="AL17" i="3" s="1"/>
  <c r="AQ18" i="3"/>
  <c r="AF18" i="3"/>
  <c r="C285" i="1"/>
  <c r="C289" i="1" s="1"/>
  <c r="AR18" i="3"/>
  <c r="C134" i="1"/>
  <c r="C144" i="1"/>
  <c r="C153" i="1" s="1"/>
  <c r="C147" i="1"/>
  <c r="C156" i="1" s="1"/>
  <c r="C146" i="1"/>
  <c r="C155" i="1" s="1"/>
  <c r="C145" i="1"/>
  <c r="C154" i="1" s="1"/>
  <c r="C148" i="1"/>
  <c r="C157" i="1" s="1"/>
  <c r="C320" i="1"/>
  <c r="C15" i="1" s="1"/>
  <c r="AJ18" i="3"/>
  <c r="C287" i="1"/>
  <c r="AC20" i="3"/>
  <c r="J22" i="3"/>
  <c r="J23" i="3" s="1"/>
  <c r="C170" i="1"/>
  <c r="C171" i="1"/>
  <c r="AI18" i="3"/>
  <c r="AE18" i="3"/>
  <c r="AB18" i="3"/>
  <c r="AH18" i="3"/>
  <c r="AC18" i="3"/>
  <c r="K22" i="3"/>
  <c r="K23" i="3" s="1"/>
  <c r="K4" i="3"/>
  <c r="K17" i="3" s="1"/>
  <c r="F22" i="3"/>
  <c r="F23" i="3" s="1"/>
  <c r="F4" i="3"/>
  <c r="F17" i="3" s="1"/>
  <c r="V4" i="3"/>
  <c r="V17" i="3" s="1"/>
  <c r="AL22" i="3"/>
  <c r="AL23" i="3" s="1"/>
  <c r="AN22" i="3"/>
  <c r="AN23" i="3" s="1"/>
  <c r="AN4" i="3"/>
  <c r="AN17" i="3" s="1"/>
  <c r="I22" i="3"/>
  <c r="I23" i="3" s="1"/>
  <c r="I4" i="3"/>
  <c r="I17" i="3" s="1"/>
  <c r="Y22" i="3"/>
  <c r="Y23" i="3" s="1"/>
  <c r="Y4" i="3"/>
  <c r="Y17" i="3" s="1"/>
  <c r="C205" i="1" l="1"/>
  <c r="Z18" i="3" s="1"/>
  <c r="C298" i="1"/>
  <c r="AA18" i="3"/>
  <c r="C291" i="1"/>
  <c r="AK22" i="3"/>
  <c r="AK23" i="3" s="1"/>
  <c r="AN20" i="3"/>
  <c r="AQ20" i="3"/>
  <c r="AG4" i="3"/>
  <c r="AG17" i="3" s="1"/>
  <c r="AM18" i="3"/>
  <c r="AP18" i="3"/>
  <c r="AM4" i="3"/>
  <c r="AM17" i="3" s="1"/>
  <c r="AO18" i="3"/>
  <c r="AL18" i="3"/>
  <c r="AN18" i="3"/>
  <c r="AK18" i="3"/>
  <c r="AP22" i="3"/>
  <c r="AP23" i="3" s="1"/>
  <c r="AC22" i="3"/>
  <c r="AC23" i="3" s="1"/>
  <c r="D22" i="3"/>
  <c r="D23" i="3" s="1"/>
  <c r="E22" i="3"/>
  <c r="E23" i="3" s="1"/>
  <c r="G4" i="3"/>
  <c r="G17" i="3" s="1"/>
  <c r="V22" i="3"/>
  <c r="V23" i="3" s="1"/>
  <c r="D4" i="3"/>
  <c r="D17" i="3" s="1"/>
  <c r="N22" i="3"/>
  <c r="N23" i="3" s="1"/>
  <c r="AI22" i="3"/>
  <c r="AI23" i="3" s="1"/>
  <c r="L4" i="3"/>
  <c r="L17" i="3" s="1"/>
  <c r="L22" i="3"/>
  <c r="L23" i="3" s="1"/>
  <c r="U4" i="3"/>
  <c r="U17" i="3" s="1"/>
  <c r="AC4" i="3"/>
  <c r="AC17" i="3" s="1"/>
  <c r="AE22" i="3"/>
  <c r="AE23" i="3" s="1"/>
  <c r="AP4" i="3"/>
  <c r="AP17" i="3" s="1"/>
  <c r="E4" i="3"/>
  <c r="E17" i="3" s="1"/>
  <c r="AE4" i="3"/>
  <c r="AE17" i="3" s="1"/>
  <c r="AI20" i="3"/>
  <c r="AQ4" i="3"/>
  <c r="AQ17" i="3" s="1"/>
  <c r="AG20" i="3"/>
  <c r="C13" i="1"/>
  <c r="C321" i="1"/>
  <c r="C93" i="1" s="1"/>
  <c r="AF4" i="3"/>
  <c r="AF17" i="3" s="1"/>
  <c r="T4" i="3"/>
  <c r="T17" i="3" s="1"/>
  <c r="R4" i="3"/>
  <c r="R17" i="3" s="1"/>
  <c r="R22" i="3"/>
  <c r="R23" i="3" s="1"/>
  <c r="P22" i="3"/>
  <c r="P23" i="3" s="1"/>
  <c r="P4" i="3"/>
  <c r="P17" i="3" s="1"/>
  <c r="O22" i="3"/>
  <c r="O23" i="3" s="1"/>
  <c r="M22" i="3"/>
  <c r="M23" i="3" s="1"/>
  <c r="M4" i="3"/>
  <c r="M17" i="3" s="1"/>
  <c r="AG22" i="3"/>
  <c r="AG23" i="3" s="1"/>
  <c r="Q4" i="3"/>
  <c r="Q17" i="3" s="1"/>
  <c r="G22" i="3"/>
  <c r="G23" i="3" s="1"/>
  <c r="N4" i="3"/>
  <c r="N17" i="3" s="1"/>
  <c r="AI4" i="3"/>
  <c r="AI17" i="3" s="1"/>
  <c r="O4" i="3"/>
  <c r="O17" i="3" s="1"/>
  <c r="AF22" i="3"/>
  <c r="AF23" i="3" s="1"/>
  <c r="X22" i="3"/>
  <c r="X23" i="3" s="1"/>
  <c r="X19" i="4" s="1"/>
  <c r="U22" i="3"/>
  <c r="U23" i="3" s="1"/>
  <c r="X4" i="3"/>
  <c r="X17" i="3" s="1"/>
  <c r="S22" i="3"/>
  <c r="S23" i="3" s="1"/>
  <c r="W22" i="3"/>
  <c r="W23" i="3" s="1"/>
  <c r="W19" i="4" s="1"/>
  <c r="J4" i="3"/>
  <c r="J17" i="3" s="1"/>
  <c r="W4" i="3"/>
  <c r="W17" i="3" s="1"/>
  <c r="S4" i="3"/>
  <c r="S17" i="3" s="1"/>
  <c r="AE20" i="3"/>
  <c r="X20" i="4"/>
  <c r="W4" i="4"/>
  <c r="AR20" i="3"/>
  <c r="AF20" i="3"/>
  <c r="Q22" i="3"/>
  <c r="Q23" i="3" s="1"/>
  <c r="H22" i="3"/>
  <c r="H23" i="3" s="1"/>
  <c r="H4" i="3"/>
  <c r="H17" i="3" s="1"/>
  <c r="AO4" i="3"/>
  <c r="AO17" i="3" s="1"/>
  <c r="AR4" i="3"/>
  <c r="AR17" i="3" s="1"/>
  <c r="AM22" i="3"/>
  <c r="AM23" i="3" s="1"/>
  <c r="C94" i="1" l="1"/>
  <c r="C97" i="1" s="1"/>
  <c r="C96" i="1" s="1"/>
  <c r="C21" i="1"/>
  <c r="C22" i="1" s="1"/>
  <c r="AK20" i="3"/>
  <c r="AQ22" i="3"/>
  <c r="AQ23" i="3" s="1"/>
  <c r="AL20" i="3"/>
  <c r="AO20" i="3"/>
  <c r="AM20" i="3"/>
  <c r="AP20" i="3"/>
  <c r="C22" i="3"/>
  <c r="C23" i="3" s="1"/>
  <c r="C4" i="3"/>
  <c r="C17" i="3"/>
  <c r="T22" i="3"/>
  <c r="T23" i="3" s="1"/>
  <c r="AD20" i="3"/>
  <c r="AD4" i="3"/>
  <c r="AD17" i="3" s="1"/>
  <c r="AD22" i="3"/>
  <c r="AD23" i="3" s="1"/>
  <c r="AB20" i="3"/>
  <c r="AB22" i="3"/>
  <c r="AB23" i="3" s="1"/>
  <c r="AB4" i="3"/>
  <c r="AB17" i="3" s="1"/>
  <c r="C296" i="1"/>
  <c r="Z20" i="3" s="1"/>
  <c r="C85" i="1"/>
  <c r="C92" i="1" s="1"/>
  <c r="Z22" i="3" s="1"/>
  <c r="Z23" i="3" s="1"/>
  <c r="C284" i="1"/>
  <c r="Z4" i="3"/>
  <c r="C11" i="1"/>
  <c r="B17" i="3"/>
  <c r="B22" i="3"/>
  <c r="B23" i="3" s="1"/>
  <c r="B3" i="4" s="1"/>
  <c r="B4" i="3"/>
  <c r="AH4" i="3"/>
  <c r="AH17" i="3" s="1"/>
  <c r="AH22" i="3"/>
  <c r="AH23" i="3" s="1"/>
  <c r="AJ20" i="3"/>
  <c r="AJ22" i="3"/>
  <c r="AJ23" i="3" s="1"/>
  <c r="AJ4" i="3"/>
  <c r="AJ17" i="3" s="1"/>
  <c r="AH20" i="3"/>
  <c r="X3" i="4"/>
  <c r="X11" i="4"/>
  <c r="X12" i="4"/>
  <c r="X13" i="4"/>
  <c r="X21" i="4"/>
  <c r="X23" i="4" s="1"/>
  <c r="X24" i="4" s="1"/>
  <c r="X25" i="4" s="1"/>
  <c r="X4" i="4"/>
  <c r="W11" i="4"/>
  <c r="W5" i="4"/>
  <c r="W7" i="4" s="1"/>
  <c r="W3" i="4"/>
  <c r="W13" i="4"/>
  <c r="W20" i="4"/>
  <c r="X5" i="4"/>
  <c r="W12" i="4"/>
  <c r="W21" i="4"/>
  <c r="AR22" i="3"/>
  <c r="AR23" i="3" s="1"/>
  <c r="AO22" i="3"/>
  <c r="AO23" i="3" s="1"/>
  <c r="Z5" i="3" l="1"/>
  <c r="Z17" i="3" s="1"/>
  <c r="B19" i="4"/>
  <c r="X15" i="4"/>
  <c r="X16" i="4" s="1"/>
  <c r="X17" i="4" s="1"/>
  <c r="B11" i="4"/>
  <c r="B21" i="4"/>
  <c r="B4" i="4"/>
  <c r="B20" i="4"/>
  <c r="B13" i="4"/>
  <c r="B5" i="4"/>
  <c r="B12" i="4"/>
  <c r="C88" i="1"/>
  <c r="C87" i="1"/>
  <c r="W23" i="4"/>
  <c r="W24" i="4" s="1"/>
  <c r="W25" i="4" s="1"/>
  <c r="X7" i="4"/>
  <c r="X8" i="4" s="1"/>
  <c r="X9" i="4" s="1"/>
  <c r="W8" i="4"/>
  <c r="W9" i="4" s="1"/>
  <c r="W15" i="4"/>
  <c r="W16" i="4" s="1"/>
  <c r="W17" i="4" s="1"/>
  <c r="C89" i="1" l="1"/>
  <c r="C90" i="1" s="1"/>
  <c r="B15" i="4"/>
  <c r="B16" i="4" s="1"/>
  <c r="B17" i="4" s="1"/>
  <c r="B7" i="4"/>
  <c r="B8" i="4" s="1"/>
  <c r="B9" i="4" s="1"/>
  <c r="B23" i="4"/>
  <c r="B24" i="4" s="1"/>
  <c r="B25" i="4" s="1"/>
  <c r="C91" i="1" l="1"/>
  <c r="AA22" i="3" l="1"/>
  <c r="AA23" i="3" s="1"/>
  <c r="AA4" i="3"/>
  <c r="AA20" i="3"/>
  <c r="AA5" i="3" l="1"/>
  <c r="AA17" i="3" s="1"/>
</calcChain>
</file>

<file path=xl/sharedStrings.xml><?xml version="1.0" encoding="utf-8"?>
<sst xmlns="http://schemas.openxmlformats.org/spreadsheetml/2006/main" count="525" uniqueCount="468">
  <si>
    <t>名称</t>
  </si>
  <si>
    <t>类型</t>
  </si>
  <si>
    <t>战列舰</t>
  </si>
  <si>
    <t>舷号</t>
  </si>
  <si>
    <t>BB1</t>
  </si>
  <si>
    <t>BB11</t>
  </si>
  <si>
    <t>BB27</t>
  </si>
  <si>
    <t>ZL02</t>
  </si>
  <si>
    <t>所属级别</t>
  </si>
  <si>
    <t>所属国家</t>
  </si>
  <si>
    <t>ADLY</t>
  </si>
  <si>
    <t>开工日期</t>
  </si>
  <si>
    <t>服役日期</t>
  </si>
  <si>
    <t>工时（万）</t>
  </si>
  <si>
    <t>每工时价值</t>
  </si>
  <si>
    <t>造价（万美元）</t>
  </si>
  <si>
    <t>每吨造价（美元）</t>
  </si>
  <si>
    <t>设计排水量（吨）</t>
  </si>
  <si>
    <t>标准排水量（吨）</t>
  </si>
  <si>
    <t>满载排水量（吨）</t>
  </si>
  <si>
    <t>轻载排水量（吨）</t>
  </si>
  <si>
    <t>全长（米）</t>
  </si>
  <si>
    <t>水线长（米）</t>
  </si>
  <si>
    <t>宽（米）</t>
  </si>
  <si>
    <t>水线宽（米）</t>
  </si>
  <si>
    <t>型深（米）</t>
  </si>
  <si>
    <t>标准吃水（米）</t>
  </si>
  <si>
    <t>标准干舷高（米）</t>
  </si>
  <si>
    <t>满载吃水（米）</t>
  </si>
  <si>
    <t>全高（米）</t>
  </si>
  <si>
    <t>船只结构高（米）</t>
  </si>
  <si>
    <t>船型</t>
  </si>
  <si>
    <t>长艏楼</t>
  </si>
  <si>
    <t>船型代号</t>
  </si>
  <si>
    <t>水线长宽比</t>
  </si>
  <si>
    <t>主机型号</t>
  </si>
  <si>
    <t>DLT-ST800</t>
  </si>
  <si>
    <t>主机功率（轴马力）</t>
  </si>
  <si>
    <t>主机数量</t>
  </si>
  <si>
    <t>单台主机重量（吨）</t>
  </si>
  <si>
    <t>总功率（轴马力）</t>
  </si>
  <si>
    <t>阻力系数</t>
  </si>
  <si>
    <t>总阻力系数</t>
  </si>
  <si>
    <t>最大航速（节）</t>
  </si>
  <si>
    <t>储油量（吨）</t>
  </si>
  <si>
    <t>续航速度输出功率（轴马力）</t>
  </si>
  <si>
    <t>主机效率</t>
  </si>
  <si>
    <t>续航力（海里/16节）</t>
  </si>
  <si>
    <t>主炮台数量</t>
  </si>
  <si>
    <t>主炮型号</t>
  </si>
  <si>
    <t>BMG6</t>
  </si>
  <si>
    <t>主炮联装数</t>
  </si>
  <si>
    <t>主炮管数</t>
  </si>
  <si>
    <t>主炮口径（毫米）</t>
  </si>
  <si>
    <t>主炮身管比</t>
  </si>
  <si>
    <t>主炮俯仰角</t>
  </si>
  <si>
    <t>-5～30</t>
  </si>
  <si>
    <t>主炮最优仰角（角度）</t>
  </si>
  <si>
    <t>主炮射速（发/分种）</t>
  </si>
  <si>
    <t>单门主炮备弹量</t>
  </si>
  <si>
    <t>穿甲弹型号</t>
  </si>
  <si>
    <t>MAP2</t>
  </si>
  <si>
    <t>穿甲弹质量（千克）</t>
  </si>
  <si>
    <t>推进药重量（千克）</t>
  </si>
  <si>
    <t>穿甲弹初速（米/秒）</t>
  </si>
  <si>
    <t>穿甲弹长度（毫米）</t>
  </si>
  <si>
    <t>穿甲弹体积（立方分米）</t>
  </si>
  <si>
    <t>穿甲弹平均密度</t>
  </si>
  <si>
    <t>穿甲弹重量比</t>
  </si>
  <si>
    <t>穿甲弹空气阻力值</t>
  </si>
  <si>
    <t>炮口动能（千焦）</t>
  </si>
  <si>
    <t>穿甲弹射程（米）</t>
  </si>
  <si>
    <t>口径指数</t>
  </si>
  <si>
    <t>穿甲弹效能</t>
  </si>
  <si>
    <t>穿甲弹垂直穿深（炮口）（毫米）</t>
  </si>
  <si>
    <t>穿甲弹垂直穿深（5000米）（毫米）</t>
  </si>
  <si>
    <t>穿甲弹垂直穿深（10000米）（毫米）</t>
  </si>
  <si>
    <t>穿甲弹垂直穿深（15000米）（毫米）</t>
  </si>
  <si>
    <t>穿甲弹垂直穿深（20000米）（毫米）</t>
  </si>
  <si>
    <t>穿甲弹垂直穿深（25000米）（毫米）</t>
  </si>
  <si>
    <t>穿甲弹垂直穿深（30000米）（毫米）</t>
  </si>
  <si>
    <t>穿甲弹垂直穿深（35000米）（毫米）</t>
  </si>
  <si>
    <t>/</t>
  </si>
  <si>
    <t>穿甲弹垂直穿深（40000米）（毫米）</t>
  </si>
  <si>
    <t>穿甲弹水平穿深（炮口）（毫米）</t>
  </si>
  <si>
    <t>穿甲弹水平穿深（5000米）（毫米）</t>
  </si>
  <si>
    <t>穿甲弹水平穿深（10000米）（毫米）</t>
  </si>
  <si>
    <t>穿甲弹水平穿深（15000米）（毫米）</t>
  </si>
  <si>
    <t>穿甲弹水平穿深（20000米）（毫米）</t>
  </si>
  <si>
    <t>穿甲弹水平穿深（25000米）（毫米）</t>
  </si>
  <si>
    <t>穿甲弹水平穿深（30000米）（毫米）</t>
  </si>
  <si>
    <t>穿甲弹水平穿深（35000米）（毫米）</t>
  </si>
  <si>
    <t>穿甲弹水平穿深（40000米）（毫米）</t>
  </si>
  <si>
    <t>主炮效能评分</t>
  </si>
  <si>
    <t>主炮威力评分</t>
  </si>
  <si>
    <t>主炮对空能力</t>
  </si>
  <si>
    <t>弹丸重（千克）</t>
  </si>
  <si>
    <t>副炮型号</t>
  </si>
  <si>
    <t>BSG6</t>
  </si>
  <si>
    <t>副炮台数量</t>
  </si>
  <si>
    <t>副炮联装数</t>
  </si>
  <si>
    <t>副炮管数</t>
  </si>
  <si>
    <t>副炮口径（毫米）</t>
  </si>
  <si>
    <t>副炮身管比</t>
  </si>
  <si>
    <t>副炮射速（发/分钟）</t>
  </si>
  <si>
    <t>单门副炮备弹量</t>
  </si>
  <si>
    <t>副炮对空能力</t>
  </si>
  <si>
    <t>防空炮1型号</t>
  </si>
  <si>
    <t>防空炮1管数</t>
  </si>
  <si>
    <t>防空炮1口径（毫米）</t>
  </si>
  <si>
    <t>防空炮1射速（发/分钟）</t>
  </si>
  <si>
    <t>弹丸1重（克）</t>
  </si>
  <si>
    <t>单门防空炮1备弹量</t>
  </si>
  <si>
    <t>防空炮2型号</t>
  </si>
  <si>
    <t>防空炮2管数</t>
  </si>
  <si>
    <t>防空炮2口径（毫米）</t>
  </si>
  <si>
    <t>防空炮2射速（发/分钟）</t>
  </si>
  <si>
    <t>弹丸2重（克）</t>
  </si>
  <si>
    <t>单门防空炮2备弹量</t>
  </si>
  <si>
    <t>鱼雷发射管型号</t>
  </si>
  <si>
    <t>鱼雷发射管数量</t>
  </si>
  <si>
    <t>鱼雷发射管口径（毫米）</t>
  </si>
  <si>
    <t>鱼雷型号</t>
  </si>
  <si>
    <t>鱼雷全重（千克）</t>
  </si>
  <si>
    <t>装药重（千克）</t>
  </si>
  <si>
    <t>炸药种类</t>
  </si>
  <si>
    <t>炸药效率</t>
  </si>
  <si>
    <t>当量（千克TNT）</t>
  </si>
  <si>
    <t>备雷</t>
  </si>
  <si>
    <t>主火力强度</t>
  </si>
  <si>
    <t>舷侧理论最大对海投弹量（千克/分钟）</t>
  </si>
  <si>
    <t>舷侧理论最大对空投弹量（千克/分钟）</t>
  </si>
  <si>
    <t>倾斜角度（度）</t>
  </si>
  <si>
    <t>钢质</t>
  </si>
  <si>
    <t>WC</t>
  </si>
  <si>
    <t>WC2</t>
  </si>
  <si>
    <t>WC4</t>
  </si>
  <si>
    <t>WH2</t>
  </si>
  <si>
    <t>VH-SL</t>
  </si>
  <si>
    <t>钢材性能</t>
  </si>
  <si>
    <t>等效厚度（毫米）</t>
  </si>
  <si>
    <t>外板厚度（毫米）</t>
  </si>
  <si>
    <t>内板厚度（毫米）</t>
  </si>
  <si>
    <t>垂直装甲实际等效厚度（毫米）</t>
  </si>
  <si>
    <t>司令塔装甲厚度（毫米）</t>
  </si>
  <si>
    <t>弹药库垂直装甲等效厚度（毫米）</t>
  </si>
  <si>
    <t>主机组垂直装甲等效厚度（毫米）</t>
  </si>
  <si>
    <t>表层水平装甲厚度（毫米）</t>
  </si>
  <si>
    <t>下层防御板厚度（毫米）</t>
  </si>
  <si>
    <t>WH</t>
  </si>
  <si>
    <t>水平装甲实际等效厚度（毫米）</t>
  </si>
  <si>
    <t>核心部分水平装甲实际等效厚度（毫米）</t>
  </si>
  <si>
    <t>舷侧上部装甲厚度（毫米）</t>
  </si>
  <si>
    <t>WW</t>
  </si>
  <si>
    <t>WW2</t>
  </si>
  <si>
    <t>船底层数</t>
  </si>
  <si>
    <t>防鱼雷隔舱等效</t>
  </si>
  <si>
    <t>主装甲带长度（米）</t>
  </si>
  <si>
    <t>主装甲带宽度（米）</t>
  </si>
  <si>
    <t>上部装甲宽度（米）</t>
  </si>
  <si>
    <t>下部装甲宽度（米）</t>
  </si>
  <si>
    <t>主装甲带与水线长度比</t>
  </si>
  <si>
    <t>主装甲总重（吨）（不含炮塔）</t>
  </si>
  <si>
    <t>主炮台长（米）</t>
  </si>
  <si>
    <t>主炮台宽（米）</t>
  </si>
  <si>
    <t>主炮台高（米）</t>
  </si>
  <si>
    <t>炮台正面装甲（毫米）</t>
  </si>
  <si>
    <t>炮台侧面装甲（毫米）</t>
  </si>
  <si>
    <t>炮台后部装甲（毫米）</t>
  </si>
  <si>
    <t>炮台顶部装甲（毫米）</t>
  </si>
  <si>
    <t>炮台装甲总重（吨）</t>
  </si>
  <si>
    <t>装甲总重（吨）</t>
  </si>
  <si>
    <t>装甲重量比</t>
  </si>
  <si>
    <t>核心部分垂直防护评分</t>
  </si>
  <si>
    <t>水平防护水平（3000米投下炸弹重量）（千克）</t>
  </si>
  <si>
    <t>核心水平防护水平（3000米投下炸弹重量）（千克）</t>
  </si>
  <si>
    <t>水下防护水平（千克TNT）</t>
  </si>
  <si>
    <t>防护评分</t>
  </si>
  <si>
    <t>生存能力评分</t>
  </si>
  <si>
    <t>结构密集度</t>
  </si>
  <si>
    <t>武器系统重量（吨）</t>
  </si>
  <si>
    <t>弹药总重（吨）</t>
  </si>
  <si>
    <t>动力系统重量（吨）</t>
  </si>
  <si>
    <t>防御板重量（吨）</t>
  </si>
  <si>
    <t>舾装及其他设备重量（吨）</t>
  </si>
  <si>
    <t>人员数量</t>
  </si>
  <si>
    <t>人员及给养重量（吨）</t>
  </si>
  <si>
    <t>滑油及备用锅炉水重量（吨）</t>
  </si>
  <si>
    <t>舰载机架数</t>
  </si>
  <si>
    <t>舰载机及系统重量（吨）</t>
  </si>
  <si>
    <t>空船总重量（吨）</t>
  </si>
  <si>
    <t>剩余重量（吨）</t>
  </si>
  <si>
    <t>主装甲堡容积（立方米）</t>
  </si>
  <si>
    <t>对海雷达数量</t>
  </si>
  <si>
    <t>对海雷达效率</t>
  </si>
  <si>
    <t>对空雷达数量</t>
  </si>
  <si>
    <t>对空雷达效率</t>
  </si>
  <si>
    <t>火控雷达数量</t>
  </si>
  <si>
    <t>火控雷达效率</t>
  </si>
  <si>
    <t>光学瞄准镜数量</t>
  </si>
  <si>
    <t>光学瞄准镜基线长（米）</t>
  </si>
  <si>
    <t>注释</t>
  </si>
  <si>
    <t>*1</t>
  </si>
  <si>
    <t>吴式表面渗碳硬化钢</t>
  </si>
  <si>
    <t>*2</t>
  </si>
  <si>
    <t>吴式表面渗碳硬化钢二型</t>
  </si>
  <si>
    <t>*3</t>
  </si>
  <si>
    <t>吴式硬化钢</t>
  </si>
  <si>
    <t>*4</t>
  </si>
  <si>
    <t>吴式表面渗碳硬化钢四型</t>
  </si>
  <si>
    <t>*5</t>
  </si>
  <si>
    <t>吴式硬化钢二型</t>
  </si>
  <si>
    <t>*6</t>
  </si>
  <si>
    <t>维氏硬化钢-沈国生产</t>
  </si>
  <si>
    <t>*7</t>
  </si>
  <si>
    <t>吴式高韧性钢</t>
  </si>
  <si>
    <t>*8</t>
  </si>
  <si>
    <t>吴式高韧性钢二型</t>
  </si>
  <si>
    <t>舰名</t>
  </si>
  <si>
    <t>风</t>
  </si>
  <si>
    <t>火</t>
  </si>
  <si>
    <t>林</t>
  </si>
  <si>
    <t>山</t>
  </si>
  <si>
    <t>海啸</t>
  </si>
  <si>
    <t>海神</t>
  </si>
  <si>
    <t>舰型编号</t>
  </si>
  <si>
    <t>主炮门数</t>
  </si>
  <si>
    <t>耐久度</t>
  </si>
  <si>
    <t>火力</t>
  </si>
  <si>
    <t>对空</t>
  </si>
  <si>
    <t>装甲</t>
  </si>
  <si>
    <t>鱼雷</t>
  </si>
  <si>
    <t>速度</t>
  </si>
  <si>
    <t>回避</t>
  </si>
  <si>
    <t>命中</t>
  </si>
  <si>
    <t>索敌</t>
  </si>
  <si>
    <t>幸运</t>
  </si>
  <si>
    <t>挑战方/主战方</t>
  </si>
  <si>
    <t>炮击命中率</t>
  </si>
  <si>
    <t>最大伤害</t>
  </si>
  <si>
    <t>最小伤害</t>
  </si>
  <si>
    <t>浮动</t>
  </si>
  <si>
    <t>平均伤害</t>
  </si>
  <si>
    <t>实际平均伤害</t>
  </si>
  <si>
    <t>击沉次数</t>
  </si>
  <si>
    <t>主装甲带自身主炮防御距离（米）</t>
    <phoneticPr fontId="1" type="noConversion"/>
  </si>
  <si>
    <t>弹药库处自身主炮防御距离（米）</t>
    <phoneticPr fontId="1" type="noConversion"/>
  </si>
  <si>
    <t>主机处自身主炮防御距离（米）</t>
    <phoneticPr fontId="1" type="noConversion"/>
  </si>
  <si>
    <t>压载重量（吨）</t>
    <phoneticPr fontId="1" type="noConversion"/>
  </si>
  <si>
    <t>结构重量（吨）</t>
    <phoneticPr fontId="1" type="noConversion"/>
  </si>
  <si>
    <t>船壳重量（吨）</t>
    <phoneticPr fontId="1" type="noConversion"/>
  </si>
  <si>
    <t>标准排水量下浮心位置与船底距离（米）</t>
    <phoneticPr fontId="1" type="noConversion"/>
  </si>
  <si>
    <t>上层建筑重量（吨）</t>
    <phoneticPr fontId="1" type="noConversion"/>
  </si>
  <si>
    <t>水上二层甲板主炮台数量</t>
    <phoneticPr fontId="1" type="noConversion"/>
  </si>
  <si>
    <t>水上三层甲板主炮台数量</t>
    <phoneticPr fontId="1" type="noConversion"/>
  </si>
  <si>
    <t>主炮台中心与甲板平均距离（米）</t>
    <phoneticPr fontId="1" type="noConversion"/>
  </si>
  <si>
    <t>标准排水量下浮心以下截面重量</t>
    <phoneticPr fontId="1" type="noConversion"/>
  </si>
  <si>
    <t>标准排水量下浮心以上截面重量</t>
    <phoneticPr fontId="1" type="noConversion"/>
  </si>
  <si>
    <t>稳定性</t>
    <phoneticPr fontId="1" type="noConversion"/>
  </si>
  <si>
    <t>最大横摆回复角度</t>
    <phoneticPr fontId="1" type="noConversion"/>
  </si>
  <si>
    <t>横摆频率</t>
    <phoneticPr fontId="1" type="noConversion"/>
  </si>
  <si>
    <t>穿甲弹落角（炮口）（度）</t>
    <phoneticPr fontId="1" type="noConversion"/>
  </si>
  <si>
    <r>
      <t>穿甲弹落角（5000米）（</t>
    </r>
    <r>
      <rPr>
        <sz val="12"/>
        <rFont val="宋体"/>
        <family val="3"/>
        <charset val="134"/>
      </rPr>
      <t>度</t>
    </r>
    <r>
      <rPr>
        <sz val="12"/>
        <rFont val="宋体"/>
        <family val="3"/>
        <charset val="134"/>
      </rPr>
      <t>）</t>
    </r>
    <phoneticPr fontId="1" type="noConversion"/>
  </si>
  <si>
    <r>
      <t>穿甲弹落角（10000米）（</t>
    </r>
    <r>
      <rPr>
        <sz val="12"/>
        <rFont val="宋体"/>
        <family val="3"/>
        <charset val="134"/>
      </rPr>
      <t>度</t>
    </r>
    <r>
      <rPr>
        <sz val="12"/>
        <rFont val="宋体"/>
        <family val="3"/>
        <charset val="134"/>
      </rPr>
      <t>）</t>
    </r>
    <phoneticPr fontId="1" type="noConversion"/>
  </si>
  <si>
    <r>
      <t>穿甲弹落角（15000米）（度）</t>
    </r>
    <r>
      <rPr>
        <sz val="12"/>
        <rFont val="宋体"/>
        <family val="3"/>
        <charset val="134"/>
      </rPr>
      <t/>
    </r>
    <phoneticPr fontId="1" type="noConversion"/>
  </si>
  <si>
    <r>
      <t>穿甲弹落角（20000米）（度）</t>
    </r>
    <r>
      <rPr>
        <sz val="12"/>
        <rFont val="宋体"/>
        <family val="3"/>
        <charset val="134"/>
      </rPr>
      <t/>
    </r>
    <phoneticPr fontId="1" type="noConversion"/>
  </si>
  <si>
    <r>
      <t>穿甲弹落角（25000米）（度）</t>
    </r>
    <r>
      <rPr>
        <sz val="12"/>
        <rFont val="宋体"/>
        <family val="3"/>
        <charset val="134"/>
      </rPr>
      <t/>
    </r>
    <phoneticPr fontId="1" type="noConversion"/>
  </si>
  <si>
    <r>
      <t>穿甲弹落角（30000米）（度）</t>
    </r>
    <r>
      <rPr>
        <sz val="12"/>
        <rFont val="宋体"/>
        <family val="3"/>
        <charset val="134"/>
      </rPr>
      <t/>
    </r>
    <phoneticPr fontId="1" type="noConversion"/>
  </si>
  <si>
    <r>
      <t>穿甲弹落角（35000米）（度）</t>
    </r>
    <r>
      <rPr>
        <sz val="12"/>
        <rFont val="宋体"/>
        <family val="3"/>
        <charset val="134"/>
      </rPr>
      <t/>
    </r>
    <phoneticPr fontId="1" type="noConversion"/>
  </si>
  <si>
    <r>
      <t>穿甲弹落角（40000米）（度）</t>
    </r>
    <r>
      <rPr>
        <sz val="12"/>
        <rFont val="宋体"/>
        <family val="3"/>
        <charset val="134"/>
      </rPr>
      <t/>
    </r>
    <phoneticPr fontId="1" type="noConversion"/>
  </si>
  <si>
    <t>/</t>
    <phoneticPr fontId="1" type="noConversion"/>
  </si>
  <si>
    <t>核心部分自身主炮垂直防御距离（水上弹）（米）</t>
    <phoneticPr fontId="1" type="noConversion"/>
  </si>
  <si>
    <t>核心部分自身主炮水平防御距离（米）</t>
    <phoneticPr fontId="1" type="noConversion"/>
  </si>
  <si>
    <t>免疫区范围（米）</t>
    <phoneticPr fontId="1" type="noConversion"/>
  </si>
  <si>
    <t>攻击</t>
    <phoneticPr fontId="1" type="noConversion"/>
  </si>
  <si>
    <t>防御</t>
    <phoneticPr fontId="1" type="noConversion"/>
  </si>
  <si>
    <t>消耗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</si>
  <si>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</si>
  <si>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</si>
  <si>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</si>
  <si>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</si>
  <si>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</si>
  <si>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</si>
  <si>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</si>
  <si>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</si>
  <si>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</si>
  <si>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S</t>
    <phoneticPr fontId="1" type="noConversion"/>
  </si>
  <si>
    <t>A</t>
    <phoneticPr fontId="1" type="noConversion"/>
  </si>
  <si>
    <t>A</t>
    <phoneticPr fontId="1" type="noConversion"/>
  </si>
  <si>
    <t>S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</si>
  <si>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</si>
  <si>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</si>
  <si>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</si>
  <si>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S</t>
    <phoneticPr fontId="1" type="noConversion"/>
  </si>
  <si>
    <r>
      <t>S</t>
    </r>
    <r>
      <rPr>
        <sz val="12"/>
        <rFont val="宋体"/>
        <family val="3"/>
        <charset val="134"/>
      </rPr>
      <t>S</t>
    </r>
    <phoneticPr fontId="1" type="noConversion"/>
  </si>
  <si>
    <t>S</t>
    <phoneticPr fontId="1" type="noConversion"/>
  </si>
  <si>
    <t>S</t>
    <phoneticPr fontId="1" type="noConversion"/>
  </si>
  <si>
    <t>1层深度</t>
    <phoneticPr fontId="3" type="noConversion"/>
  </si>
  <si>
    <t>2层深度</t>
    <phoneticPr fontId="3" type="noConversion"/>
  </si>
  <si>
    <t>3层深度</t>
    <phoneticPr fontId="3" type="noConversion"/>
  </si>
  <si>
    <t>4层深度</t>
    <phoneticPr fontId="3" type="noConversion"/>
  </si>
  <si>
    <t>舰身舯部长</t>
    <phoneticPr fontId="3" type="noConversion"/>
  </si>
  <si>
    <t>水线宽度</t>
    <phoneticPr fontId="3" type="noConversion"/>
  </si>
  <si>
    <t>1/4宽度</t>
    <phoneticPr fontId="3" type="noConversion"/>
  </si>
  <si>
    <t>1/2宽度</t>
    <phoneticPr fontId="3" type="noConversion"/>
  </si>
  <si>
    <t>3/4宽度</t>
    <phoneticPr fontId="3" type="noConversion"/>
  </si>
  <si>
    <t>补正值</t>
    <phoneticPr fontId="3" type="noConversion"/>
  </si>
  <si>
    <t>舰身舯部满载排水量</t>
    <phoneticPr fontId="3" type="noConversion"/>
  </si>
  <si>
    <t>舰艏水线长</t>
    <phoneticPr fontId="3" type="noConversion"/>
  </si>
  <si>
    <t>舰艏中间长</t>
    <phoneticPr fontId="3" type="noConversion"/>
  </si>
  <si>
    <t>舰艏船底长</t>
    <phoneticPr fontId="3" type="noConversion"/>
  </si>
  <si>
    <t>舰艏3/4中间宽度</t>
    <phoneticPr fontId="3" type="noConversion"/>
  </si>
  <si>
    <t>舰艏底部中间宽度</t>
    <phoneticPr fontId="3" type="noConversion"/>
  </si>
  <si>
    <t>舰艏满载排水量</t>
    <phoneticPr fontId="3" type="noConversion"/>
  </si>
  <si>
    <t>舰艉1/4长</t>
    <phoneticPr fontId="3" type="noConversion"/>
  </si>
  <si>
    <t>舰艉3/4长</t>
    <phoneticPr fontId="3" type="noConversion"/>
  </si>
  <si>
    <t>舰艉底部长</t>
    <phoneticPr fontId="3" type="noConversion"/>
  </si>
  <si>
    <t>舰艉水线中间宽度</t>
    <phoneticPr fontId="3" type="noConversion"/>
  </si>
  <si>
    <t>舰艉1/2中间宽度</t>
    <phoneticPr fontId="3" type="noConversion"/>
  </si>
  <si>
    <t>舰艉底部中间宽度</t>
    <phoneticPr fontId="3" type="noConversion"/>
  </si>
  <si>
    <t>舰艉满载排水量</t>
    <phoneticPr fontId="3" type="noConversion"/>
  </si>
  <si>
    <t>附加部分长度</t>
    <phoneticPr fontId="3" type="noConversion"/>
  </si>
  <si>
    <t>附加部分宽度</t>
    <phoneticPr fontId="3" type="noConversion"/>
  </si>
  <si>
    <t>附加部分排水量</t>
    <phoneticPr fontId="3" type="noConversion"/>
  </si>
  <si>
    <t>底部宽度</t>
    <phoneticPr fontId="3" type="noConversion"/>
  </si>
  <si>
    <t>舰艏水线中间宽度</t>
    <phoneticPr fontId="3" type="noConversion"/>
  </si>
  <si>
    <t>舰艏1/4中间宽度</t>
    <phoneticPr fontId="3" type="noConversion"/>
  </si>
  <si>
    <t>舰艏1/2中间宽度</t>
    <phoneticPr fontId="3" type="noConversion"/>
  </si>
  <si>
    <t>补正值</t>
    <phoneticPr fontId="3" type="noConversion"/>
  </si>
  <si>
    <t>舰艉水线长</t>
    <phoneticPr fontId="3" type="noConversion"/>
  </si>
  <si>
    <t>舰艉1/2长</t>
    <phoneticPr fontId="3" type="noConversion"/>
  </si>
  <si>
    <t>舰艉1/4中间宽度</t>
    <phoneticPr fontId="3" type="noConversion"/>
  </si>
  <si>
    <t>舰艉3/4中间宽度</t>
    <phoneticPr fontId="3" type="noConversion"/>
  </si>
  <si>
    <t>附加部分深度</t>
    <phoneticPr fontId="3" type="noConversion"/>
  </si>
  <si>
    <t>身管材料耐久度</t>
    <phoneticPr fontId="3" type="noConversion"/>
  </si>
  <si>
    <t>身管寿命</t>
    <phoneticPr fontId="3" type="noConversion"/>
  </si>
  <si>
    <t>身管阻力值</t>
    <phoneticPr fontId="3" type="noConversion"/>
  </si>
  <si>
    <t>穿甲弹垂直存速（炮口）（米/秒）</t>
    <phoneticPr fontId="1" type="noConversion"/>
  </si>
  <si>
    <t>穿甲弹垂直存速（5000米）（米/秒）</t>
    <phoneticPr fontId="1" type="noConversion"/>
  </si>
  <si>
    <t>穿甲弹垂直存速（10000米）（米/秒）</t>
    <phoneticPr fontId="1" type="noConversion"/>
  </si>
  <si>
    <t>穿甲弹垂直存速（15000米）（米/秒）</t>
    <phoneticPr fontId="1" type="noConversion"/>
  </si>
  <si>
    <t>穿甲弹垂直存速（20000米）（米/秒）</t>
    <phoneticPr fontId="1" type="noConversion"/>
  </si>
  <si>
    <t>穿甲弹垂直存速（25000米）（米/秒）</t>
    <phoneticPr fontId="1" type="noConversion"/>
  </si>
  <si>
    <t>穿甲弹垂直存速（30000米）（米/秒）</t>
    <phoneticPr fontId="1" type="noConversion"/>
  </si>
  <si>
    <t>穿甲弹垂直存速（35000米）（米/秒）</t>
    <phoneticPr fontId="1" type="noConversion"/>
  </si>
  <si>
    <t>穿甲弹垂直存速（40000米）（米/秒）</t>
    <phoneticPr fontId="1" type="noConversion"/>
  </si>
  <si>
    <t>防鱼雷空舱厚度（毫米）</t>
    <phoneticPr fontId="1" type="noConversion"/>
  </si>
  <si>
    <t>防雷隔舱钢板厚度（毫米）</t>
    <phoneticPr fontId="1" type="noConversion"/>
  </si>
  <si>
    <t>防鱼雷隔舱层数</t>
    <phoneticPr fontId="1" type="noConversion"/>
  </si>
  <si>
    <t>最大储备浮力</t>
    <phoneticPr fontId="1" type="noConversion"/>
  </si>
  <si>
    <t>火力评分</t>
    <phoneticPr fontId="1" type="noConversion"/>
  </si>
  <si>
    <t>主机重量比</t>
    <phoneticPr fontId="1" type="noConversion"/>
  </si>
  <si>
    <t>横向最大水密舱数量</t>
    <phoneticPr fontId="1" type="noConversion"/>
  </si>
  <si>
    <t>纵向最大水密舱数量</t>
    <phoneticPr fontId="1" type="noConversion"/>
  </si>
  <si>
    <t>水密舱数量</t>
    <phoneticPr fontId="1" type="noConversion"/>
  </si>
  <si>
    <t>平均耗油量（海里/吨/16节）</t>
    <phoneticPr fontId="1" type="noConversion"/>
  </si>
  <si>
    <t>方形系数</t>
    <phoneticPr fontId="1" type="noConversion"/>
  </si>
  <si>
    <t>弹药库区长度（米）</t>
    <phoneticPr fontId="1" type="noConversion"/>
  </si>
  <si>
    <t>主机区长度（米）</t>
    <phoneticPr fontId="1" type="noConversion"/>
  </si>
  <si>
    <t>弹药库区水平装甲重量（吨）</t>
    <phoneticPr fontId="1" type="noConversion"/>
  </si>
  <si>
    <t>主机区水平装甲重量（吨）</t>
    <phoneticPr fontId="1" type="noConversion"/>
  </si>
  <si>
    <t>弹药库区主装甲带重量（吨）</t>
    <phoneticPr fontId="1" type="noConversion"/>
  </si>
  <si>
    <t>主机区主装甲带重量（吨）</t>
    <phoneticPr fontId="1" type="noConversion"/>
  </si>
  <si>
    <t>弹药库区水下装甲重量（吨）</t>
    <phoneticPr fontId="1" type="noConversion"/>
  </si>
  <si>
    <t>主机区水下装甲重量（吨）</t>
    <phoneticPr fontId="1" type="noConversion"/>
  </si>
  <si>
    <t>水平装甲总重（吨）</t>
    <phoneticPr fontId="1" type="noConversion"/>
  </si>
  <si>
    <t>主装甲带总重（吨）</t>
    <phoneticPr fontId="1" type="noConversion"/>
  </si>
  <si>
    <t>水下装甲总重（吨）</t>
    <phoneticPr fontId="1" type="noConversion"/>
  </si>
  <si>
    <t>侧舷水线主装甲带厚度（主机区）（毫米）</t>
    <phoneticPr fontId="1" type="noConversion"/>
  </si>
  <si>
    <t>侧舷水线主装甲带厚度（弹药库区）（毫米）</t>
    <phoneticPr fontId="1" type="noConversion"/>
  </si>
  <si>
    <t>主水平装甲厚度（主机区）（毫米）</t>
    <phoneticPr fontId="1" type="noConversion"/>
  </si>
  <si>
    <t>主水平装甲厚度（弹药库区）（毫米）</t>
    <phoneticPr fontId="1" type="noConversion"/>
  </si>
  <si>
    <t>Type</t>
    <phoneticPr fontId="1" type="noConversion"/>
  </si>
  <si>
    <t>Class</t>
    <phoneticPr fontId="1" type="noConversion"/>
  </si>
  <si>
    <t>Number</t>
    <phoneticPr fontId="1" type="noConversion"/>
  </si>
  <si>
    <t>Disp-design</t>
    <phoneticPr fontId="1" type="noConversion"/>
  </si>
  <si>
    <t>Disp-std</t>
    <phoneticPr fontId="1" type="noConversion"/>
  </si>
  <si>
    <t>Disp-full</t>
    <phoneticPr fontId="1" type="noConversion"/>
  </si>
  <si>
    <t>Disp-light</t>
    <phoneticPr fontId="1" type="noConversion"/>
  </si>
  <si>
    <t>Length</t>
    <phoneticPr fontId="1" type="noConversion"/>
  </si>
  <si>
    <t>Length-water</t>
    <phoneticPr fontId="1" type="noConversion"/>
  </si>
  <si>
    <t>Width</t>
    <phoneticPr fontId="1" type="noConversion"/>
  </si>
  <si>
    <t>Width-water</t>
    <phoneticPr fontId="1" type="noConversion"/>
  </si>
  <si>
    <t>水下装甲厚度（主机区）（毫米）</t>
    <phoneticPr fontId="1" type="noConversion"/>
  </si>
  <si>
    <t>水下装甲厚度（弹药库区）（毫米）</t>
    <phoneticPr fontId="1" type="noConversion"/>
  </si>
  <si>
    <t>主装甲带与上甲板距离（米）</t>
    <phoneticPr fontId="1" type="noConversion"/>
  </si>
  <si>
    <t>主炮组数</t>
    <phoneticPr fontId="1" type="noConversion"/>
  </si>
  <si>
    <t>纵向隔断装甲重量（吨）</t>
    <phoneticPr fontId="1" type="noConversion"/>
  </si>
  <si>
    <t>纵向隔断装甲厚度（毫米）</t>
    <phoneticPr fontId="1" type="noConversion"/>
  </si>
  <si>
    <t>穹甲角度</t>
    <phoneticPr fontId="1" type="noConversion"/>
  </si>
  <si>
    <t>倾斜穹甲厚度（主机区）（毫米）</t>
    <phoneticPr fontId="1" type="noConversion"/>
  </si>
  <si>
    <t>倾斜穹甲厚度（弹药库区）（毫米）</t>
    <phoneticPr fontId="1" type="noConversion"/>
  </si>
  <si>
    <t>弹药库区倾斜穹甲重量（吨）</t>
    <phoneticPr fontId="1" type="noConversion"/>
  </si>
  <si>
    <t>主机区倾斜穹甲重量（吨）</t>
    <phoneticPr fontId="1" type="noConversion"/>
  </si>
  <si>
    <t>穹甲顶与主装甲带顶距离（米）</t>
    <phoneticPr fontId="1" type="noConversion"/>
  </si>
  <si>
    <t>倾斜穹甲占用宽度（米）</t>
    <phoneticPr fontId="1" type="noConversion"/>
  </si>
  <si>
    <t>倾斜穹甲钢材宽度（米）</t>
    <phoneticPr fontId="1" type="noConversion"/>
  </si>
  <si>
    <t>水平装甲宽度（米）</t>
    <phoneticPr fontId="1" type="noConversion"/>
  </si>
  <si>
    <t>倾斜穹甲总重（吨）</t>
    <phoneticPr fontId="1" type="noConversion"/>
  </si>
  <si>
    <t>其他装甲总重（吨）</t>
    <phoneticPr fontId="1" type="noConversion"/>
  </si>
  <si>
    <t>上部装甲总重（吨）</t>
    <phoneticPr fontId="1" type="noConversion"/>
  </si>
  <si>
    <t>舵机舱垂直装甲厚度（毫米）</t>
    <phoneticPr fontId="1" type="noConversion"/>
  </si>
  <si>
    <t>舵机舱水平装甲厚度（毫米）</t>
    <phoneticPr fontId="1" type="noConversion"/>
  </si>
  <si>
    <t>装甲区高度（米）</t>
    <phoneticPr fontId="1" type="noConversion"/>
  </si>
  <si>
    <t>主机排数</t>
    <phoneticPr fontId="1" type="noConversion"/>
  </si>
  <si>
    <t>每排主机数量</t>
    <phoneticPr fontId="1" type="noConversion"/>
  </si>
  <si>
    <t>单台主机长度（米）</t>
    <phoneticPr fontId="1" type="noConversion"/>
  </si>
  <si>
    <t>单台主机宽度（米）</t>
    <phoneticPr fontId="1" type="noConversion"/>
  </si>
  <si>
    <t>单台主机高度（米）</t>
    <phoneticPr fontId="1" type="noConversion"/>
  </si>
  <si>
    <t>主机区实际宽度（米）</t>
    <phoneticPr fontId="1" type="noConversion"/>
  </si>
  <si>
    <t>主机区剩余长度（米）</t>
    <phoneticPr fontId="1" type="noConversion"/>
  </si>
  <si>
    <t>主机区总长（米）</t>
    <phoneticPr fontId="1" type="noConversion"/>
  </si>
  <si>
    <t>Draft-full</t>
    <phoneticPr fontId="1" type="noConversion"/>
  </si>
  <si>
    <t>Moduled-depth</t>
    <phoneticPr fontId="1" type="noConversion"/>
  </si>
  <si>
    <t>满载干舷高（米）</t>
    <phoneticPr fontId="1" type="noConversion"/>
  </si>
  <si>
    <t>Freeboard</t>
    <phoneticPr fontId="1" type="noConversion"/>
  </si>
  <si>
    <t>Speed</t>
    <phoneticPr fontId="1" type="noConversion"/>
  </si>
  <si>
    <t>Turrets</t>
    <phoneticPr fontId="1" type="noConversion"/>
  </si>
  <si>
    <t>Turrets-group</t>
    <phoneticPr fontId="1" type="noConversion"/>
  </si>
  <si>
    <t>Mount</t>
    <phoneticPr fontId="1" type="noConversion"/>
  </si>
  <si>
    <t>AP-mass</t>
    <phoneticPr fontId="1" type="noConversion"/>
  </si>
  <si>
    <t>AP-resist</t>
    <phoneticPr fontId="1" type="noConversion"/>
  </si>
  <si>
    <t>Elevation</t>
    <phoneticPr fontId="1" type="noConversion"/>
  </si>
  <si>
    <t>Firing-rate</t>
    <phoneticPr fontId="1" type="noConversion"/>
  </si>
  <si>
    <t>Caliber</t>
    <phoneticPr fontId="1" type="noConversion"/>
  </si>
  <si>
    <t>Belt-engine</t>
    <phoneticPr fontId="1" type="noConversion"/>
  </si>
  <si>
    <t>Belt-magazine</t>
    <phoneticPr fontId="1" type="noConversion"/>
  </si>
  <si>
    <t>Belt-angle</t>
    <phoneticPr fontId="1" type="noConversion"/>
  </si>
  <si>
    <t>Belt-steel</t>
    <phoneticPr fontId="1" type="noConversion"/>
  </si>
  <si>
    <t>Belt-outer</t>
    <phoneticPr fontId="1" type="noConversion"/>
  </si>
  <si>
    <t>Belt-inner</t>
    <phoneticPr fontId="1" type="noConversion"/>
  </si>
  <si>
    <t>Tower</t>
    <phoneticPr fontId="1" type="noConversion"/>
  </si>
  <si>
    <t>Deck-outer</t>
    <phoneticPr fontId="1" type="noConversion"/>
  </si>
  <si>
    <t>Deck-engine</t>
    <phoneticPr fontId="1" type="noConversion"/>
  </si>
  <si>
    <t>Deck-magazine</t>
    <phoneticPr fontId="1" type="noConversion"/>
  </si>
  <si>
    <t>Deck-inner</t>
    <phoneticPr fontId="1" type="noConversion"/>
  </si>
  <si>
    <t>Dome-angle</t>
    <phoneticPr fontId="1" type="noConversion"/>
  </si>
  <si>
    <t>Dome-engine</t>
    <phoneticPr fontId="1" type="noConversion"/>
  </si>
  <si>
    <t>Dome-magazine</t>
    <phoneticPr fontId="1" type="noConversion"/>
  </si>
  <si>
    <t>Dome-height</t>
    <phoneticPr fontId="1" type="noConversion"/>
  </si>
  <si>
    <t>Deck-width</t>
    <phoneticPr fontId="1" type="noConversion"/>
  </si>
  <si>
    <t>Deck-steel</t>
    <phoneticPr fontId="1" type="noConversion"/>
  </si>
  <si>
    <t>Belt-upper</t>
    <phoneticPr fontId="1" type="noConversion"/>
  </si>
  <si>
    <t>Underwater-engine</t>
    <phoneticPr fontId="1" type="noConversion"/>
  </si>
  <si>
    <t>Underwater-magazine</t>
    <phoneticPr fontId="1" type="noConversion"/>
  </si>
  <si>
    <t>Underwater-steel</t>
    <phoneticPr fontId="1" type="noConversion"/>
  </si>
  <si>
    <t>TDS-layers</t>
    <phoneticPr fontId="1" type="noConversion"/>
  </si>
  <si>
    <t>TDS-space</t>
    <phoneticPr fontId="1" type="noConversion"/>
  </si>
  <si>
    <t>Hull-layers</t>
    <phoneticPr fontId="1" type="noConversion"/>
  </si>
  <si>
    <t>Belt-length</t>
    <phoneticPr fontId="1" type="noConversion"/>
  </si>
  <si>
    <t>艏艉装甲长度（米）</t>
    <phoneticPr fontId="1" type="noConversion"/>
  </si>
  <si>
    <t>艏艉装甲厚度（毫米）</t>
    <phoneticPr fontId="1" type="noConversion"/>
  </si>
  <si>
    <t>艏艉装甲重量（吨）</t>
    <phoneticPr fontId="1" type="noConversion"/>
  </si>
  <si>
    <t>Belt-width</t>
    <phoneticPr fontId="1" type="noConversion"/>
  </si>
  <si>
    <t>Upper-width</t>
    <phoneticPr fontId="1" type="noConversion"/>
  </si>
  <si>
    <t>Underwater-width</t>
    <phoneticPr fontId="1" type="noConversion"/>
  </si>
  <si>
    <t>Belt-below</t>
    <phoneticPr fontId="1" type="noConversion"/>
  </si>
  <si>
    <t>Magazine-length</t>
    <phoneticPr fontId="1" type="noConversion"/>
  </si>
  <si>
    <t>Engine-length</t>
    <phoneticPr fontId="1" type="noConversion"/>
  </si>
  <si>
    <t>Aft</t>
    <phoneticPr fontId="1" type="noConversion"/>
  </si>
  <si>
    <t>Turret-front</t>
    <phoneticPr fontId="1" type="noConversion"/>
  </si>
  <si>
    <t>Turret-side</t>
    <phoneticPr fontId="1" type="noConversion"/>
  </si>
  <si>
    <t>Turret-top</t>
    <phoneticPr fontId="1" type="noConversion"/>
  </si>
  <si>
    <t>Armored-vol</t>
    <phoneticPr fontId="1" type="noConversion"/>
  </si>
  <si>
    <t>Iowa</t>
    <phoneticPr fontId="1" type="noConversion"/>
  </si>
  <si>
    <t>AP-velocity</t>
    <phoneticPr fontId="1" type="noConversion"/>
  </si>
  <si>
    <t>AP-ef</t>
    <phoneticPr fontId="1" type="noConversion"/>
  </si>
  <si>
    <t>Atago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</si>
</sst>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0.00_ "/>
    <numFmt numFmtId="178" formatCode="0.0_ "/>
    <numFmt numFmtId="179" formatCode="0.00_);[Red]\(0.00\)"/>
    <numFmt numFmtId="180" formatCode="0.0_);[Red]\(0.0\)"/>
    <numFmt numFmtId="181" formatCode="0_);[Red]\(0\)"/>
  </numFmts>
  <fonts count="4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4" borderId="0" xfId="0" applyNumberFormat="1" applyFill="1">
      <alignment vertical="center"/>
    </xf>
    <xf numFmtId="176" fontId="0" fillId="0" borderId="0" xfId="0" applyNumberFormat="1" applyFill="1">
      <alignment vertical="center"/>
    </xf>
    <xf numFmtId="10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0" fontId="2" fillId="4" borderId="0" xfId="0" applyFont="1" applyFill="1">
      <alignment vertical="center"/>
    </xf>
    <xf numFmtId="0" fontId="2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2" fillId="0" borderId="0" xfId="0" applyFont="1" applyFill="1">
      <alignment vertical="center"/>
    </xf>
    <xf numFmtId="177" fontId="2" fillId="0" borderId="0" xfId="0" applyNumberFormat="1" applyFont="1">
      <alignment vertical="center"/>
    </xf>
    <xf numFmtId="0" fontId="0" fillId="0" borderId="0" xfId="0" applyAlignment="1"/>
    <xf numFmtId="176" fontId="0" fillId="0" borderId="0" xfId="0" applyNumberFormat="1" applyAlignment="1"/>
    <xf numFmtId="0" fontId="0" fillId="0" borderId="0" xfId="0" applyFill="1" applyAlignment="1"/>
    <xf numFmtId="177" fontId="0" fillId="0" borderId="0" xfId="0" applyNumberFormat="1" applyFill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NumberFormat="1" applyFont="1" applyFill="1">
      <alignment vertical="center"/>
    </xf>
    <xf numFmtId="0" fontId="0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81" fontId="0" fillId="0" borderId="0" xfId="0" applyNumberFormat="1">
      <alignment vertical="center"/>
    </xf>
    <xf numFmtId="181" fontId="2" fillId="0" borderId="0" xfId="0" applyNumberFormat="1" applyFont="1">
      <alignment vertical="center"/>
    </xf>
    <xf numFmtId="0" fontId="0" fillId="0" borderId="0" xfId="0" applyFont="1" applyAlignment="1"/>
    <xf numFmtId="0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0"/>
  <sheetViews>
    <sheetView tabSelected="1" zoomScaleSheetLayoutView="100" workbookViewId="0">
      <pane ySplit="4" topLeftCell="A212" activePane="bottomLeft" state="frozen"/>
      <selection pane="bottomLeft" activeCell="B226" sqref="B226"/>
    </sheetView>
  </sheetViews>
  <sheetFormatPr defaultColWidth="9" defaultRowHeight="15.6" x14ac:dyDescent="0.25"/>
  <cols>
    <col min="1" max="1" width="20.796875" customWidth="1"/>
    <col min="2" max="2" width="45.69921875" customWidth="1"/>
    <col min="3" max="4" width="11.59765625" customWidth="1"/>
  </cols>
  <sheetData>
    <row r="1" spans="1:5" x14ac:dyDescent="0.25">
      <c r="A1" s="18"/>
      <c r="B1" t="s">
        <v>0</v>
      </c>
    </row>
    <row r="2" spans="1:5" x14ac:dyDescent="0.25">
      <c r="A2" s="18" t="s">
        <v>372</v>
      </c>
      <c r="B2" t="s">
        <v>1</v>
      </c>
      <c r="C2" t="s">
        <v>2</v>
      </c>
      <c r="D2" s="18"/>
    </row>
    <row r="3" spans="1:5" x14ac:dyDescent="0.25">
      <c r="A3" s="18" t="s">
        <v>374</v>
      </c>
      <c r="B3" t="s">
        <v>3</v>
      </c>
      <c r="C3" t="s">
        <v>7</v>
      </c>
      <c r="D3" s="18" t="s">
        <v>464</v>
      </c>
      <c r="E3" s="18" t="s">
        <v>467</v>
      </c>
    </row>
    <row r="4" spans="1:5" x14ac:dyDescent="0.25">
      <c r="A4" s="18" t="s">
        <v>373</v>
      </c>
      <c r="B4" t="s">
        <v>8</v>
      </c>
      <c r="C4" t="s">
        <v>7</v>
      </c>
      <c r="D4" s="18"/>
    </row>
    <row r="5" spans="1:5" x14ac:dyDescent="0.25">
      <c r="B5" t="s">
        <v>9</v>
      </c>
      <c r="C5" t="s">
        <v>10</v>
      </c>
      <c r="D5" s="18"/>
    </row>
    <row r="6" spans="1:5" x14ac:dyDescent="0.25">
      <c r="B6" t="s">
        <v>11</v>
      </c>
    </row>
    <row r="7" spans="1:5" x14ac:dyDescent="0.25">
      <c r="B7" t="s">
        <v>12</v>
      </c>
    </row>
    <row r="8" spans="1:5" s="3" customFormat="1" x14ac:dyDescent="0.25">
      <c r="B8" s="3" t="s">
        <v>13</v>
      </c>
      <c r="C8" s="3">
        <v>811</v>
      </c>
    </row>
    <row r="9" spans="1:5" s="3" customFormat="1" x14ac:dyDescent="0.25">
      <c r="B9" s="3" t="s">
        <v>14</v>
      </c>
      <c r="C9" s="3">
        <v>10.8</v>
      </c>
    </row>
    <row r="10" spans="1:5" s="3" customFormat="1" x14ac:dyDescent="0.25">
      <c r="B10" s="3" t="s">
        <v>15</v>
      </c>
      <c r="C10" s="1">
        <f t="shared" ref="C10" si="0">C8*C9</f>
        <v>8758.8000000000011</v>
      </c>
      <c r="D10" s="1"/>
    </row>
    <row r="11" spans="1:5" s="3" customFormat="1" x14ac:dyDescent="0.25">
      <c r="B11" s="3" t="s">
        <v>16</v>
      </c>
      <c r="C11" s="1">
        <f t="shared" ref="C11" si="1">C10/C13*10000</f>
        <v>2297.0814839748564</v>
      </c>
      <c r="D11" s="1"/>
    </row>
    <row r="12" spans="1:5" x14ac:dyDescent="0.25">
      <c r="A12" s="18" t="s">
        <v>375</v>
      </c>
      <c r="B12" t="s">
        <v>17</v>
      </c>
      <c r="C12">
        <v>38600</v>
      </c>
    </row>
    <row r="13" spans="1:5" x14ac:dyDescent="0.25">
      <c r="A13" s="18" t="s">
        <v>376</v>
      </c>
      <c r="B13" t="s">
        <v>18</v>
      </c>
      <c r="C13" s="1">
        <f>C320+C319+C316+C311</f>
        <v>38130.123206791184</v>
      </c>
      <c r="D13" s="1"/>
    </row>
    <row r="14" spans="1:5" x14ac:dyDescent="0.25">
      <c r="A14" s="18" t="s">
        <v>377</v>
      </c>
      <c r="B14" t="s">
        <v>19</v>
      </c>
      <c r="C14" s="1">
        <f>C41+C51+C63+C67</f>
        <v>43688.558125000003</v>
      </c>
      <c r="D14" s="1"/>
    </row>
    <row r="15" spans="1:5" x14ac:dyDescent="0.25">
      <c r="A15" s="18" t="s">
        <v>378</v>
      </c>
      <c r="B15" t="s">
        <v>20</v>
      </c>
      <c r="C15" s="1">
        <f>C320</f>
        <v>36198.219206791182</v>
      </c>
      <c r="D15" s="1"/>
    </row>
    <row r="16" spans="1:5" x14ac:dyDescent="0.25">
      <c r="A16" s="18" t="s">
        <v>379</v>
      </c>
      <c r="B16" t="s">
        <v>21</v>
      </c>
      <c r="C16">
        <v>242.5</v>
      </c>
    </row>
    <row r="17" spans="1:4" x14ac:dyDescent="0.25">
      <c r="A17" s="18" t="s">
        <v>380</v>
      </c>
      <c r="B17" t="s">
        <v>22</v>
      </c>
      <c r="C17">
        <v>239.9</v>
      </c>
    </row>
    <row r="18" spans="1:4" x14ac:dyDescent="0.25">
      <c r="A18" s="18" t="s">
        <v>381</v>
      </c>
      <c r="B18" t="s">
        <v>23</v>
      </c>
      <c r="C18">
        <v>33</v>
      </c>
    </row>
    <row r="19" spans="1:4" x14ac:dyDescent="0.25">
      <c r="A19" s="18" t="s">
        <v>382</v>
      </c>
      <c r="B19" t="s">
        <v>24</v>
      </c>
      <c r="C19">
        <v>32.299999999999997</v>
      </c>
    </row>
    <row r="20" spans="1:4" x14ac:dyDescent="0.25">
      <c r="A20" s="18" t="s">
        <v>413</v>
      </c>
      <c r="B20" t="s">
        <v>25</v>
      </c>
      <c r="C20">
        <v>14.9</v>
      </c>
    </row>
    <row r="21" spans="1:4" x14ac:dyDescent="0.25">
      <c r="B21" t="s">
        <v>26</v>
      </c>
      <c r="C21" s="5">
        <f>(C13/C14)^C84*C23</f>
        <v>9.161731526331101</v>
      </c>
      <c r="D21" s="5"/>
    </row>
    <row r="22" spans="1:4" x14ac:dyDescent="0.25">
      <c r="B22" t="s">
        <v>27</v>
      </c>
      <c r="C22" s="5">
        <f t="shared" ref="C22" si="2">C20-C21</f>
        <v>5.7382684736688994</v>
      </c>
      <c r="D22" s="5"/>
    </row>
    <row r="23" spans="1:4" x14ac:dyDescent="0.25">
      <c r="A23" s="18" t="s">
        <v>412</v>
      </c>
      <c r="B23" t="s">
        <v>28</v>
      </c>
      <c r="C23">
        <v>9.9</v>
      </c>
    </row>
    <row r="24" spans="1:4" x14ac:dyDescent="0.25">
      <c r="A24" s="18" t="s">
        <v>415</v>
      </c>
      <c r="B24" s="18" t="s">
        <v>414</v>
      </c>
      <c r="C24">
        <f>C20-C23</f>
        <v>5</v>
      </c>
    </row>
    <row r="25" spans="1:4" x14ac:dyDescent="0.25">
      <c r="B25" t="s">
        <v>29</v>
      </c>
      <c r="C25">
        <v>53.9</v>
      </c>
    </row>
    <row r="26" spans="1:4" x14ac:dyDescent="0.25">
      <c r="B26" t="s">
        <v>30</v>
      </c>
      <c r="C26">
        <v>52.7</v>
      </c>
    </row>
    <row r="27" spans="1:4" x14ac:dyDescent="0.25">
      <c r="B27" t="s">
        <v>31</v>
      </c>
      <c r="C27" t="s">
        <v>32</v>
      </c>
      <c r="D27" s="18"/>
    </row>
    <row r="28" spans="1:4" x14ac:dyDescent="0.25">
      <c r="B28" t="s">
        <v>33</v>
      </c>
      <c r="C28">
        <v>1.1200000000000001</v>
      </c>
      <c r="D28" s="18"/>
    </row>
    <row r="29" spans="1:4" x14ac:dyDescent="0.25">
      <c r="B29" t="s">
        <v>34</v>
      </c>
      <c r="C29" s="4">
        <f t="shared" ref="C29" si="3">C17/C19</f>
        <v>7.4272445820433441</v>
      </c>
      <c r="D29" s="4"/>
    </row>
    <row r="30" spans="1:4" x14ac:dyDescent="0.25">
      <c r="B30" s="29" t="s">
        <v>297</v>
      </c>
      <c r="C30" s="29">
        <v>1</v>
      </c>
      <c r="D30" s="33"/>
    </row>
    <row r="31" spans="1:4" x14ac:dyDescent="0.25">
      <c r="B31" s="29" t="s">
        <v>298</v>
      </c>
      <c r="C31" s="29">
        <v>2.5</v>
      </c>
      <c r="D31" s="33"/>
    </row>
    <row r="32" spans="1:4" x14ac:dyDescent="0.25">
      <c r="B32" s="29" t="s">
        <v>299</v>
      </c>
      <c r="C32" s="29">
        <v>2.5</v>
      </c>
      <c r="D32" s="33"/>
    </row>
    <row r="33" spans="2:4" x14ac:dyDescent="0.25">
      <c r="B33" s="29" t="s">
        <v>300</v>
      </c>
      <c r="C33" s="29">
        <v>2.5</v>
      </c>
      <c r="D33" s="33"/>
    </row>
    <row r="34" spans="2:4" x14ac:dyDescent="0.25">
      <c r="B34" s="29" t="s">
        <v>301</v>
      </c>
      <c r="C34" s="29">
        <v>65</v>
      </c>
      <c r="D34" s="33"/>
    </row>
    <row r="35" spans="2:4" x14ac:dyDescent="0.25">
      <c r="B35" s="29" t="s">
        <v>302</v>
      </c>
      <c r="C35" s="29">
        <v>32.299999999999997</v>
      </c>
      <c r="D35" s="33"/>
    </row>
    <row r="36" spans="2:4" x14ac:dyDescent="0.25">
      <c r="B36" s="29" t="s">
        <v>303</v>
      </c>
      <c r="C36" s="29">
        <v>32.6</v>
      </c>
      <c r="D36" s="33"/>
    </row>
    <row r="37" spans="2:4" x14ac:dyDescent="0.25">
      <c r="B37" s="29" t="s">
        <v>304</v>
      </c>
      <c r="C37" s="29">
        <v>32.6</v>
      </c>
      <c r="D37" s="33"/>
    </row>
    <row r="38" spans="2:4" x14ac:dyDescent="0.25">
      <c r="B38" s="29" t="s">
        <v>305</v>
      </c>
      <c r="C38" s="29">
        <v>30.4</v>
      </c>
      <c r="D38" s="33"/>
    </row>
    <row r="39" spans="2:4" x14ac:dyDescent="0.25">
      <c r="B39" s="29" t="s">
        <v>324</v>
      </c>
      <c r="C39" s="29">
        <v>24.8</v>
      </c>
      <c r="D39" s="33"/>
    </row>
    <row r="40" spans="2:4" x14ac:dyDescent="0.25">
      <c r="B40" s="29" t="s">
        <v>306</v>
      </c>
      <c r="C40" s="29">
        <v>0</v>
      </c>
      <c r="D40" s="33"/>
    </row>
    <row r="41" spans="2:4" x14ac:dyDescent="0.25">
      <c r="B41" s="30" t="s">
        <v>307</v>
      </c>
      <c r="C41" s="30">
        <f>((C35+C36)/2*C30+(C36+C37)/2*C31+(C37+C38)/2*C32+(C38+C39)/2*C33)*C34*(1+C40)</f>
        <v>17010.5</v>
      </c>
      <c r="D41" s="30"/>
    </row>
    <row r="42" spans="2:4" x14ac:dyDescent="0.25">
      <c r="B42" s="29" t="s">
        <v>308</v>
      </c>
      <c r="C42" s="29">
        <v>100</v>
      </c>
      <c r="D42" s="33"/>
    </row>
    <row r="43" spans="2:4" x14ac:dyDescent="0.25">
      <c r="B43" s="29" t="s">
        <v>309</v>
      </c>
      <c r="C43" s="29">
        <v>100.8</v>
      </c>
      <c r="D43" s="33"/>
    </row>
    <row r="44" spans="2:4" s="26" customFormat="1" x14ac:dyDescent="0.25">
      <c r="B44" s="29" t="s">
        <v>310</v>
      </c>
      <c r="C44" s="29">
        <v>102.25</v>
      </c>
      <c r="D44" s="33"/>
    </row>
    <row r="45" spans="2:4" s="32" customFormat="1" x14ac:dyDescent="0.25">
      <c r="B45" s="31" t="s">
        <v>325</v>
      </c>
      <c r="C45" s="31">
        <v>18.34</v>
      </c>
      <c r="D45" s="34"/>
    </row>
    <row r="46" spans="2:4" x14ac:dyDescent="0.25">
      <c r="B46" s="29" t="s">
        <v>326</v>
      </c>
      <c r="C46" s="29">
        <v>17.54</v>
      </c>
      <c r="D46" s="34"/>
    </row>
    <row r="47" spans="2:4" x14ac:dyDescent="0.25">
      <c r="B47" s="29" t="s">
        <v>327</v>
      </c>
      <c r="C47" s="29">
        <v>16.54</v>
      </c>
      <c r="D47" s="34"/>
    </row>
    <row r="48" spans="2:4" s="4" customFormat="1" x14ac:dyDescent="0.25">
      <c r="B48" s="29" t="s">
        <v>311</v>
      </c>
      <c r="C48" s="29">
        <v>15.54</v>
      </c>
      <c r="D48" s="34"/>
    </row>
    <row r="49" spans="2:4" s="4" customFormat="1" x14ac:dyDescent="0.25">
      <c r="B49" s="29" t="s">
        <v>312</v>
      </c>
      <c r="C49" s="29">
        <v>12.44</v>
      </c>
      <c r="D49" s="34"/>
    </row>
    <row r="50" spans="2:4" s="11" customFormat="1" x14ac:dyDescent="0.25">
      <c r="B50" s="31" t="s">
        <v>306</v>
      </c>
      <c r="C50" s="31">
        <v>0</v>
      </c>
      <c r="D50" s="34"/>
    </row>
    <row r="51" spans="2:4" x14ac:dyDescent="0.25">
      <c r="B51" s="30" t="s">
        <v>313</v>
      </c>
      <c r="C51" s="30">
        <f>((((C35+C36)/2+(C45+C46)/2)*C42/4+(C45+C46)/2*C42/4)*C30+(((C36+C37)/2+(C46+C47)/2)*C43/4+(C46+C47)/2*C43/4)*C31+(((C37+C38)/2+(C47+C48)/2)*C43/4+(C47+C48)/2*C43/4)*C32+(((C38+C39)/2+(C48+C49)/2)*C44/4+(C48+C49)/2*C44/4)*C33)*(1+C50)</f>
        <v>13466.539375</v>
      </c>
      <c r="D51" s="30"/>
    </row>
    <row r="52" spans="2:4" x14ac:dyDescent="0.25">
      <c r="B52" s="29" t="s">
        <v>329</v>
      </c>
      <c r="C52" s="29">
        <v>74.900000000000006</v>
      </c>
      <c r="D52" s="34"/>
    </row>
    <row r="53" spans="2:4" x14ac:dyDescent="0.25">
      <c r="B53" s="29" t="s">
        <v>314</v>
      </c>
      <c r="C53" s="29">
        <v>74.8</v>
      </c>
      <c r="D53" s="34"/>
    </row>
    <row r="54" spans="2:4" x14ac:dyDescent="0.25">
      <c r="B54" s="29" t="s">
        <v>330</v>
      </c>
      <c r="C54" s="29">
        <v>49.16</v>
      </c>
      <c r="D54" s="34"/>
    </row>
    <row r="55" spans="2:4" x14ac:dyDescent="0.25">
      <c r="B55" s="29" t="s">
        <v>315</v>
      </c>
      <c r="C55" s="29">
        <v>44.12</v>
      </c>
      <c r="D55" s="34"/>
    </row>
    <row r="56" spans="2:4" x14ac:dyDescent="0.25">
      <c r="B56" s="29" t="s">
        <v>316</v>
      </c>
      <c r="C56" s="29">
        <v>40.08</v>
      </c>
      <c r="D56" s="34"/>
    </row>
    <row r="57" spans="2:4" x14ac:dyDescent="0.25">
      <c r="B57" s="29" t="s">
        <v>317</v>
      </c>
      <c r="C57" s="29">
        <v>23.9</v>
      </c>
      <c r="D57" s="34"/>
    </row>
    <row r="58" spans="2:4" x14ac:dyDescent="0.25">
      <c r="B58" s="29" t="s">
        <v>331</v>
      </c>
      <c r="C58" s="29">
        <v>23.4</v>
      </c>
      <c r="D58" s="34"/>
    </row>
    <row r="59" spans="2:4" x14ac:dyDescent="0.25">
      <c r="B59" s="29" t="s">
        <v>318</v>
      </c>
      <c r="C59" s="29">
        <v>16.399999999999999</v>
      </c>
      <c r="D59" s="34"/>
    </row>
    <row r="60" spans="2:4" x14ac:dyDescent="0.25">
      <c r="B60" s="29" t="s">
        <v>332</v>
      </c>
      <c r="C60" s="29">
        <v>14.2</v>
      </c>
      <c r="D60" s="34"/>
    </row>
    <row r="61" spans="2:4" x14ac:dyDescent="0.25">
      <c r="B61" s="29" t="s">
        <v>319</v>
      </c>
      <c r="C61" s="29">
        <v>9.4</v>
      </c>
      <c r="D61" s="34"/>
    </row>
    <row r="62" spans="2:4" x14ac:dyDescent="0.25">
      <c r="B62" s="29" t="s">
        <v>328</v>
      </c>
      <c r="C62" s="29">
        <v>0</v>
      </c>
      <c r="D62" s="34"/>
    </row>
    <row r="63" spans="2:4" x14ac:dyDescent="0.25">
      <c r="B63" s="30" t="s">
        <v>320</v>
      </c>
      <c r="C63" s="30">
        <f>((((C35+C36)/2+(C57+C58)/2)*(C52+C53)/4+(C57+C58)/2*(C52+C53)/4)*C30+((C36+C37)/2+((C58+C59)/2)*(C53+C54)/4+(C58+C59)/2*(C53+C54)/4)*C31+(((C37+C38)/2+(C59+C60)/2)*(C54+C55)/4+(C59+C60)/2*(C54+C55)/4)*C32+(((C38+C39)/2+(C60+C61)/2)*(C55+C56)/4+(C60+C61)/2*(C55+C56)/4)*C33)*(1+C62)</f>
        <v>12464.47875</v>
      </c>
      <c r="D63" s="30"/>
    </row>
    <row r="64" spans="2:4" x14ac:dyDescent="0.25">
      <c r="B64" s="29" t="s">
        <v>321</v>
      </c>
      <c r="C64" s="29">
        <v>80.5</v>
      </c>
      <c r="D64" s="29"/>
    </row>
    <row r="65" spans="2:4" x14ac:dyDescent="0.25">
      <c r="B65" s="29" t="s">
        <v>322</v>
      </c>
      <c r="C65" s="29">
        <v>23.2</v>
      </c>
      <c r="D65" s="29"/>
    </row>
    <row r="66" spans="2:4" x14ac:dyDescent="0.25">
      <c r="B66" s="29" t="s">
        <v>333</v>
      </c>
      <c r="C66" s="29">
        <v>0.4</v>
      </c>
      <c r="D66" s="29"/>
    </row>
    <row r="67" spans="2:4" x14ac:dyDescent="0.25">
      <c r="B67" s="30" t="s">
        <v>323</v>
      </c>
      <c r="C67" s="30">
        <f>C64*C65*C66</f>
        <v>747.04</v>
      </c>
      <c r="D67" s="30"/>
    </row>
    <row r="68" spans="2:4" x14ac:dyDescent="0.25">
      <c r="B68" t="s">
        <v>35</v>
      </c>
      <c r="C68" t="s">
        <v>36</v>
      </c>
      <c r="D68" s="18"/>
    </row>
    <row r="69" spans="2:4" x14ac:dyDescent="0.25">
      <c r="B69" s="40" t="s">
        <v>404</v>
      </c>
      <c r="C69" s="29">
        <v>4</v>
      </c>
      <c r="D69" s="18"/>
    </row>
    <row r="70" spans="2:4" x14ac:dyDescent="0.25">
      <c r="B70" s="40" t="s">
        <v>405</v>
      </c>
      <c r="C70" s="29">
        <v>2</v>
      </c>
      <c r="D70" s="18"/>
    </row>
    <row r="71" spans="2:4" x14ac:dyDescent="0.25">
      <c r="B71" t="s">
        <v>38</v>
      </c>
      <c r="C71">
        <f>C69*C70</f>
        <v>8</v>
      </c>
    </row>
    <row r="72" spans="2:4" x14ac:dyDescent="0.25">
      <c r="B72" s="18" t="s">
        <v>403</v>
      </c>
      <c r="C72">
        <f>C20-C254-C227-C243*0.3</f>
        <v>9</v>
      </c>
    </row>
    <row r="73" spans="2:4" s="4" customFormat="1" x14ac:dyDescent="0.25">
      <c r="B73" s="28" t="s">
        <v>409</v>
      </c>
      <c r="C73" s="4">
        <f>C37-((C242+C238)*(C241-1)+C236)/500</f>
        <v>29.0732</v>
      </c>
    </row>
    <row r="74" spans="2:4" x14ac:dyDescent="0.25">
      <c r="B74" s="18" t="s">
        <v>406</v>
      </c>
      <c r="C74">
        <v>10.5</v>
      </c>
    </row>
    <row r="75" spans="2:4" x14ac:dyDescent="0.25">
      <c r="B75" s="18" t="s">
        <v>407</v>
      </c>
      <c r="C75">
        <v>12.5</v>
      </c>
    </row>
    <row r="76" spans="2:4" x14ac:dyDescent="0.25">
      <c r="B76" s="18" t="s">
        <v>408</v>
      </c>
      <c r="C76">
        <v>8.5</v>
      </c>
    </row>
    <row r="77" spans="2:4" s="1" customFormat="1" x14ac:dyDescent="0.25">
      <c r="B77" s="1" t="s">
        <v>39</v>
      </c>
      <c r="C77" s="1">
        <f>C74*C75*C76/2.5</f>
        <v>446.25</v>
      </c>
    </row>
    <row r="78" spans="2:4" x14ac:dyDescent="0.25">
      <c r="B78" s="18" t="s">
        <v>411</v>
      </c>
      <c r="C78">
        <f>C74*C69</f>
        <v>42</v>
      </c>
    </row>
    <row r="79" spans="2:4" s="24" customFormat="1" x14ac:dyDescent="0.25">
      <c r="B79" s="23" t="s">
        <v>410</v>
      </c>
      <c r="C79" s="24">
        <f>C257-C78</f>
        <v>4.7000000000000028</v>
      </c>
    </row>
    <row r="80" spans="2:4" x14ac:dyDescent="0.25">
      <c r="B80" s="18" t="s">
        <v>351</v>
      </c>
      <c r="C80">
        <v>22.5</v>
      </c>
    </row>
    <row r="81" spans="1:4" s="1" customFormat="1" x14ac:dyDescent="0.25">
      <c r="B81" s="1" t="s">
        <v>37</v>
      </c>
      <c r="C81" s="1">
        <f>C77*C80</f>
        <v>10040.625</v>
      </c>
    </row>
    <row r="82" spans="1:4" s="1" customFormat="1" x14ac:dyDescent="0.25">
      <c r="B82" s="1" t="s">
        <v>40</v>
      </c>
      <c r="C82" s="1">
        <f>C81*C71</f>
        <v>80325</v>
      </c>
    </row>
    <row r="83" spans="1:4" x14ac:dyDescent="0.25">
      <c r="B83" t="s">
        <v>41</v>
      </c>
      <c r="C83">
        <v>0.94</v>
      </c>
    </row>
    <row r="84" spans="1:4" s="11" customFormat="1" x14ac:dyDescent="0.25">
      <c r="B84" s="11" t="s">
        <v>356</v>
      </c>
      <c r="C84" s="32">
        <f>C14/(C17*C19*C23)</f>
        <v>0.56950789211602859</v>
      </c>
      <c r="D84" s="32"/>
    </row>
    <row r="85" spans="1:4" s="1" customFormat="1" x14ac:dyDescent="0.25">
      <c r="B85" t="s">
        <v>42</v>
      </c>
      <c r="C85" s="4">
        <f>C13^0.5*C83/C29^0.3</f>
        <v>100.58046525308313</v>
      </c>
      <c r="D85" s="4"/>
    </row>
    <row r="86" spans="1:4" x14ac:dyDescent="0.25">
      <c r="B86" s="18" t="s">
        <v>251</v>
      </c>
      <c r="C86" s="4">
        <f>(1.05-C84^2)*C23</f>
        <v>7.1840415320938247</v>
      </c>
      <c r="D86" s="4"/>
    </row>
    <row r="87" spans="1:4" x14ac:dyDescent="0.25">
      <c r="B87" s="18" t="s">
        <v>256</v>
      </c>
      <c r="C87" s="4" t="e">
        <f>C237*C253*0.00785*(C86/2)+C305/C16*C86*2+C303/C16*C86/C20*2+(C311+C312)/C16*(C86-C243/3)/2+(#REF!/1000*((C276*3.14*C108/20)*C98+#REF!/1000*C71*C77/100*3)*7.85)*C86/3/C16</f>
        <v>#REF!</v>
      </c>
      <c r="D87" s="4"/>
    </row>
    <row r="88" spans="1:4" x14ac:dyDescent="0.25">
      <c r="B88" s="18" t="s">
        <v>257</v>
      </c>
      <c r="C88" s="4">
        <f>(C304+C217*180*0.00785)/C16*(C26-C86)/3+C282*(C309+C20-C86)/C16+C310/C16*(C20-C86)/10+(C221+C220)*C19/C16*0.00785*(C21-C86)</f>
        <v>161.03821338500407</v>
      </c>
      <c r="D88" s="4"/>
    </row>
    <row r="89" spans="1:4" x14ac:dyDescent="0.25">
      <c r="B89" s="18" t="s">
        <v>258</v>
      </c>
      <c r="C89" s="4" t="e">
        <f>(C87-C88)/C13*50000</f>
        <v>#REF!</v>
      </c>
      <c r="D89" s="4"/>
    </row>
    <row r="90" spans="1:4" x14ac:dyDescent="0.25">
      <c r="B90" s="18" t="s">
        <v>259</v>
      </c>
      <c r="C90" s="4" t="e">
        <f t="shared" ref="C90" si="4">C89/2</f>
        <v>#REF!</v>
      </c>
      <c r="D90" s="4"/>
    </row>
    <row r="91" spans="1:4" x14ac:dyDescent="0.25">
      <c r="B91" s="25" t="s">
        <v>260</v>
      </c>
      <c r="C91" s="26" t="e">
        <f>C89*C19/200</f>
        <v>#REF!</v>
      </c>
      <c r="D91" s="26"/>
    </row>
    <row r="92" spans="1:4" x14ac:dyDescent="0.25">
      <c r="A92" s="18" t="s">
        <v>416</v>
      </c>
      <c r="B92" s="6" t="s">
        <v>43</v>
      </c>
      <c r="C92" s="6">
        <f t="shared" ref="C92" si="5">(C82/C85)^0.36*2.15</f>
        <v>23.838548804675998</v>
      </c>
      <c r="D92" s="6"/>
    </row>
    <row r="93" spans="1:4" x14ac:dyDescent="0.25">
      <c r="B93" t="s">
        <v>44</v>
      </c>
      <c r="C93" s="1">
        <f>C321</f>
        <v>5308.4349182088208</v>
      </c>
      <c r="D93" s="1"/>
    </row>
    <row r="94" spans="1:4" x14ac:dyDescent="0.25">
      <c r="B94" t="s">
        <v>45</v>
      </c>
      <c r="C94" s="1">
        <f>(16/2.15)^(1/0.36)*(C13^0.5*C83/C29^0.3)</f>
        <v>26536.962049977483</v>
      </c>
      <c r="D94" s="1"/>
    </row>
    <row r="95" spans="1:4" x14ac:dyDescent="0.25">
      <c r="B95" s="4" t="s">
        <v>46</v>
      </c>
      <c r="C95" s="4">
        <v>0.88</v>
      </c>
      <c r="D95" s="4"/>
    </row>
    <row r="96" spans="1:4" x14ac:dyDescent="0.25">
      <c r="B96" s="28" t="s">
        <v>355</v>
      </c>
      <c r="C96" s="4">
        <f>C93/C97</f>
        <v>0.60311277386312456</v>
      </c>
      <c r="D96" s="4"/>
    </row>
    <row r="97" spans="1:5" x14ac:dyDescent="0.25">
      <c r="B97" s="7" t="s">
        <v>47</v>
      </c>
      <c r="C97" s="13">
        <f t="shared" ref="C97" si="6">C93/C94*50000*C95</f>
        <v>8801.7285460671756</v>
      </c>
      <c r="D97" s="13"/>
    </row>
    <row r="98" spans="1:5" x14ac:dyDescent="0.25">
      <c r="A98" s="18" t="s">
        <v>417</v>
      </c>
      <c r="B98" t="s">
        <v>48</v>
      </c>
      <c r="C98">
        <v>6</v>
      </c>
    </row>
    <row r="99" spans="1:5" x14ac:dyDescent="0.25">
      <c r="A99" s="18" t="s">
        <v>418</v>
      </c>
      <c r="B99" s="18" t="s">
        <v>386</v>
      </c>
      <c r="C99">
        <v>3</v>
      </c>
    </row>
    <row r="100" spans="1:5" x14ac:dyDescent="0.25">
      <c r="B100" t="s">
        <v>49</v>
      </c>
      <c r="C100" t="s">
        <v>50</v>
      </c>
    </row>
    <row r="101" spans="1:5" x14ac:dyDescent="0.25">
      <c r="A101" s="18" t="s">
        <v>419</v>
      </c>
      <c r="B101" t="s">
        <v>51</v>
      </c>
      <c r="C101">
        <v>2</v>
      </c>
      <c r="D101" s="3"/>
    </row>
    <row r="102" spans="1:5" x14ac:dyDescent="0.25">
      <c r="B102" t="s">
        <v>52</v>
      </c>
      <c r="C102">
        <f>C98*C101</f>
        <v>12</v>
      </c>
    </row>
    <row r="103" spans="1:5" x14ac:dyDescent="0.25">
      <c r="A103" s="18" t="s">
        <v>424</v>
      </c>
      <c r="B103" t="s">
        <v>53</v>
      </c>
      <c r="C103">
        <v>356</v>
      </c>
      <c r="D103">
        <v>406</v>
      </c>
      <c r="E103">
        <v>203</v>
      </c>
    </row>
    <row r="104" spans="1:5" x14ac:dyDescent="0.25">
      <c r="B104" t="s">
        <v>54</v>
      </c>
      <c r="C104">
        <v>50</v>
      </c>
      <c r="D104">
        <v>50</v>
      </c>
      <c r="E104">
        <v>50</v>
      </c>
    </row>
    <row r="105" spans="1:5" x14ac:dyDescent="0.25">
      <c r="B105" t="s">
        <v>55</v>
      </c>
      <c r="C105" s="17" t="s">
        <v>56</v>
      </c>
      <c r="D105" s="20"/>
    </row>
    <row r="106" spans="1:5" x14ac:dyDescent="0.25">
      <c r="A106" s="18" t="s">
        <v>422</v>
      </c>
      <c r="B106" t="s">
        <v>57</v>
      </c>
      <c r="C106">
        <v>30</v>
      </c>
      <c r="D106">
        <v>40</v>
      </c>
      <c r="E106">
        <v>40</v>
      </c>
    </row>
    <row r="107" spans="1:5" s="24" customFormat="1" x14ac:dyDescent="0.25">
      <c r="A107" s="23" t="s">
        <v>423</v>
      </c>
      <c r="B107" t="s">
        <v>58</v>
      </c>
      <c r="C107">
        <v>2</v>
      </c>
      <c r="D107"/>
    </row>
    <row r="108" spans="1:5" s="24" customFormat="1" x14ac:dyDescent="0.25">
      <c r="B108" t="s">
        <v>59</v>
      </c>
      <c r="C108">
        <v>120</v>
      </c>
      <c r="D108"/>
    </row>
    <row r="109" spans="1:5" s="24" customFormat="1" x14ac:dyDescent="0.25">
      <c r="B109" t="s">
        <v>60</v>
      </c>
      <c r="C109" t="s">
        <v>61</v>
      </c>
      <c r="D109" s="18"/>
    </row>
    <row r="110" spans="1:5" s="24" customFormat="1" x14ac:dyDescent="0.25">
      <c r="A110" s="23" t="s">
        <v>420</v>
      </c>
      <c r="B110" t="s">
        <v>62</v>
      </c>
      <c r="C110">
        <v>693</v>
      </c>
      <c r="D110">
        <v>1225</v>
      </c>
      <c r="E110" s="24">
        <v>126</v>
      </c>
    </row>
    <row r="111" spans="1:5" s="24" customFormat="1" x14ac:dyDescent="0.25">
      <c r="B111" t="s">
        <v>63</v>
      </c>
      <c r="C111">
        <v>170</v>
      </c>
      <c r="D111">
        <v>300</v>
      </c>
      <c r="E111" s="24">
        <v>33.799999999999997</v>
      </c>
    </row>
    <row r="112" spans="1:5" s="24" customFormat="1" x14ac:dyDescent="0.25">
      <c r="B112" s="29" t="s">
        <v>336</v>
      </c>
      <c r="C112" s="29">
        <v>1</v>
      </c>
      <c r="D112" s="29">
        <v>1</v>
      </c>
      <c r="E112" s="24">
        <v>1</v>
      </c>
    </row>
    <row r="113" spans="1:5" s="24" customFormat="1" x14ac:dyDescent="0.25">
      <c r="B113" s="29" t="s">
        <v>334</v>
      </c>
      <c r="C113" s="29">
        <v>1</v>
      </c>
      <c r="D113" s="29">
        <v>1</v>
      </c>
      <c r="E113" s="24">
        <v>1</v>
      </c>
    </row>
    <row r="114" spans="1:5" x14ac:dyDescent="0.25">
      <c r="B114" s="29" t="s">
        <v>335</v>
      </c>
      <c r="C114" s="29"/>
      <c r="D114" s="29"/>
    </row>
    <row r="115" spans="1:5" x14ac:dyDescent="0.25">
      <c r="A115" s="18" t="s">
        <v>465</v>
      </c>
      <c r="B115" t="s">
        <v>64</v>
      </c>
      <c r="C115" s="1">
        <f>C111/C110*(C104/C112)^0.8*136</f>
        <v>762.83497839536699</v>
      </c>
      <c r="D115" s="1">
        <f>D111/D110*(D104/D112)^0.8*136</f>
        <v>761.55290280142515</v>
      </c>
      <c r="E115" s="1">
        <f>E111/E110*(E104/E112)^0.8*136</f>
        <v>834.18248519822782</v>
      </c>
    </row>
    <row r="116" spans="1:5" x14ac:dyDescent="0.25">
      <c r="B116" t="s">
        <v>65</v>
      </c>
      <c r="C116" s="1">
        <v>1650</v>
      </c>
      <c r="D116" s="1">
        <v>2050</v>
      </c>
      <c r="E116">
        <v>950</v>
      </c>
    </row>
    <row r="117" spans="1:5" x14ac:dyDescent="0.25">
      <c r="B117" t="s">
        <v>66</v>
      </c>
      <c r="C117" s="1">
        <f>((C103/2)^2*PI()*(C116*2/3))/1000000</f>
        <v>109.4920437999729</v>
      </c>
      <c r="D117" s="1">
        <f>((D103/2)^2*PI()*(D116*2/3))/1000000</f>
        <v>176.93125193776845</v>
      </c>
      <c r="E117" s="1">
        <f>((E103/2)^2*PI()*(E116*2/3))/1000000</f>
        <v>20.498132846448783</v>
      </c>
    </row>
    <row r="118" spans="1:5" x14ac:dyDescent="0.25">
      <c r="B118" t="s">
        <v>67</v>
      </c>
      <c r="C118" s="4">
        <f>C110/C117</f>
        <v>6.3292270008770402</v>
      </c>
      <c r="D118" s="4">
        <f>D110/D117</f>
        <v>6.9235931277469618</v>
      </c>
      <c r="E118" s="4">
        <f>E110/E117</f>
        <v>6.1469013272508368</v>
      </c>
    </row>
    <row r="119" spans="1:5" x14ac:dyDescent="0.25">
      <c r="B119" t="s">
        <v>68</v>
      </c>
      <c r="C119" s="4">
        <f>C110/(C103/2)^3*PI()*10000</f>
        <v>3.8603181645890219</v>
      </c>
      <c r="D119" s="4">
        <f>D110/(D103/2)^3*PI()*10000</f>
        <v>4.6004238643735658</v>
      </c>
      <c r="E119" s="4">
        <f>E110/(E103/2)^3*PI()*10000</f>
        <v>3.7854916369702485</v>
      </c>
    </row>
    <row r="120" spans="1:5" x14ac:dyDescent="0.25">
      <c r="A120" s="18" t="s">
        <v>421</v>
      </c>
      <c r="B120" t="s">
        <v>69</v>
      </c>
      <c r="C120" s="4">
        <f>(C103^2+C116*4)/10850</f>
        <v>12.289032258064516</v>
      </c>
      <c r="D120" s="4">
        <f>(D103^2+D116*4)/10850</f>
        <v>15.948018433179724</v>
      </c>
      <c r="E120" s="4">
        <f>(E103^2+E116*4)/10850</f>
        <v>4.1482949308755757</v>
      </c>
    </row>
    <row r="121" spans="1:5" x14ac:dyDescent="0.25">
      <c r="B121" t="s">
        <v>70</v>
      </c>
      <c r="C121" s="1">
        <f>C110*C115*C115/2000</f>
        <v>201634.31127728889</v>
      </c>
      <c r="D121" s="1">
        <f>D110*D115*D115/2000</f>
        <v>355227.22955623211</v>
      </c>
      <c r="E121" s="1">
        <f>E110*E115*E115/2000</f>
        <v>43839.206372523964</v>
      </c>
    </row>
    <row r="122" spans="1:5" x14ac:dyDescent="0.25">
      <c r="B122" s="8" t="s">
        <v>71</v>
      </c>
      <c r="C122" s="9">
        <f>C125^2*SIN(C106*2*PI()/180)/9.8</f>
        <v>31168.174456938366</v>
      </c>
      <c r="D122" s="9">
        <f>D125^2*SIN(D106*2*PI()/180)/9.8</f>
        <v>40842.428448728489</v>
      </c>
      <c r="E122" s="9">
        <f>E125^2*SIN(E106*2*PI()/180)/9.8</f>
        <v>27226.535654569165</v>
      </c>
    </row>
    <row r="123" spans="1:5" x14ac:dyDescent="0.25">
      <c r="B123" s="19" t="s">
        <v>337</v>
      </c>
      <c r="C123" s="1">
        <f>C115-(C120*0^0.82/C110*4.6)</f>
        <v>762.83497839536699</v>
      </c>
      <c r="D123" s="1">
        <f>D115-(D120*0^0.82/D110*4.6)</f>
        <v>761.55290280142515</v>
      </c>
      <c r="E123" s="1">
        <f>E115-(E120*0^0.82/E110*4.6)</f>
        <v>834.18248519822782</v>
      </c>
    </row>
    <row r="124" spans="1:5" x14ac:dyDescent="0.25">
      <c r="B124" s="18" t="s">
        <v>338</v>
      </c>
      <c r="C124" s="1">
        <f>C115-(C120*5000^0.82/C110*5)</f>
        <v>667.1354367972682</v>
      </c>
      <c r="D124" s="1">
        <f>D115-(D120*5000^0.82/D110*5)</f>
        <v>691.29485987155977</v>
      </c>
      <c r="E124" s="1">
        <f>E115-(E120*5000^0.82/E110*5)</f>
        <v>656.50823613691989</v>
      </c>
    </row>
    <row r="125" spans="1:5" x14ac:dyDescent="0.25">
      <c r="B125" s="18" t="s">
        <v>339</v>
      </c>
      <c r="C125" s="1">
        <f>C115-(C120*10000^0.82/C110*5)</f>
        <v>593.88643417079891</v>
      </c>
      <c r="D125" s="1">
        <f>D115-(D120*10000^0.82/D110*5)</f>
        <v>637.51893278600573</v>
      </c>
      <c r="E125" s="1">
        <f>E115-(E120*10000^0.82/E110*5)</f>
        <v>520.51530117801042</v>
      </c>
    </row>
    <row r="126" spans="1:5" x14ac:dyDescent="0.25">
      <c r="B126" s="18" t="s">
        <v>340</v>
      </c>
      <c r="C126" s="1">
        <f>C115-(C120*15000^0.82/C110*5)</f>
        <v>527.24908254665115</v>
      </c>
      <c r="D126" s="1">
        <f>D115-(D120*15000^0.82/D110*5)</f>
        <v>588.59696479159561</v>
      </c>
      <c r="E126" s="1">
        <f>E115-(E120*15000^0.82/E110*5)</f>
        <v>396.79745246586998</v>
      </c>
    </row>
    <row r="127" spans="1:5" x14ac:dyDescent="0.25">
      <c r="B127" s="18" t="s">
        <v>341</v>
      </c>
      <c r="C127" s="1">
        <f>C115-(C120*20000^0.82/C110*5)</f>
        <v>464.5722059834265</v>
      </c>
      <c r="D127" s="1">
        <f>D115-(D120*20000^0.82/D110*5)</f>
        <v>542.5825888525535</v>
      </c>
      <c r="E127" s="1">
        <f>E115-(E120*20000^0.82/E110*5)</f>
        <v>280.43255885283224</v>
      </c>
    </row>
    <row r="128" spans="1:5" x14ac:dyDescent="0.25">
      <c r="B128" s="18" t="s">
        <v>342</v>
      </c>
      <c r="C128" s="1">
        <f>C115-(C120*25000^0.82/C110*5)</f>
        <v>404.68472640293714</v>
      </c>
      <c r="D128" s="1">
        <f>D115-(D120*25000^0.82/D110*5)</f>
        <v>498.6160552509856</v>
      </c>
      <c r="E128" s="1">
        <f>E115-(E120*25000^0.82/E110*5)</f>
        <v>169.24641537762432</v>
      </c>
    </row>
    <row r="129" spans="1:5" x14ac:dyDescent="0.25">
      <c r="B129" s="18" t="s">
        <v>343</v>
      </c>
      <c r="C129" s="1">
        <f>C115-(C120*30000^0.82/C110*5)</f>
        <v>346.93022609640792</v>
      </c>
      <c r="D129" s="1">
        <f>D115-(D120*30000^0.82/D110*5)</f>
        <v>456.2154533863507</v>
      </c>
      <c r="E129" s="1">
        <f>E115-(E120*30000^0.82/E110*5)</f>
        <v>62.020327347151124</v>
      </c>
    </row>
    <row r="130" spans="1:5" s="3" customFormat="1" x14ac:dyDescent="0.25">
      <c r="B130" s="18" t="s">
        <v>344</v>
      </c>
      <c r="C130" s="1">
        <f>C115-(C120*35000^0.82/C110*5)</f>
        <v>290.8912161582025</v>
      </c>
      <c r="D130" s="1">
        <f>D115-(D120*35000^0.82/D110*5)</f>
        <v>415.07428279934538</v>
      </c>
      <c r="E130" s="1">
        <f>E115-(E120*35000^0.82/E110*5)</f>
        <v>-42.020808510364986</v>
      </c>
    </row>
    <row r="131" spans="1:5" x14ac:dyDescent="0.25">
      <c r="B131" s="18" t="s">
        <v>345</v>
      </c>
      <c r="C131" s="1">
        <f>C115-(C120*40000^0.82/C110*5)</f>
        <v>236.28009261541251</v>
      </c>
      <c r="D131" s="1">
        <f>D115-(D120*40000^0.82/D110*5)</f>
        <v>374.98139835867676</v>
      </c>
      <c r="E131" s="1">
        <f>E115-(E120*40000^0.82/E110*5)</f>
        <v>-143.41095316339124</v>
      </c>
    </row>
    <row r="132" spans="1:5" x14ac:dyDescent="0.25">
      <c r="B132" t="s">
        <v>72</v>
      </c>
      <c r="C132">
        <v>1.25</v>
      </c>
    </row>
    <row r="133" spans="1:5" x14ac:dyDescent="0.25">
      <c r="A133" s="18" t="s">
        <v>466</v>
      </c>
      <c r="B133" t="s">
        <v>73</v>
      </c>
      <c r="C133">
        <v>1</v>
      </c>
      <c r="D133">
        <v>1</v>
      </c>
      <c r="E133">
        <v>1</v>
      </c>
    </row>
    <row r="134" spans="1:5" x14ac:dyDescent="0.25">
      <c r="B134" t="s">
        <v>74</v>
      </c>
      <c r="C134" s="1">
        <f>C123^1.45*C110/22400*C132*C133</f>
        <v>584.68182955506495</v>
      </c>
      <c r="D134" s="1"/>
    </row>
    <row r="135" spans="1:5" x14ac:dyDescent="0.25">
      <c r="B135" t="s">
        <v>75</v>
      </c>
      <c r="C135" s="1">
        <f>C124^1.45*C110/22400*C132*C133</f>
        <v>481.39939912726135</v>
      </c>
      <c r="D135" s="1"/>
    </row>
    <row r="136" spans="1:5" x14ac:dyDescent="0.25">
      <c r="B136" t="s">
        <v>76</v>
      </c>
      <c r="C136" s="1">
        <f>C125^1.45*C110/22400*C132*C133</f>
        <v>406.69156648604212</v>
      </c>
      <c r="D136" s="1"/>
    </row>
    <row r="137" spans="1:5" x14ac:dyDescent="0.25">
      <c r="B137" t="s">
        <v>77</v>
      </c>
      <c r="C137" s="1">
        <f>C126^1.45*C110/22400*C132*C133</f>
        <v>342.23008623438545</v>
      </c>
      <c r="D137" s="1"/>
    </row>
    <row r="138" spans="1:5" x14ac:dyDescent="0.25">
      <c r="B138" t="s">
        <v>78</v>
      </c>
      <c r="C138" s="1">
        <f>C127^1.45*C110/22400*C132*C133</f>
        <v>284.85405330043073</v>
      </c>
      <c r="D138" s="1"/>
    </row>
    <row r="139" spans="1:5" x14ac:dyDescent="0.25">
      <c r="B139" t="s">
        <v>79</v>
      </c>
      <c r="C139" s="1">
        <f>C128^1.45*C110/22400*C132*C133</f>
        <v>233.19251640460297</v>
      </c>
      <c r="D139" s="1"/>
    </row>
    <row r="140" spans="1:5" x14ac:dyDescent="0.25">
      <c r="B140" t="s">
        <v>80</v>
      </c>
      <c r="C140" s="1">
        <f>C129^1.45*C110/22400*C132*C133</f>
        <v>186.52898673240645</v>
      </c>
      <c r="D140" s="1"/>
    </row>
    <row r="141" spans="1:5" x14ac:dyDescent="0.25">
      <c r="B141" t="s">
        <v>81</v>
      </c>
      <c r="C141" s="1">
        <f>C130^1.45*C110/22400*C132*C133</f>
        <v>144.47896104491346</v>
      </c>
      <c r="D141" s="1"/>
    </row>
    <row r="142" spans="1:5" x14ac:dyDescent="0.25">
      <c r="B142" t="s">
        <v>83</v>
      </c>
      <c r="C142" s="1">
        <f>C131^1.45*C110/22400*C132*C133</f>
        <v>106.87215612632015</v>
      </c>
      <c r="D142" s="1"/>
    </row>
    <row r="143" spans="1:5" x14ac:dyDescent="0.25">
      <c r="B143" s="18" t="s">
        <v>261</v>
      </c>
      <c r="C143" s="1">
        <v>0</v>
      </c>
      <c r="D143" s="1"/>
    </row>
    <row r="144" spans="1:5" x14ac:dyDescent="0.25">
      <c r="B144" s="23" t="s">
        <v>262</v>
      </c>
      <c r="C144" s="24">
        <f t="shared" ref="C144" si="7">ASIN(5000/((C123+C124)^2)*9.8*PI())*45</f>
        <v>3.3909035482625871</v>
      </c>
      <c r="D144" s="24"/>
    </row>
    <row r="145" spans="2:4" x14ac:dyDescent="0.25">
      <c r="B145" s="23" t="s">
        <v>263</v>
      </c>
      <c r="C145" s="24">
        <f t="shared" ref="C145" si="8">ASIN(10000/((C123+C125)^2)*9.8*PI())*45</f>
        <v>7.5622875842093684</v>
      </c>
      <c r="D145" s="24"/>
    </row>
    <row r="146" spans="2:4" x14ac:dyDescent="0.25">
      <c r="B146" s="23" t="s">
        <v>264</v>
      </c>
      <c r="C146" s="24">
        <f t="shared" ref="C146" si="9">ASIN(15000/((C123+C126)^2)*9.8*PI())*45</f>
        <v>12.652640076948668</v>
      </c>
      <c r="D146" s="24"/>
    </row>
    <row r="147" spans="2:4" x14ac:dyDescent="0.25">
      <c r="B147" s="23" t="s">
        <v>265</v>
      </c>
      <c r="C147" s="24">
        <f t="shared" ref="C147" si="10">ASIN(20000/((C123+C127)^2)*9.8*PI())*45</f>
        <v>18.947427501762931</v>
      </c>
      <c r="D147" s="24"/>
    </row>
    <row r="148" spans="2:4" x14ac:dyDescent="0.25">
      <c r="B148" s="23" t="s">
        <v>266</v>
      </c>
      <c r="C148" s="24">
        <f t="shared" ref="C148" si="11">ASIN(25000/((C123+C128)^2)*9.8*PI())*45</f>
        <v>27.000990710067477</v>
      </c>
      <c r="D148" s="24"/>
    </row>
    <row r="149" spans="2:4" x14ac:dyDescent="0.25">
      <c r="B149" s="23" t="s">
        <v>267</v>
      </c>
      <c r="C149" s="24">
        <v>0</v>
      </c>
      <c r="D149" s="24"/>
    </row>
    <row r="150" spans="2:4" x14ac:dyDescent="0.25">
      <c r="B150" s="23" t="s">
        <v>268</v>
      </c>
      <c r="C150" s="24">
        <v>0</v>
      </c>
      <c r="D150" s="24"/>
    </row>
    <row r="151" spans="2:4" x14ac:dyDescent="0.25">
      <c r="B151" s="23" t="s">
        <v>269</v>
      </c>
      <c r="C151" s="24">
        <v>0</v>
      </c>
      <c r="D151" s="24"/>
    </row>
    <row r="152" spans="2:4" x14ac:dyDescent="0.25">
      <c r="B152" t="s">
        <v>84</v>
      </c>
      <c r="C152" s="19" t="s">
        <v>270</v>
      </c>
      <c r="D152" s="19"/>
    </row>
    <row r="153" spans="2:4" x14ac:dyDescent="0.25">
      <c r="B153" t="s">
        <v>85</v>
      </c>
      <c r="C153" s="1">
        <f>C144^1.02*C110/C120/12</f>
        <v>16.328866930680395</v>
      </c>
      <c r="D153" s="1"/>
    </row>
    <row r="154" spans="2:4" x14ac:dyDescent="0.25">
      <c r="B154" t="s">
        <v>86</v>
      </c>
      <c r="C154" s="1">
        <f>C145^1.02*C110/C120/12</f>
        <v>37.005012660212003</v>
      </c>
      <c r="D154" s="1"/>
    </row>
    <row r="155" spans="2:4" x14ac:dyDescent="0.25">
      <c r="B155" t="s">
        <v>87</v>
      </c>
      <c r="C155" s="1">
        <f>C146^1.02*C110/C120/12</f>
        <v>62.554575529184611</v>
      </c>
      <c r="D155" s="1"/>
    </row>
    <row r="156" spans="2:4" x14ac:dyDescent="0.25">
      <c r="B156" t="s">
        <v>88</v>
      </c>
      <c r="C156" s="1">
        <f>C147^1.02*C110/C120/12</f>
        <v>94.435560741272525</v>
      </c>
      <c r="D156" s="1"/>
    </row>
    <row r="157" spans="2:4" x14ac:dyDescent="0.25">
      <c r="B157" t="s">
        <v>89</v>
      </c>
      <c r="C157" s="1">
        <f>C148^1.02*C110/C120/12</f>
        <v>135.53192217912164</v>
      </c>
      <c r="D157" s="1"/>
    </row>
    <row r="158" spans="2:4" x14ac:dyDescent="0.25">
      <c r="B158" t="s">
        <v>90</v>
      </c>
      <c r="C158" s="1">
        <f>C149^1.02*C110/C120/12</f>
        <v>0</v>
      </c>
      <c r="D158" s="1"/>
    </row>
    <row r="159" spans="2:4" x14ac:dyDescent="0.25">
      <c r="B159" t="s">
        <v>91</v>
      </c>
      <c r="C159" s="1">
        <f>C150^1.02*C110/C120/12</f>
        <v>0</v>
      </c>
      <c r="D159" s="1"/>
    </row>
    <row r="160" spans="2:4" x14ac:dyDescent="0.25">
      <c r="B160" t="s">
        <v>92</v>
      </c>
      <c r="C160" s="1">
        <f>C151^1.02*C110/C120/12</f>
        <v>0</v>
      </c>
      <c r="D160" s="1"/>
    </row>
    <row r="161" spans="2:4" x14ac:dyDescent="0.25">
      <c r="B161" t="s">
        <v>84</v>
      </c>
      <c r="C161" s="1" t="s">
        <v>82</v>
      </c>
      <c r="D161" s="19"/>
    </row>
    <row r="162" spans="2:4" x14ac:dyDescent="0.25">
      <c r="B162" t="s">
        <v>85</v>
      </c>
      <c r="C162" s="1">
        <f>(C110*5+C110/C120*10)/336</f>
        <v>11.99082580848383</v>
      </c>
      <c r="D162" s="1"/>
    </row>
    <row r="163" spans="2:4" x14ac:dyDescent="0.25">
      <c r="B163" t="s">
        <v>86</v>
      </c>
      <c r="C163" s="1">
        <f>(C110*10+C110/C120*200)/540</f>
        <v>33.719165616687668</v>
      </c>
      <c r="D163" s="1"/>
    </row>
    <row r="164" spans="2:4" x14ac:dyDescent="0.25">
      <c r="B164" t="s">
        <v>87</v>
      </c>
      <c r="C164" s="1">
        <f>(C110*15+C110/C120*500)/690</f>
        <v>55.928802293519347</v>
      </c>
      <c r="D164" s="1"/>
    </row>
    <row r="165" spans="2:4" x14ac:dyDescent="0.25">
      <c r="B165" t="s">
        <v>88</v>
      </c>
      <c r="C165" s="1">
        <f>(C110*20+C110/C120*1000)/900</f>
        <v>78.057496850063004</v>
      </c>
      <c r="D165" s="1"/>
    </row>
    <row r="166" spans="2:4" x14ac:dyDescent="0.25">
      <c r="B166" t="s">
        <v>89</v>
      </c>
      <c r="C166" s="1">
        <f>(C110*25+C110/C120*2000)/1220</f>
        <v>106.64630682796181</v>
      </c>
      <c r="D166" s="1"/>
    </row>
    <row r="167" spans="2:4" x14ac:dyDescent="0.25">
      <c r="B167" t="s">
        <v>90</v>
      </c>
      <c r="C167" s="1">
        <v>0</v>
      </c>
      <c r="D167" s="1"/>
    </row>
    <row r="168" spans="2:4" x14ac:dyDescent="0.25">
      <c r="B168" t="s">
        <v>91</v>
      </c>
      <c r="C168" s="1">
        <v>0</v>
      </c>
      <c r="D168" s="1"/>
    </row>
    <row r="169" spans="2:4" x14ac:dyDescent="0.25">
      <c r="B169" t="s">
        <v>92</v>
      </c>
      <c r="C169" s="1">
        <v>0</v>
      </c>
      <c r="D169" s="1"/>
    </row>
    <row r="170" spans="2:4" x14ac:dyDescent="0.25">
      <c r="B170" t="s">
        <v>93</v>
      </c>
      <c r="C170" s="4">
        <f>(C138+C165)*330/C103^2</f>
        <v>0.94496284835928968</v>
      </c>
      <c r="D170" s="4"/>
    </row>
    <row r="171" spans="2:4" x14ac:dyDescent="0.25">
      <c r="B171" t="s">
        <v>94</v>
      </c>
      <c r="C171" s="1">
        <f t="shared" ref="C171" si="12">C138+C165</f>
        <v>362.91155015049372</v>
      </c>
      <c r="D171" s="1"/>
    </row>
    <row r="172" spans="2:4" x14ac:dyDescent="0.25">
      <c r="B172" s="3" t="s">
        <v>95</v>
      </c>
      <c r="C172" s="3">
        <v>0</v>
      </c>
      <c r="D172" s="3"/>
    </row>
    <row r="173" spans="2:4" s="11" customFormat="1" x14ac:dyDescent="0.25">
      <c r="B173" s="11" t="s">
        <v>97</v>
      </c>
      <c r="C173" s="11" t="s">
        <v>98</v>
      </c>
    </row>
    <row r="174" spans="2:4" x14ac:dyDescent="0.25">
      <c r="B174" t="s">
        <v>99</v>
      </c>
      <c r="C174">
        <v>6</v>
      </c>
    </row>
    <row r="175" spans="2:4" x14ac:dyDescent="0.25">
      <c r="B175" t="s">
        <v>100</v>
      </c>
      <c r="C175">
        <v>2</v>
      </c>
    </row>
    <row r="176" spans="2:4" x14ac:dyDescent="0.25">
      <c r="B176" t="s">
        <v>101</v>
      </c>
      <c r="C176">
        <f t="shared" ref="C176" si="13">C174*C175</f>
        <v>12</v>
      </c>
    </row>
    <row r="177" spans="2:4" s="1" customFormat="1" x14ac:dyDescent="0.25">
      <c r="B177" t="s">
        <v>102</v>
      </c>
      <c r="C177">
        <v>127</v>
      </c>
      <c r="D177"/>
    </row>
    <row r="178" spans="2:4" x14ac:dyDescent="0.25">
      <c r="B178" t="s">
        <v>103</v>
      </c>
      <c r="C178">
        <v>38</v>
      </c>
    </row>
    <row r="179" spans="2:4" x14ac:dyDescent="0.25">
      <c r="B179" t="s">
        <v>104</v>
      </c>
      <c r="C179">
        <v>22</v>
      </c>
    </row>
    <row r="180" spans="2:4" x14ac:dyDescent="0.25">
      <c r="B180" t="s">
        <v>96</v>
      </c>
      <c r="C180">
        <v>27</v>
      </c>
    </row>
    <row r="181" spans="2:4" x14ac:dyDescent="0.25">
      <c r="B181" t="s">
        <v>105</v>
      </c>
      <c r="C181">
        <v>400</v>
      </c>
    </row>
    <row r="182" spans="2:4" x14ac:dyDescent="0.25">
      <c r="B182" t="s">
        <v>106</v>
      </c>
      <c r="C182">
        <v>0.8</v>
      </c>
    </row>
    <row r="183" spans="2:4" x14ac:dyDescent="0.25">
      <c r="B183" t="s">
        <v>107</v>
      </c>
      <c r="C183" t="s">
        <v>82</v>
      </c>
    </row>
    <row r="184" spans="2:4" x14ac:dyDescent="0.25">
      <c r="B184" t="s">
        <v>108</v>
      </c>
      <c r="C184">
        <v>0</v>
      </c>
    </row>
    <row r="185" spans="2:4" s="11" customFormat="1" x14ac:dyDescent="0.25">
      <c r="B185" t="s">
        <v>109</v>
      </c>
      <c r="C185" t="s">
        <v>82</v>
      </c>
      <c r="D185"/>
    </row>
    <row r="186" spans="2:4" s="11" customFormat="1" x14ac:dyDescent="0.25">
      <c r="B186" s="11" t="s">
        <v>110</v>
      </c>
      <c r="C186" s="11">
        <v>0</v>
      </c>
    </row>
    <row r="187" spans="2:4" s="12" customFormat="1" x14ac:dyDescent="0.25">
      <c r="B187" t="s">
        <v>111</v>
      </c>
      <c r="C187">
        <v>0</v>
      </c>
      <c r="D187"/>
    </row>
    <row r="188" spans="2:4" x14ac:dyDescent="0.25">
      <c r="B188" t="s">
        <v>112</v>
      </c>
      <c r="C188">
        <v>0</v>
      </c>
    </row>
    <row r="189" spans="2:4" x14ac:dyDescent="0.25">
      <c r="B189" t="s">
        <v>113</v>
      </c>
      <c r="C189" t="s">
        <v>82</v>
      </c>
    </row>
    <row r="190" spans="2:4" x14ac:dyDescent="0.25">
      <c r="B190" t="s">
        <v>114</v>
      </c>
      <c r="C190">
        <v>0</v>
      </c>
    </row>
    <row r="191" spans="2:4" x14ac:dyDescent="0.25">
      <c r="B191" t="s">
        <v>115</v>
      </c>
      <c r="C191" t="s">
        <v>82</v>
      </c>
      <c r="D191" s="18"/>
    </row>
    <row r="192" spans="2:4" s="1" customFormat="1" x14ac:dyDescent="0.25">
      <c r="B192" t="s">
        <v>116</v>
      </c>
      <c r="C192">
        <v>0</v>
      </c>
      <c r="D192"/>
    </row>
    <row r="193" spans="1:4" x14ac:dyDescent="0.25">
      <c r="B193" t="s">
        <v>117</v>
      </c>
      <c r="C193">
        <v>0</v>
      </c>
    </row>
    <row r="194" spans="1:4" x14ac:dyDescent="0.25">
      <c r="B194" t="s">
        <v>118</v>
      </c>
      <c r="C194">
        <v>0</v>
      </c>
    </row>
    <row r="195" spans="1:4" x14ac:dyDescent="0.25">
      <c r="B195" t="s">
        <v>119</v>
      </c>
      <c r="C195" t="s">
        <v>82</v>
      </c>
      <c r="D195" s="18"/>
    </row>
    <row r="196" spans="1:4" x14ac:dyDescent="0.25">
      <c r="B196" t="s">
        <v>120</v>
      </c>
      <c r="C196">
        <v>0</v>
      </c>
      <c r="D196" s="18"/>
    </row>
    <row r="197" spans="1:4" x14ac:dyDescent="0.25">
      <c r="B197" t="s">
        <v>121</v>
      </c>
      <c r="C197">
        <v>0</v>
      </c>
      <c r="D197" s="18"/>
    </row>
    <row r="198" spans="1:4" x14ac:dyDescent="0.25">
      <c r="B198" t="s">
        <v>122</v>
      </c>
      <c r="C198" t="s">
        <v>82</v>
      </c>
      <c r="D198" s="18"/>
    </row>
    <row r="199" spans="1:4" x14ac:dyDescent="0.25">
      <c r="B199" t="s">
        <v>123</v>
      </c>
      <c r="C199">
        <v>0</v>
      </c>
      <c r="D199" s="18"/>
    </row>
    <row r="200" spans="1:4" x14ac:dyDescent="0.25">
      <c r="B200" t="s">
        <v>124</v>
      </c>
      <c r="C200">
        <v>0</v>
      </c>
      <c r="D200" s="18"/>
    </row>
    <row r="201" spans="1:4" x14ac:dyDescent="0.25">
      <c r="B201" t="s">
        <v>125</v>
      </c>
      <c r="C201" t="s">
        <v>82</v>
      </c>
      <c r="D201" s="18"/>
    </row>
    <row r="202" spans="1:4" x14ac:dyDescent="0.25">
      <c r="B202" t="s">
        <v>126</v>
      </c>
      <c r="C202">
        <v>0</v>
      </c>
      <c r="D202" s="18"/>
    </row>
    <row r="203" spans="1:4" x14ac:dyDescent="0.25">
      <c r="B203" t="s">
        <v>127</v>
      </c>
      <c r="C203">
        <f t="shared" ref="C203" si="14">C200*C202</f>
        <v>0</v>
      </c>
      <c r="D203" s="18"/>
    </row>
    <row r="204" spans="1:4" x14ac:dyDescent="0.25">
      <c r="B204" t="s">
        <v>128</v>
      </c>
      <c r="C204">
        <v>0</v>
      </c>
      <c r="D204" s="18"/>
    </row>
    <row r="205" spans="1:4" x14ac:dyDescent="0.25">
      <c r="B205" t="s">
        <v>129</v>
      </c>
      <c r="C205" s="1">
        <f>C171*C107*C102</f>
        <v>8709.8772036118498</v>
      </c>
      <c r="D205" s="1"/>
    </row>
    <row r="206" spans="1:4" x14ac:dyDescent="0.25">
      <c r="B206" s="8" t="s">
        <v>130</v>
      </c>
      <c r="C206" s="8">
        <f>C107*C110*C102+C176/2*C180*C179</f>
        <v>20196</v>
      </c>
      <c r="D206" s="8"/>
    </row>
    <row r="207" spans="1:4" x14ac:dyDescent="0.25">
      <c r="B207" s="9" t="s">
        <v>131</v>
      </c>
      <c r="C207" s="9">
        <f>C102*C110*0.7*C107*C172+C176*C179*C180*C182/2+C184*C186*C187/2000+C190*C192*C193/2000</f>
        <v>2851.2000000000003</v>
      </c>
      <c r="D207" s="9"/>
    </row>
    <row r="208" spans="1:4" x14ac:dyDescent="0.25">
      <c r="A208" s="18" t="s">
        <v>425</v>
      </c>
      <c r="B208" s="18" t="s">
        <v>368</v>
      </c>
      <c r="C208">
        <v>305</v>
      </c>
    </row>
    <row r="209" spans="1:4" x14ac:dyDescent="0.25">
      <c r="A209" s="18" t="s">
        <v>426</v>
      </c>
      <c r="B209" s="18" t="s">
        <v>369</v>
      </c>
      <c r="C209">
        <v>305</v>
      </c>
    </row>
    <row r="210" spans="1:4" x14ac:dyDescent="0.25">
      <c r="A210" s="18" t="s">
        <v>427</v>
      </c>
      <c r="B210" t="s">
        <v>132</v>
      </c>
      <c r="C210">
        <v>14</v>
      </c>
    </row>
    <row r="211" spans="1:4" x14ac:dyDescent="0.25">
      <c r="B211" t="s">
        <v>133</v>
      </c>
      <c r="C211" t="s">
        <v>134</v>
      </c>
    </row>
    <row r="212" spans="1:4" x14ac:dyDescent="0.25">
      <c r="A212" s="18" t="s">
        <v>428</v>
      </c>
      <c r="B212" t="s">
        <v>139</v>
      </c>
      <c r="C212">
        <v>1</v>
      </c>
    </row>
    <row r="213" spans="1:4" x14ac:dyDescent="0.25">
      <c r="B213" t="s">
        <v>140</v>
      </c>
      <c r="C213" s="1">
        <f t="shared" ref="C213" si="15">1/COS(C210/180*3.1416)*C208*C212</f>
        <v>314.33720173315783</v>
      </c>
      <c r="D213" s="1"/>
    </row>
    <row r="214" spans="1:4" x14ac:dyDescent="0.25">
      <c r="A214" s="18" t="s">
        <v>429</v>
      </c>
      <c r="B214" t="s">
        <v>141</v>
      </c>
      <c r="C214">
        <v>25</v>
      </c>
    </row>
    <row r="215" spans="1:4" x14ac:dyDescent="0.25">
      <c r="A215" s="18" t="s">
        <v>430</v>
      </c>
      <c r="B215" t="s">
        <v>142</v>
      </c>
      <c r="C215">
        <v>0</v>
      </c>
    </row>
    <row r="216" spans="1:4" s="10" customFormat="1" x14ac:dyDescent="0.25">
      <c r="B216" s="10" t="s">
        <v>143</v>
      </c>
      <c r="C216" s="14">
        <f>C213+C214*1.2+C215*0.8</f>
        <v>344.33720173315783</v>
      </c>
      <c r="D216" s="14"/>
    </row>
    <row r="217" spans="1:4" s="11" customFormat="1" x14ac:dyDescent="0.25">
      <c r="A217" s="27" t="s">
        <v>431</v>
      </c>
      <c r="B217" s="11" t="s">
        <v>144</v>
      </c>
      <c r="C217" s="11">
        <v>400</v>
      </c>
    </row>
    <row r="218" spans="1:4" s="11" customFormat="1" x14ac:dyDescent="0.25">
      <c r="B218" s="1" t="s">
        <v>145</v>
      </c>
      <c r="C218" s="1">
        <f>C216*C212</f>
        <v>344.33720173315783</v>
      </c>
      <c r="D218" s="1"/>
    </row>
    <row r="219" spans="1:4" s="11" customFormat="1" x14ac:dyDescent="0.25">
      <c r="B219" t="s">
        <v>146</v>
      </c>
      <c r="C219" s="1">
        <f>C216*C212</f>
        <v>344.33720173315783</v>
      </c>
      <c r="D219" s="1"/>
    </row>
    <row r="220" spans="1:4" s="11" customFormat="1" x14ac:dyDescent="0.25">
      <c r="A220" s="27" t="s">
        <v>432</v>
      </c>
      <c r="B220" t="s">
        <v>147</v>
      </c>
      <c r="C220">
        <v>25</v>
      </c>
      <c r="D220"/>
    </row>
    <row r="221" spans="1:4" s="11" customFormat="1" x14ac:dyDescent="0.25">
      <c r="A221" s="27" t="s">
        <v>433</v>
      </c>
      <c r="B221" s="18" t="s">
        <v>370</v>
      </c>
      <c r="C221">
        <v>76</v>
      </c>
      <c r="D221"/>
    </row>
    <row r="222" spans="1:4" s="11" customFormat="1" x14ac:dyDescent="0.25">
      <c r="A222" s="27" t="s">
        <v>434</v>
      </c>
      <c r="B222" s="18" t="s">
        <v>371</v>
      </c>
      <c r="C222">
        <v>76</v>
      </c>
      <c r="D222"/>
    </row>
    <row r="223" spans="1:4" s="11" customFormat="1" x14ac:dyDescent="0.25">
      <c r="A223" s="27" t="s">
        <v>435</v>
      </c>
      <c r="B223" s="11" t="s">
        <v>148</v>
      </c>
      <c r="C223" s="11">
        <v>0</v>
      </c>
    </row>
    <row r="224" spans="1:4" s="11" customFormat="1" x14ac:dyDescent="0.25">
      <c r="A224" s="27" t="s">
        <v>436</v>
      </c>
      <c r="B224" s="36" t="s">
        <v>389</v>
      </c>
      <c r="C224" s="11">
        <v>40</v>
      </c>
    </row>
    <row r="225" spans="1:4" s="11" customFormat="1" x14ac:dyDescent="0.25">
      <c r="A225" s="27" t="s">
        <v>437</v>
      </c>
      <c r="B225" s="27" t="s">
        <v>390</v>
      </c>
      <c r="C225" s="11">
        <v>127</v>
      </c>
    </row>
    <row r="226" spans="1:4" s="11" customFormat="1" x14ac:dyDescent="0.25">
      <c r="A226" s="27" t="s">
        <v>438</v>
      </c>
      <c r="B226" s="27" t="s">
        <v>391</v>
      </c>
      <c r="C226" s="11">
        <v>127</v>
      </c>
    </row>
    <row r="227" spans="1:4" s="11" customFormat="1" x14ac:dyDescent="0.25">
      <c r="A227" s="27" t="s">
        <v>439</v>
      </c>
      <c r="B227" s="27" t="s">
        <v>394</v>
      </c>
      <c r="C227" s="11">
        <v>2.5</v>
      </c>
    </row>
    <row r="228" spans="1:4" s="32" customFormat="1" x14ac:dyDescent="0.25">
      <c r="B228" s="37" t="s">
        <v>395</v>
      </c>
      <c r="C228" s="32">
        <f>_xlfn.COT(RADIANS(C224))*C227</f>
        <v>2.9793839814855252</v>
      </c>
    </row>
    <row r="229" spans="1:4" s="32" customFormat="1" x14ac:dyDescent="0.25">
      <c r="B229" s="37" t="s">
        <v>396</v>
      </c>
      <c r="C229" s="32">
        <f>_xlfn.SEC(RADIANS(C224))*C227</f>
        <v>3.2635182233306965</v>
      </c>
    </row>
    <row r="230" spans="1:4" s="32" customFormat="1" x14ac:dyDescent="0.25">
      <c r="A230" s="37" t="s">
        <v>440</v>
      </c>
      <c r="B230" s="37" t="s">
        <v>397</v>
      </c>
      <c r="C230" s="32">
        <f>C19-C229*2</f>
        <v>25.772963553338606</v>
      </c>
    </row>
    <row r="231" spans="1:4" s="11" customFormat="1" x14ac:dyDescent="0.25">
      <c r="A231" s="37"/>
      <c r="B231" s="11" t="s">
        <v>133</v>
      </c>
      <c r="C231" s="11" t="s">
        <v>149</v>
      </c>
    </row>
    <row r="232" spans="1:4" x14ac:dyDescent="0.25">
      <c r="A232" s="37" t="s">
        <v>441</v>
      </c>
      <c r="B232" t="s">
        <v>139</v>
      </c>
      <c r="C232">
        <v>1</v>
      </c>
      <c r="D232">
        <v>1</v>
      </c>
    </row>
    <row r="233" spans="1:4" x14ac:dyDescent="0.25">
      <c r="B233" s="11" t="s">
        <v>150</v>
      </c>
      <c r="C233" s="15">
        <f>(C220*0.9+C221*1.1+C223*0.8)*C232</f>
        <v>106.10000000000001</v>
      </c>
      <c r="D233" s="15"/>
    </row>
    <row r="234" spans="1:4" s="4" customFormat="1" x14ac:dyDescent="0.25">
      <c r="B234" s="10" t="s">
        <v>151</v>
      </c>
      <c r="C234" s="14">
        <f>(C220*0.9+C221*1.1+C223*0.8)*C232</f>
        <v>106.10000000000001</v>
      </c>
      <c r="D234" s="14"/>
    </row>
    <row r="235" spans="1:4" x14ac:dyDescent="0.25">
      <c r="A235" s="18" t="s">
        <v>442</v>
      </c>
      <c r="B235" s="12" t="s">
        <v>152</v>
      </c>
      <c r="C235" s="12">
        <v>127</v>
      </c>
      <c r="D235" s="12"/>
    </row>
    <row r="236" spans="1:4" x14ac:dyDescent="0.25">
      <c r="A236" s="18" t="s">
        <v>443</v>
      </c>
      <c r="B236" s="35" t="s">
        <v>383</v>
      </c>
      <c r="C236" s="12">
        <v>38</v>
      </c>
      <c r="D236" s="12"/>
    </row>
    <row r="237" spans="1:4" x14ac:dyDescent="0.25">
      <c r="A237" s="18" t="s">
        <v>444</v>
      </c>
      <c r="B237" s="18" t="s">
        <v>384</v>
      </c>
      <c r="C237">
        <v>38</v>
      </c>
    </row>
    <row r="238" spans="1:4" s="3" customFormat="1" x14ac:dyDescent="0.25">
      <c r="B238" s="18" t="s">
        <v>347</v>
      </c>
      <c r="C238">
        <v>12.7</v>
      </c>
      <c r="D238"/>
    </row>
    <row r="239" spans="1:4" s="3" customFormat="1" x14ac:dyDescent="0.25">
      <c r="A239" s="41" t="s">
        <v>445</v>
      </c>
      <c r="B239" t="s">
        <v>133</v>
      </c>
      <c r="C239" t="s">
        <v>134</v>
      </c>
      <c r="D239"/>
    </row>
    <row r="240" spans="1:4" s="3" customFormat="1" x14ac:dyDescent="0.25">
      <c r="B240" t="s">
        <v>139</v>
      </c>
      <c r="C240">
        <v>0.75</v>
      </c>
      <c r="D240"/>
    </row>
    <row r="241" spans="1:4" s="3" customFormat="1" x14ac:dyDescent="0.25">
      <c r="A241" s="41" t="s">
        <v>446</v>
      </c>
      <c r="B241" s="18" t="s">
        <v>348</v>
      </c>
      <c r="C241">
        <v>3</v>
      </c>
      <c r="D241"/>
    </row>
    <row r="242" spans="1:4" s="24" customFormat="1" x14ac:dyDescent="0.25">
      <c r="A242" s="23" t="s">
        <v>447</v>
      </c>
      <c r="B242" s="18" t="s">
        <v>346</v>
      </c>
      <c r="C242">
        <v>850</v>
      </c>
      <c r="D242"/>
    </row>
    <row r="243" spans="1:4" x14ac:dyDescent="0.25">
      <c r="A243" s="41" t="s">
        <v>448</v>
      </c>
      <c r="B243" t="s">
        <v>155</v>
      </c>
      <c r="C243">
        <v>3</v>
      </c>
    </row>
    <row r="244" spans="1:4" x14ac:dyDescent="0.25">
      <c r="B244" t="s">
        <v>156</v>
      </c>
      <c r="C244">
        <v>1</v>
      </c>
    </row>
    <row r="245" spans="1:4" x14ac:dyDescent="0.25">
      <c r="B245" s="18" t="s">
        <v>401</v>
      </c>
      <c r="C245">
        <v>38</v>
      </c>
    </row>
    <row r="246" spans="1:4" x14ac:dyDescent="0.25">
      <c r="B246" s="18" t="s">
        <v>402</v>
      </c>
      <c r="C246">
        <v>38</v>
      </c>
    </row>
    <row r="247" spans="1:4" x14ac:dyDescent="0.25">
      <c r="A247" s="18" t="s">
        <v>459</v>
      </c>
      <c r="B247" s="18" t="s">
        <v>388</v>
      </c>
      <c r="C247">
        <v>203</v>
      </c>
    </row>
    <row r="248" spans="1:4" x14ac:dyDescent="0.25">
      <c r="B248" s="18" t="s">
        <v>451</v>
      </c>
      <c r="C248">
        <v>0</v>
      </c>
    </row>
    <row r="249" spans="1:4" x14ac:dyDescent="0.25">
      <c r="B249" s="18" t="s">
        <v>450</v>
      </c>
      <c r="C249">
        <v>0</v>
      </c>
    </row>
    <row r="250" spans="1:4" x14ac:dyDescent="0.25">
      <c r="A250" s="18" t="s">
        <v>449</v>
      </c>
      <c r="B250" t="s">
        <v>157</v>
      </c>
      <c r="C250">
        <v>152</v>
      </c>
    </row>
    <row r="251" spans="1:4" x14ac:dyDescent="0.25">
      <c r="A251" s="18" t="s">
        <v>453</v>
      </c>
      <c r="B251" t="s">
        <v>158</v>
      </c>
      <c r="C251">
        <v>5.8</v>
      </c>
    </row>
    <row r="252" spans="1:4" x14ac:dyDescent="0.25">
      <c r="A252" s="18" t="s">
        <v>454</v>
      </c>
      <c r="B252" t="s">
        <v>159</v>
      </c>
      <c r="C252">
        <v>2.5</v>
      </c>
    </row>
    <row r="253" spans="1:4" s="3" customFormat="1" x14ac:dyDescent="0.25">
      <c r="A253" s="22" t="s">
        <v>455</v>
      </c>
      <c r="B253" s="3" t="s">
        <v>160</v>
      </c>
      <c r="C253" s="3">
        <f>C20-C251-C254</f>
        <v>6.6000000000000014</v>
      </c>
    </row>
    <row r="254" spans="1:4" x14ac:dyDescent="0.25">
      <c r="A254" s="22" t="s">
        <v>456</v>
      </c>
      <c r="B254" s="18" t="s">
        <v>385</v>
      </c>
      <c r="C254">
        <v>2.5</v>
      </c>
    </row>
    <row r="255" spans="1:4" x14ac:dyDescent="0.25">
      <c r="B255" t="s">
        <v>161</v>
      </c>
      <c r="C255" s="2">
        <f>C250/C17</f>
        <v>0.63359733222175907</v>
      </c>
      <c r="D255" s="2"/>
    </row>
    <row r="256" spans="1:4" x14ac:dyDescent="0.25">
      <c r="A256" s="18" t="s">
        <v>457</v>
      </c>
      <c r="B256" s="18" t="s">
        <v>357</v>
      </c>
      <c r="C256" s="1">
        <f>C275*C98*(1+C99/10)</f>
        <v>105.3</v>
      </c>
      <c r="D256" s="1"/>
    </row>
    <row r="257" spans="1:4" x14ac:dyDescent="0.25">
      <c r="A257" s="18" t="s">
        <v>458</v>
      </c>
      <c r="B257" s="18" t="s">
        <v>358</v>
      </c>
      <c r="C257" s="1">
        <f>C250-C256</f>
        <v>46.7</v>
      </c>
      <c r="D257" s="1"/>
    </row>
    <row r="258" spans="1:4" s="38" customFormat="1" x14ac:dyDescent="0.25">
      <c r="B258" s="39" t="s">
        <v>359</v>
      </c>
      <c r="C258" s="39">
        <f>C230*C256*(C222+C220+C223)*0.9*7.9/1000</f>
        <v>1948.8737468724248</v>
      </c>
    </row>
    <row r="259" spans="1:4" s="38" customFormat="1" x14ac:dyDescent="0.25">
      <c r="B259" s="39" t="s">
        <v>360</v>
      </c>
      <c r="C259" s="38">
        <f>C230*C257*(C221+C220+C223)*7.9/1000</f>
        <v>960.35036381705459</v>
      </c>
    </row>
    <row r="260" spans="1:4" s="38" customFormat="1" x14ac:dyDescent="0.25">
      <c r="B260" s="39" t="s">
        <v>361</v>
      </c>
      <c r="C260" s="38">
        <f>(_xlfn.SEC(RADIANS(C210))*C209 + C214+C215)*C256*C251*2/1000*7.9</f>
        <v>3274.4990487397467</v>
      </c>
    </row>
    <row r="261" spans="1:4" s="38" customFormat="1" x14ac:dyDescent="0.25">
      <c r="B261" s="39" t="s">
        <v>362</v>
      </c>
      <c r="C261" s="38">
        <f>(_xlfn.SEC(RADIANS(C210))*C208 + C214+C215)*C257*C251*2/1000*7.9</f>
        <v>1452.223224844693</v>
      </c>
    </row>
    <row r="262" spans="1:4" s="38" customFormat="1" x14ac:dyDescent="0.25">
      <c r="B262" s="39" t="s">
        <v>392</v>
      </c>
      <c r="C262" s="38">
        <f>C256*C229*C226*2/1000*7.9</f>
        <v>689.56501772829506</v>
      </c>
    </row>
    <row r="263" spans="1:4" s="38" customFormat="1" x14ac:dyDescent="0.25">
      <c r="B263" s="39" t="s">
        <v>393</v>
      </c>
      <c r="C263" s="38">
        <f>C257*C229*C225*2/1000*7.9</f>
        <v>305.81848364588205</v>
      </c>
    </row>
    <row r="264" spans="1:4" s="38" customFormat="1" x14ac:dyDescent="0.25">
      <c r="B264" s="39" t="s">
        <v>363</v>
      </c>
      <c r="C264" s="38">
        <f>C256*(C237+C238*(C241-1))*C253*2/1000*7.9</f>
        <v>696.17536560000008</v>
      </c>
    </row>
    <row r="265" spans="1:4" s="38" customFormat="1" x14ac:dyDescent="0.25">
      <c r="B265" s="39" t="s">
        <v>364</v>
      </c>
      <c r="C265" s="38">
        <f>C257*(C236+C238*(C241-1))*C253*2/1000*7.9</f>
        <v>308.75013840000008</v>
      </c>
    </row>
    <row r="266" spans="1:4" s="38" customFormat="1" x14ac:dyDescent="0.25">
      <c r="B266" s="39" t="s">
        <v>452</v>
      </c>
      <c r="C266" s="38">
        <f>C248*C249*C251/500*7.9</f>
        <v>0</v>
      </c>
    </row>
    <row r="267" spans="1:4" s="38" customFormat="1" x14ac:dyDescent="0.25">
      <c r="B267" s="39" t="s">
        <v>387</v>
      </c>
      <c r="C267" s="38">
        <f>C247*C251*C19*1.6/1000*7.9</f>
        <v>480.6994527999999</v>
      </c>
    </row>
    <row r="268" spans="1:4" s="38" customFormat="1" x14ac:dyDescent="0.25">
      <c r="B268" s="39" t="s">
        <v>365</v>
      </c>
      <c r="C268" s="38">
        <f>C258+C259</f>
        <v>2909.2241106894794</v>
      </c>
    </row>
    <row r="269" spans="1:4" s="38" customFormat="1" x14ac:dyDescent="0.25">
      <c r="B269" s="39" t="s">
        <v>366</v>
      </c>
      <c r="C269" s="38">
        <f>C260+C261</f>
        <v>4726.7222735844398</v>
      </c>
    </row>
    <row r="270" spans="1:4" s="38" customFormat="1" x14ac:dyDescent="0.25">
      <c r="B270" s="39" t="s">
        <v>398</v>
      </c>
      <c r="C270" s="38">
        <f>C262+C263</f>
        <v>995.38350137417706</v>
      </c>
    </row>
    <row r="271" spans="1:4" s="38" customFormat="1" x14ac:dyDescent="0.25">
      <c r="B271" s="39" t="s">
        <v>367</v>
      </c>
      <c r="C271" s="38">
        <f>C264+C265</f>
        <v>1004.9255040000002</v>
      </c>
    </row>
    <row r="272" spans="1:4" s="38" customFormat="1" x14ac:dyDescent="0.25">
      <c r="B272" s="39" t="s">
        <v>400</v>
      </c>
      <c r="C272" s="38">
        <f>C250*C252*C235*2/1000*7.9</f>
        <v>762.50800000000004</v>
      </c>
    </row>
    <row r="273" spans="1:4" s="38" customFormat="1" x14ac:dyDescent="0.25">
      <c r="B273" s="39" t="s">
        <v>399</v>
      </c>
      <c r="C273" s="38">
        <f>((C245*2+C246)*(C257/10)^2+C217*2.5*15)/1000*7.9</f>
        <v>138.14109534000002</v>
      </c>
    </row>
    <row r="274" spans="1:4" s="38" customFormat="1" x14ac:dyDescent="0.25">
      <c r="B274" s="38" t="s">
        <v>162</v>
      </c>
      <c r="C274" s="38">
        <f>SUM(C266:C273)</f>
        <v>11017.603937788097</v>
      </c>
    </row>
    <row r="275" spans="1:4" x14ac:dyDescent="0.25">
      <c r="B275" t="s">
        <v>163</v>
      </c>
      <c r="C275">
        <v>13.5</v>
      </c>
    </row>
    <row r="276" spans="1:4" x14ac:dyDescent="0.25">
      <c r="B276" t="s">
        <v>164</v>
      </c>
      <c r="C276">
        <v>9</v>
      </c>
    </row>
    <row r="277" spans="1:4" x14ac:dyDescent="0.25">
      <c r="B277" t="s">
        <v>165</v>
      </c>
      <c r="C277">
        <v>3</v>
      </c>
    </row>
    <row r="278" spans="1:4" s="3" customFormat="1" x14ac:dyDescent="0.25">
      <c r="A278" s="22" t="s">
        <v>460</v>
      </c>
      <c r="B278" t="s">
        <v>166</v>
      </c>
      <c r="C278">
        <v>305</v>
      </c>
      <c r="D278"/>
    </row>
    <row r="279" spans="1:4" s="3" customFormat="1" x14ac:dyDescent="0.25">
      <c r="A279" s="22" t="s">
        <v>461</v>
      </c>
      <c r="B279" t="s">
        <v>167</v>
      </c>
      <c r="C279">
        <v>178</v>
      </c>
      <c r="D279"/>
    </row>
    <row r="280" spans="1:4" s="3" customFormat="1" x14ac:dyDescent="0.25">
      <c r="B280" t="s">
        <v>168</v>
      </c>
      <c r="C280">
        <v>178</v>
      </c>
      <c r="D280"/>
    </row>
    <row r="281" spans="1:4" s="3" customFormat="1" x14ac:dyDescent="0.25">
      <c r="A281" s="22" t="s">
        <v>462</v>
      </c>
      <c r="B281" t="s">
        <v>169</v>
      </c>
      <c r="C281">
        <v>102</v>
      </c>
      <c r="D281"/>
    </row>
    <row r="282" spans="1:4" x14ac:dyDescent="0.25">
      <c r="B282" t="s">
        <v>170</v>
      </c>
      <c r="C282" s="1">
        <f>((C276*C277*(C278+C280)/1000)+(C275*C277*C279/1000*2)+(C275*C276*C281/1000))*7.85*C98*0.9</f>
        <v>1689.3262800000002</v>
      </c>
      <c r="D282" s="1"/>
    </row>
    <row r="283" spans="1:4" x14ac:dyDescent="0.25">
      <c r="B283" t="s">
        <v>171</v>
      </c>
      <c r="C283" s="1">
        <f>C274+C282</f>
        <v>12706.930217788096</v>
      </c>
      <c r="D283" s="1"/>
    </row>
    <row r="284" spans="1:4" x14ac:dyDescent="0.25">
      <c r="B284" t="s">
        <v>172</v>
      </c>
      <c r="C284" s="16">
        <f>C283/C13</f>
        <v>0.33325174820114201</v>
      </c>
      <c r="D284" s="16"/>
    </row>
    <row r="285" spans="1:4" x14ac:dyDescent="0.25">
      <c r="B285" t="s">
        <v>173</v>
      </c>
      <c r="C285" s="1">
        <f>(C216+C225/3+C218+C219)/3</f>
        <v>358.44831284426891</v>
      </c>
      <c r="D285" s="1"/>
    </row>
    <row r="286" spans="1:4" x14ac:dyDescent="0.25">
      <c r="B286" s="21" t="s">
        <v>245</v>
      </c>
      <c r="C286" s="14">
        <f>((C115-(C216/C132*22400/C110)^(1/1.45))/5*C110/C120)^(1/0.82)</f>
        <v>14826.508506765078</v>
      </c>
      <c r="D286" s="14"/>
    </row>
    <row r="287" spans="1:4" x14ac:dyDescent="0.25">
      <c r="B287" s="21" t="s">
        <v>246</v>
      </c>
      <c r="C287" s="14">
        <f>((C115-(C218/C132*22400/C110)^(1/1.45))/5*C110/C120)^(1/0.82)</f>
        <v>14826.508506765078</v>
      </c>
      <c r="D287" s="14"/>
    </row>
    <row r="288" spans="1:4" x14ac:dyDescent="0.25">
      <c r="B288" s="21" t="s">
        <v>247</v>
      </c>
      <c r="C288" s="14">
        <f>((C115-(C219/C132*22400/C110)^(1/1.45))/5*C110/C120)^(1/0.82)</f>
        <v>14826.508506765078</v>
      </c>
      <c r="D288" s="14"/>
    </row>
    <row r="289" spans="2:4" x14ac:dyDescent="0.25">
      <c r="B289" s="27" t="s">
        <v>271</v>
      </c>
      <c r="C289" s="15">
        <f>((C115-(C285/C132*22400/C110)^(1/1.45))/5*C110/C120)^(1/0.82)</f>
        <v>13682.419751186042</v>
      </c>
      <c r="D289" s="15"/>
    </row>
    <row r="290" spans="2:4" x14ac:dyDescent="0.25">
      <c r="B290" s="27" t="s">
        <v>272</v>
      </c>
      <c r="C290" s="15">
        <f>C115^2*(SIN(((C234*C120*12/C110)^(1/1.02))*PI()/90))/9.8/((C123+C131)/C123)^1.25</f>
        <v>28619.280716025551</v>
      </c>
      <c r="D290" s="15"/>
    </row>
    <row r="291" spans="2:4" x14ac:dyDescent="0.25">
      <c r="B291" s="27" t="s">
        <v>273</v>
      </c>
      <c r="C291" s="15">
        <f>C290-C289</f>
        <v>14936.860964839509</v>
      </c>
      <c r="D291" s="15"/>
    </row>
    <row r="292" spans="2:4" x14ac:dyDescent="0.25">
      <c r="B292" s="11" t="s">
        <v>174</v>
      </c>
      <c r="C292" s="15">
        <f>C233*4.1</f>
        <v>435.01</v>
      </c>
      <c r="D292" s="15"/>
    </row>
    <row r="293" spans="2:4" x14ac:dyDescent="0.25">
      <c r="B293" s="10" t="s">
        <v>175</v>
      </c>
      <c r="C293" s="14">
        <f>C234*4.1</f>
        <v>435.01</v>
      </c>
      <c r="D293" s="14"/>
    </row>
    <row r="294" spans="2:4" x14ac:dyDescent="0.25">
      <c r="B294" s="10" t="s">
        <v>176</v>
      </c>
      <c r="C294" s="14">
        <f>(C237*C240*20+C238*C240*(C241-1)*10+C242/2*C244*(C241-1))/11</f>
        <v>146.40909090909091</v>
      </c>
      <c r="D294" s="14"/>
    </row>
    <row r="295" spans="2:4" x14ac:dyDescent="0.25">
      <c r="B295" s="18" t="s">
        <v>349</v>
      </c>
      <c r="C295" s="1">
        <f>C19*C17/(C18*C16)*(C34*C35+(C35+C45)*C42/4+C45*C42/4+(C35+C57)*C52/4+C57*C52/4)*(C20-C23)</f>
        <v>25775.359894923462</v>
      </c>
      <c r="D295" s="1"/>
    </row>
    <row r="296" spans="2:4" x14ac:dyDescent="0.25">
      <c r="B296" t="s">
        <v>177</v>
      </c>
      <c r="C296" s="1">
        <f>(C285+C293/3+C294/2)/C13^0.22</f>
        <v>56.628877561287965</v>
      </c>
      <c r="D296" s="1"/>
    </row>
    <row r="297" spans="2:4" x14ac:dyDescent="0.25">
      <c r="B297" t="s">
        <v>178</v>
      </c>
      <c r="C297" s="1">
        <f>(C295^0.8*C243^0.5*(C301/100)^0.1)/96</f>
        <v>76.568818544899429</v>
      </c>
      <c r="D297" s="1"/>
    </row>
    <row r="298" spans="2:4" x14ac:dyDescent="0.25">
      <c r="B298" s="18" t="s">
        <v>350</v>
      </c>
      <c r="C298" s="1">
        <f>C171*C102*C107^0.8/75</f>
        <v>101.09851341125822</v>
      </c>
      <c r="D298" s="1"/>
    </row>
    <row r="299" spans="2:4" x14ac:dyDescent="0.25">
      <c r="B299" s="18" t="s">
        <v>352</v>
      </c>
      <c r="C299" s="3">
        <v>14</v>
      </c>
      <c r="D299" s="3"/>
    </row>
    <row r="300" spans="2:4" x14ac:dyDescent="0.25">
      <c r="B300" s="18" t="s">
        <v>353</v>
      </c>
      <c r="C300" s="3">
        <v>122</v>
      </c>
      <c r="D300" s="3"/>
    </row>
    <row r="301" spans="2:4" x14ac:dyDescent="0.25">
      <c r="B301" s="18" t="s">
        <v>354</v>
      </c>
      <c r="C301" s="1">
        <f>C299*C300*C84</f>
        <v>972.71947973417684</v>
      </c>
      <c r="D301" s="1"/>
    </row>
    <row r="302" spans="2:4" x14ac:dyDescent="0.25">
      <c r="B302" s="4" t="s">
        <v>179</v>
      </c>
      <c r="C302" s="3">
        <v>1</v>
      </c>
      <c r="D302" s="3"/>
    </row>
    <row r="303" spans="2:4" x14ac:dyDescent="0.25">
      <c r="B303" s="18" t="s">
        <v>249</v>
      </c>
      <c r="C303" s="1">
        <f>((C16*C18*C20*C28)/15)*C302+C301/2</f>
        <v>9389.4077398670888</v>
      </c>
      <c r="D303" s="1"/>
    </row>
    <row r="304" spans="2:4" x14ac:dyDescent="0.25">
      <c r="B304" s="18" t="s">
        <v>252</v>
      </c>
      <c r="C304" s="1">
        <f>(C26-C20)*C18*(C16/100)/10</f>
        <v>302.49450000000002</v>
      </c>
      <c r="D304" s="1"/>
    </row>
    <row r="305" spans="2:4" x14ac:dyDescent="0.25">
      <c r="B305" s="22" t="s">
        <v>248</v>
      </c>
      <c r="C305" s="3">
        <v>2000</v>
      </c>
      <c r="D305" s="3"/>
    </row>
    <row r="306" spans="2:4" x14ac:dyDescent="0.25">
      <c r="B306" s="22" t="s">
        <v>250</v>
      </c>
      <c r="C306" s="1">
        <f t="shared" ref="C306" si="16">C303+C305+C304</f>
        <v>11691.90223986709</v>
      </c>
      <c r="D306" s="1"/>
    </row>
    <row r="307" spans="2:4" x14ac:dyDescent="0.25">
      <c r="B307" s="22" t="s">
        <v>253</v>
      </c>
      <c r="C307" s="3">
        <v>3</v>
      </c>
      <c r="D307" s="3"/>
    </row>
    <row r="308" spans="2:4" x14ac:dyDescent="0.25">
      <c r="B308" s="22" t="s">
        <v>254</v>
      </c>
      <c r="C308" s="3">
        <v>0</v>
      </c>
      <c r="D308" s="3"/>
    </row>
    <row r="309" spans="2:4" x14ac:dyDescent="0.25">
      <c r="B309" s="23" t="s">
        <v>255</v>
      </c>
      <c r="C309" s="24">
        <f>((C98-C307-C308)*(C277+1)+C307*(C277+3.5)+C308*(C277+5.8))/C98</f>
        <v>5.25</v>
      </c>
      <c r="D309" s="24"/>
    </row>
    <row r="310" spans="2:4" x14ac:dyDescent="0.25">
      <c r="B310" t="s">
        <v>180</v>
      </c>
      <c r="C310" s="1">
        <f>((C103/1000)^3*C104*C102+(C177/1000)^3*C178*C176)*182+C196*C197/200</f>
        <v>5096.8867491360006</v>
      </c>
      <c r="D310" s="1"/>
    </row>
    <row r="311" spans="2:4" x14ac:dyDescent="0.25">
      <c r="B311" t="s">
        <v>181</v>
      </c>
      <c r="C311" s="1">
        <f>C102*C108*C110*1.2/1000+C176*C181*C180*1.5/1000+C184*C188*C187*2/1000000+C190*C194*C193*2.5/1000000+(C196+C204)*C199/1000</f>
        <v>1391.904</v>
      </c>
      <c r="D311" s="1"/>
    </row>
    <row r="312" spans="2:4" x14ac:dyDescent="0.25">
      <c r="B312" t="s">
        <v>182</v>
      </c>
      <c r="C312">
        <f>C71*C77</f>
        <v>3570</v>
      </c>
    </row>
    <row r="313" spans="2:4" x14ac:dyDescent="0.25">
      <c r="B313" t="s">
        <v>183</v>
      </c>
      <c r="C313">
        <v>720</v>
      </c>
    </row>
    <row r="314" spans="2:4" x14ac:dyDescent="0.25">
      <c r="B314" t="s">
        <v>184</v>
      </c>
      <c r="C314" s="1">
        <f>C12/16</f>
        <v>2412.5</v>
      </c>
      <c r="D314" s="1"/>
    </row>
    <row r="315" spans="2:4" x14ac:dyDescent="0.25">
      <c r="B315" t="s">
        <v>185</v>
      </c>
      <c r="C315" s="1">
        <v>1800</v>
      </c>
      <c r="D315" s="1"/>
    </row>
    <row r="316" spans="2:4" x14ac:dyDescent="0.25">
      <c r="B316" t="s">
        <v>186</v>
      </c>
      <c r="C316" s="1">
        <f t="shared" ref="C316" si="17">C315*0.3</f>
        <v>540</v>
      </c>
      <c r="D316" s="1"/>
    </row>
    <row r="317" spans="2:4" x14ac:dyDescent="0.25">
      <c r="B317" t="s">
        <v>187</v>
      </c>
      <c r="C317" s="1">
        <v>250</v>
      </c>
      <c r="D317" s="1"/>
    </row>
    <row r="318" spans="2:4" x14ac:dyDescent="0.25">
      <c r="B318" t="s">
        <v>188</v>
      </c>
      <c r="C318">
        <v>0</v>
      </c>
      <c r="D318" s="1"/>
    </row>
    <row r="319" spans="2:4" x14ac:dyDescent="0.25">
      <c r="B319" t="s">
        <v>189</v>
      </c>
      <c r="C319">
        <f t="shared" ref="C319" si="18">C318*16</f>
        <v>0</v>
      </c>
    </row>
    <row r="320" spans="2:4" x14ac:dyDescent="0.25">
      <c r="B320" t="s">
        <v>190</v>
      </c>
      <c r="C320" s="1">
        <f>C283+C306+C310+C312+C313+C314</f>
        <v>36198.219206791182</v>
      </c>
      <c r="D320" s="1"/>
    </row>
    <row r="321" spans="1:4" x14ac:dyDescent="0.25">
      <c r="B321" t="s">
        <v>191</v>
      </c>
      <c r="C321" s="1">
        <f>C14-C320-C319-C311-C317-C316</f>
        <v>5308.4349182088208</v>
      </c>
      <c r="D321" s="1"/>
    </row>
    <row r="322" spans="1:4" x14ac:dyDescent="0.25">
      <c r="A322" s="18" t="s">
        <v>463</v>
      </c>
      <c r="B322" t="s">
        <v>192</v>
      </c>
      <c r="C322" s="1">
        <f>C250*C73*C72*0.9</f>
        <v>35794.923840000003</v>
      </c>
      <c r="D322" s="1"/>
    </row>
    <row r="323" spans="1:4" x14ac:dyDescent="0.25">
      <c r="B323" s="3" t="s">
        <v>193</v>
      </c>
      <c r="C323" s="3">
        <v>0</v>
      </c>
      <c r="D323" s="3"/>
    </row>
    <row r="324" spans="1:4" x14ac:dyDescent="0.25">
      <c r="B324" s="3" t="s">
        <v>194</v>
      </c>
      <c r="C324" s="3">
        <v>0</v>
      </c>
      <c r="D324" s="3"/>
    </row>
    <row r="325" spans="1:4" x14ac:dyDescent="0.25">
      <c r="B325" s="3" t="s">
        <v>195</v>
      </c>
      <c r="C325" s="3">
        <v>2</v>
      </c>
      <c r="D325" s="3"/>
    </row>
    <row r="326" spans="1:4" x14ac:dyDescent="0.25">
      <c r="B326" s="3" t="s">
        <v>196</v>
      </c>
      <c r="C326" s="3">
        <v>1.5</v>
      </c>
      <c r="D326" s="3"/>
    </row>
    <row r="327" spans="1:4" x14ac:dyDescent="0.25">
      <c r="B327" t="s">
        <v>197</v>
      </c>
      <c r="C327">
        <v>0</v>
      </c>
    </row>
    <row r="328" spans="1:4" x14ac:dyDescent="0.25">
      <c r="B328" t="s">
        <v>198</v>
      </c>
      <c r="C328">
        <v>0</v>
      </c>
    </row>
    <row r="329" spans="1:4" x14ac:dyDescent="0.25">
      <c r="B329" t="s">
        <v>199</v>
      </c>
      <c r="C329">
        <v>8</v>
      </c>
    </row>
    <row r="330" spans="1:4" x14ac:dyDescent="0.25">
      <c r="B330" t="s">
        <v>200</v>
      </c>
      <c r="C330">
        <v>11</v>
      </c>
    </row>
  </sheetData>
  <phoneticPr fontId="1" type="noConversion"/>
  <pageMargins left="0.75" right="0.75" top="1" bottom="1" header="0.51111111111111107" footer="0.51111111111111107"/>
  <pageSetup paperSize="9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SheetLayoutView="100" workbookViewId="0">
      <selection activeCell="C14" sqref="C14:C16"/>
    </sheetView>
  </sheetViews>
  <sheetFormatPr defaultColWidth="9" defaultRowHeight="15.6" x14ac:dyDescent="0.25"/>
  <cols>
    <col min="3" max="3" width="44.69921875" customWidth="1"/>
  </cols>
  <sheetData>
    <row r="1" spans="1:3" x14ac:dyDescent="0.25">
      <c r="A1" t="s">
        <v>201</v>
      </c>
    </row>
    <row r="2" spans="1:3" x14ac:dyDescent="0.25">
      <c r="A2" t="s">
        <v>202</v>
      </c>
      <c r="B2" t="s">
        <v>134</v>
      </c>
      <c r="C2" t="s">
        <v>203</v>
      </c>
    </row>
    <row r="3" spans="1:3" x14ac:dyDescent="0.25">
      <c r="A3" t="s">
        <v>204</v>
      </c>
      <c r="B3" t="s">
        <v>135</v>
      </c>
      <c r="C3" t="s">
        <v>205</v>
      </c>
    </row>
    <row r="4" spans="1:3" x14ac:dyDescent="0.25">
      <c r="A4" t="s">
        <v>206</v>
      </c>
      <c r="B4" t="s">
        <v>149</v>
      </c>
      <c r="C4" t="s">
        <v>207</v>
      </c>
    </row>
    <row r="5" spans="1:3" x14ac:dyDescent="0.25">
      <c r="A5" t="s">
        <v>208</v>
      </c>
      <c r="B5" t="s">
        <v>136</v>
      </c>
      <c r="C5" t="s">
        <v>209</v>
      </c>
    </row>
    <row r="6" spans="1:3" x14ac:dyDescent="0.25">
      <c r="A6" t="s">
        <v>210</v>
      </c>
      <c r="B6" t="s">
        <v>137</v>
      </c>
      <c r="C6" t="s">
        <v>211</v>
      </c>
    </row>
    <row r="7" spans="1:3" x14ac:dyDescent="0.25">
      <c r="A7" t="s">
        <v>212</v>
      </c>
      <c r="B7" t="s">
        <v>138</v>
      </c>
      <c r="C7" t="s">
        <v>213</v>
      </c>
    </row>
    <row r="8" spans="1:3" x14ac:dyDescent="0.25">
      <c r="A8" t="s">
        <v>214</v>
      </c>
      <c r="B8" t="s">
        <v>153</v>
      </c>
      <c r="C8" t="s">
        <v>215</v>
      </c>
    </row>
    <row r="9" spans="1:3" x14ac:dyDescent="0.25">
      <c r="A9" t="s">
        <v>216</v>
      </c>
      <c r="B9" t="s">
        <v>154</v>
      </c>
      <c r="C9" t="s">
        <v>217</v>
      </c>
    </row>
  </sheetData>
  <phoneticPr fontId="1" type="noConversion"/>
  <pageMargins left="0.75" right="0.75" top="1" bottom="1" header="0.51111111111111107" footer="0.51111111111111107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26"/>
  <sheetViews>
    <sheetView topLeftCell="AC1" zoomScaleSheetLayoutView="100" workbookViewId="0">
      <selection activeCell="AK16" sqref="AK16"/>
    </sheetView>
  </sheetViews>
  <sheetFormatPr defaultColWidth="9" defaultRowHeight="15.6" x14ac:dyDescent="0.25"/>
  <cols>
    <col min="1" max="1" width="16.69921875" customWidth="1"/>
    <col min="2" max="2" width="10.796875" customWidth="1"/>
    <col min="5" max="5" width="11.09765625" customWidth="1"/>
    <col min="9" max="9" width="11.5" customWidth="1"/>
    <col min="21" max="21" width="11.296875" customWidth="1"/>
    <col min="25" max="25" width="10.796875" customWidth="1"/>
  </cols>
  <sheetData>
    <row r="1" spans="1:44" x14ac:dyDescent="0.25">
      <c r="A1" t="s">
        <v>218</v>
      </c>
      <c r="Q1" t="s">
        <v>219</v>
      </c>
      <c r="R1" t="s">
        <v>220</v>
      </c>
      <c r="S1" t="s">
        <v>221</v>
      </c>
      <c r="T1" t="s">
        <v>222</v>
      </c>
      <c r="V1" t="s">
        <v>223</v>
      </c>
      <c r="W1" t="s">
        <v>224</v>
      </c>
    </row>
    <row r="2" spans="1:44" x14ac:dyDescent="0.25">
      <c r="A2" t="s">
        <v>3</v>
      </c>
      <c r="B2" t="e">
        <f>Sheet1!#REF!</f>
        <v>#REF!</v>
      </c>
      <c r="C2" t="e">
        <f>Sheet1!#REF!</f>
        <v>#REF!</v>
      </c>
      <c r="D2" t="e">
        <f>Sheet1!#REF!</f>
        <v>#REF!</v>
      </c>
      <c r="E2" t="e">
        <f>Sheet1!#REF!</f>
        <v>#REF!</v>
      </c>
      <c r="F2" t="e">
        <f>Sheet1!#REF!</f>
        <v>#REF!</v>
      </c>
      <c r="G2" t="e">
        <f>Sheet1!#REF!</f>
        <v>#REF!</v>
      </c>
      <c r="H2" t="e">
        <f>Sheet1!#REF!</f>
        <v>#REF!</v>
      </c>
      <c r="I2" t="e">
        <f>Sheet1!#REF!</f>
        <v>#REF!</v>
      </c>
      <c r="J2" t="e">
        <f>Sheet1!#REF!</f>
        <v>#REF!</v>
      </c>
      <c r="K2" t="e">
        <f>Sheet1!#REF!</f>
        <v>#REF!</v>
      </c>
      <c r="L2" t="e">
        <f>Sheet1!#REF!</f>
        <v>#REF!</v>
      </c>
      <c r="M2" t="e">
        <f>Sheet1!#REF!</f>
        <v>#REF!</v>
      </c>
      <c r="N2" t="e">
        <f>Sheet1!#REF!</f>
        <v>#REF!</v>
      </c>
      <c r="O2" t="e">
        <f>Sheet1!#REF!</f>
        <v>#REF!</v>
      </c>
      <c r="P2" t="e">
        <f>Sheet1!#REF!</f>
        <v>#REF!</v>
      </c>
      <c r="Q2" t="e">
        <f>Sheet1!#REF!</f>
        <v>#REF!</v>
      </c>
      <c r="R2" t="e">
        <f>Sheet1!#REF!</f>
        <v>#REF!</v>
      </c>
      <c r="S2" t="e">
        <f>Sheet1!#REF!</f>
        <v>#REF!</v>
      </c>
      <c r="T2" t="e">
        <f>Sheet1!#REF!</f>
        <v>#REF!</v>
      </c>
      <c r="U2" t="e">
        <f>Sheet1!#REF!</f>
        <v>#REF!</v>
      </c>
      <c r="V2" t="e">
        <f>Sheet1!#REF!</f>
        <v>#REF!</v>
      </c>
      <c r="W2" t="e">
        <f>Sheet1!#REF!</f>
        <v>#REF!</v>
      </c>
      <c r="X2" t="e">
        <f>Sheet1!#REF!</f>
        <v>#REF!</v>
      </c>
      <c r="Y2" t="e">
        <f>Sheet1!#REF!</f>
        <v>#REF!</v>
      </c>
      <c r="Z2" t="str">
        <f>Sheet1!C3</f>
        <v>ZL02</v>
      </c>
      <c r="AA2" t="e">
        <f>Sheet1!#REF!</f>
        <v>#REF!</v>
      </c>
      <c r="AB2" t="e">
        <f>Sheet1!#REF!</f>
        <v>#REF!</v>
      </c>
      <c r="AC2" t="e">
        <f>Sheet1!#REF!</f>
        <v>#REF!</v>
      </c>
      <c r="AD2" t="e">
        <f>Sheet1!#REF!</f>
        <v>#REF!</v>
      </c>
      <c r="AE2" t="e">
        <f>Sheet1!#REF!</f>
        <v>#REF!</v>
      </c>
      <c r="AF2" t="e">
        <f>Sheet1!#REF!</f>
        <v>#REF!</v>
      </c>
      <c r="AG2" t="e">
        <f>Sheet1!#REF!</f>
        <v>#REF!</v>
      </c>
      <c r="AH2" t="e">
        <f>Sheet1!#REF!</f>
        <v>#REF!</v>
      </c>
      <c r="AI2" t="e">
        <f>Sheet1!#REF!</f>
        <v>#REF!</v>
      </c>
      <c r="AJ2" t="e">
        <f>Sheet1!#REF!</f>
        <v>#REF!</v>
      </c>
      <c r="AK2" t="e">
        <f>Sheet1!#REF!</f>
        <v>#REF!</v>
      </c>
      <c r="AL2" t="e">
        <f>Sheet1!#REF!</f>
        <v>#REF!</v>
      </c>
      <c r="AM2" t="e">
        <f>Sheet1!#REF!</f>
        <v>#REF!</v>
      </c>
      <c r="AN2" t="e">
        <f>Sheet1!#REF!</f>
        <v>#REF!</v>
      </c>
      <c r="AO2" t="e">
        <f>Sheet1!#REF!</f>
        <v>#REF!</v>
      </c>
      <c r="AP2" t="e">
        <f>Sheet1!#REF!</f>
        <v>#REF!</v>
      </c>
      <c r="AQ2" t="e">
        <f>Sheet1!#REF!</f>
        <v>#REF!</v>
      </c>
      <c r="AR2" t="e">
        <f>Sheet1!#REF!</f>
        <v>#REF!</v>
      </c>
    </row>
    <row r="3" spans="1:44" x14ac:dyDescent="0.25">
      <c r="A3" t="s">
        <v>1</v>
      </c>
      <c r="B3" t="e">
        <f>Sheet1!#REF!</f>
        <v>#REF!</v>
      </c>
      <c r="C3" t="e">
        <f>Sheet1!#REF!</f>
        <v>#REF!</v>
      </c>
      <c r="D3" t="e">
        <f>Sheet1!#REF!</f>
        <v>#REF!</v>
      </c>
      <c r="E3" t="e">
        <f>Sheet1!#REF!</f>
        <v>#REF!</v>
      </c>
      <c r="F3" t="e">
        <f>Sheet1!#REF!</f>
        <v>#REF!</v>
      </c>
      <c r="G3" t="e">
        <f>Sheet1!#REF!</f>
        <v>#REF!</v>
      </c>
      <c r="H3" t="e">
        <f>Sheet1!#REF!</f>
        <v>#REF!</v>
      </c>
      <c r="I3" t="e">
        <f>Sheet1!#REF!</f>
        <v>#REF!</v>
      </c>
      <c r="J3" t="e">
        <f>Sheet1!#REF!</f>
        <v>#REF!</v>
      </c>
      <c r="K3" t="e">
        <f>Sheet1!#REF!</f>
        <v>#REF!</v>
      </c>
      <c r="L3" t="e">
        <f>Sheet1!#REF!</f>
        <v>#REF!</v>
      </c>
      <c r="M3" t="e">
        <f>Sheet1!#REF!</f>
        <v>#REF!</v>
      </c>
      <c r="N3" t="e">
        <f>Sheet1!#REF!</f>
        <v>#REF!</v>
      </c>
      <c r="O3" t="e">
        <f>Sheet1!#REF!</f>
        <v>#REF!</v>
      </c>
      <c r="P3" t="e">
        <f>Sheet1!#REF!</f>
        <v>#REF!</v>
      </c>
      <c r="Q3" t="e">
        <f>Sheet1!#REF!</f>
        <v>#REF!</v>
      </c>
      <c r="R3" t="e">
        <f>Sheet1!#REF!</f>
        <v>#REF!</v>
      </c>
      <c r="S3" t="e">
        <f>Sheet1!#REF!</f>
        <v>#REF!</v>
      </c>
      <c r="T3" t="e">
        <f>Sheet1!#REF!</f>
        <v>#REF!</v>
      </c>
      <c r="U3" t="e">
        <f>Sheet1!#REF!</f>
        <v>#REF!</v>
      </c>
      <c r="V3" t="e">
        <f>Sheet1!#REF!</f>
        <v>#REF!</v>
      </c>
      <c r="W3" t="e">
        <f>Sheet1!#REF!</f>
        <v>#REF!</v>
      </c>
      <c r="X3" t="e">
        <f>Sheet1!#REF!</f>
        <v>#REF!</v>
      </c>
      <c r="Y3" t="e">
        <f>Sheet1!#REF!</f>
        <v>#REF!</v>
      </c>
      <c r="Z3" t="str">
        <f>Sheet1!C2</f>
        <v>战列舰</v>
      </c>
      <c r="AA3" t="e">
        <f>Sheet1!#REF!</f>
        <v>#REF!</v>
      </c>
      <c r="AB3" t="e">
        <f>Sheet1!#REF!</f>
        <v>#REF!</v>
      </c>
      <c r="AC3" t="e">
        <f>Sheet1!#REF!</f>
        <v>#REF!</v>
      </c>
      <c r="AD3" t="e">
        <f>Sheet1!#REF!</f>
        <v>#REF!</v>
      </c>
      <c r="AE3" t="e">
        <f>Sheet1!#REF!</f>
        <v>#REF!</v>
      </c>
      <c r="AF3" t="e">
        <f>Sheet1!#REF!</f>
        <v>#REF!</v>
      </c>
      <c r="AG3" t="e">
        <f>Sheet1!#REF!</f>
        <v>#REF!</v>
      </c>
      <c r="AH3" t="e">
        <f>Sheet1!#REF!</f>
        <v>#REF!</v>
      </c>
      <c r="AI3" t="e">
        <f>Sheet1!#REF!</f>
        <v>#REF!</v>
      </c>
      <c r="AJ3" t="e">
        <f>Sheet1!#REF!</f>
        <v>#REF!</v>
      </c>
      <c r="AK3" t="e">
        <f>Sheet1!#REF!</f>
        <v>#REF!</v>
      </c>
      <c r="AL3" t="e">
        <f>Sheet1!#REF!</f>
        <v>#REF!</v>
      </c>
      <c r="AM3" t="e">
        <f>Sheet1!#REF!</f>
        <v>#REF!</v>
      </c>
      <c r="AN3" t="e">
        <f>Sheet1!#REF!</f>
        <v>#REF!</v>
      </c>
      <c r="AO3" t="e">
        <f>Sheet1!#REF!</f>
        <v>#REF!</v>
      </c>
      <c r="AP3" t="e">
        <f>Sheet1!#REF!</f>
        <v>#REF!</v>
      </c>
      <c r="AQ3" t="e">
        <f>Sheet1!#REF!</f>
        <v>#REF!</v>
      </c>
      <c r="AR3" t="e">
        <f>Sheet1!#REF!</f>
        <v>#REF!</v>
      </c>
    </row>
    <row r="4" spans="1:44" x14ac:dyDescent="0.25">
      <c r="A4" t="s">
        <v>18</v>
      </c>
      <c r="B4" s="1" t="e">
        <f>Sheet1!#REF!</f>
        <v>#REF!</v>
      </c>
      <c r="C4" s="1" t="e">
        <f>Sheet1!#REF!</f>
        <v>#REF!</v>
      </c>
      <c r="D4" s="1" t="e">
        <f>Sheet1!#REF!</f>
        <v>#REF!</v>
      </c>
      <c r="E4" s="1" t="e">
        <f>Sheet1!#REF!</f>
        <v>#REF!</v>
      </c>
      <c r="F4" s="1" t="e">
        <f>Sheet1!#REF!</f>
        <v>#REF!</v>
      </c>
      <c r="G4" s="1" t="e">
        <f>Sheet1!#REF!</f>
        <v>#REF!</v>
      </c>
      <c r="H4" s="1" t="e">
        <f>Sheet1!#REF!</f>
        <v>#REF!</v>
      </c>
      <c r="I4" s="1" t="e">
        <f>Sheet1!#REF!</f>
        <v>#REF!</v>
      </c>
      <c r="J4" s="1" t="e">
        <f>Sheet1!#REF!</f>
        <v>#REF!</v>
      </c>
      <c r="K4" s="1" t="e">
        <f>Sheet1!#REF!</f>
        <v>#REF!</v>
      </c>
      <c r="L4" s="1" t="e">
        <f>Sheet1!#REF!</f>
        <v>#REF!</v>
      </c>
      <c r="M4" s="1" t="e">
        <f>Sheet1!#REF!</f>
        <v>#REF!</v>
      </c>
      <c r="N4" s="1" t="e">
        <f>Sheet1!#REF!</f>
        <v>#REF!</v>
      </c>
      <c r="O4" s="1" t="e">
        <f>Sheet1!#REF!</f>
        <v>#REF!</v>
      </c>
      <c r="P4" s="1" t="e">
        <f>Sheet1!#REF!</f>
        <v>#REF!</v>
      </c>
      <c r="Q4" s="1" t="e">
        <f>Sheet1!#REF!</f>
        <v>#REF!</v>
      </c>
      <c r="R4" s="1" t="e">
        <f>Sheet1!#REF!</f>
        <v>#REF!</v>
      </c>
      <c r="S4" s="1" t="e">
        <f>Sheet1!#REF!</f>
        <v>#REF!</v>
      </c>
      <c r="T4" s="1" t="e">
        <f>Sheet1!#REF!</f>
        <v>#REF!</v>
      </c>
      <c r="U4" s="1" t="e">
        <f>Sheet1!#REF!</f>
        <v>#REF!</v>
      </c>
      <c r="V4" s="1" t="e">
        <f>Sheet1!#REF!</f>
        <v>#REF!</v>
      </c>
      <c r="W4" s="1" t="e">
        <f>Sheet1!#REF!</f>
        <v>#REF!</v>
      </c>
      <c r="X4" s="1" t="e">
        <f>Sheet1!#REF!</f>
        <v>#REF!</v>
      </c>
      <c r="Y4" s="1" t="e">
        <f>Sheet1!#REF!</f>
        <v>#REF!</v>
      </c>
      <c r="Z4" s="1">
        <f>Sheet1!C13</f>
        <v>38130.123206791184</v>
      </c>
      <c r="AA4" s="1" t="e">
        <f>Sheet1!#REF!</f>
        <v>#REF!</v>
      </c>
      <c r="AB4" s="1" t="e">
        <f>Sheet1!#REF!</f>
        <v>#REF!</v>
      </c>
      <c r="AC4" s="1" t="e">
        <f>Sheet1!#REF!</f>
        <v>#REF!</v>
      </c>
      <c r="AD4" s="1" t="e">
        <f>Sheet1!#REF!</f>
        <v>#REF!</v>
      </c>
      <c r="AE4" s="1" t="e">
        <f>Sheet1!#REF!</f>
        <v>#REF!</v>
      </c>
      <c r="AF4" s="1" t="e">
        <f>Sheet1!#REF!</f>
        <v>#REF!</v>
      </c>
      <c r="AG4" s="1" t="e">
        <f>Sheet1!#REF!</f>
        <v>#REF!</v>
      </c>
      <c r="AH4" s="1" t="e">
        <f>Sheet1!#REF!</f>
        <v>#REF!</v>
      </c>
      <c r="AI4" s="1" t="e">
        <f>Sheet1!#REF!</f>
        <v>#REF!</v>
      </c>
      <c r="AJ4" s="1" t="e">
        <f>Sheet1!#REF!</f>
        <v>#REF!</v>
      </c>
      <c r="AK4" s="1" t="e">
        <f>Sheet1!#REF!</f>
        <v>#REF!</v>
      </c>
      <c r="AL4" s="1" t="e">
        <f>Sheet1!#REF!</f>
        <v>#REF!</v>
      </c>
      <c r="AM4" s="1" t="e">
        <f>Sheet1!#REF!</f>
        <v>#REF!</v>
      </c>
      <c r="AN4" s="1" t="e">
        <f>Sheet1!#REF!</f>
        <v>#REF!</v>
      </c>
      <c r="AO4" s="1" t="e">
        <f>Sheet1!#REF!</f>
        <v>#REF!</v>
      </c>
      <c r="AP4" s="1" t="e">
        <f>Sheet1!#REF!</f>
        <v>#REF!</v>
      </c>
      <c r="AQ4" s="1" t="e">
        <f>Sheet1!#REF!</f>
        <v>#REF!</v>
      </c>
      <c r="AR4" s="1" t="e">
        <f>Sheet1!#REF!</f>
        <v>#REF!</v>
      </c>
    </row>
    <row r="5" spans="1:44" x14ac:dyDescent="0.25">
      <c r="A5" t="s">
        <v>27</v>
      </c>
      <c r="B5" s="3" t="e">
        <f>Sheet1!#REF!</f>
        <v>#REF!</v>
      </c>
      <c r="C5" s="3" t="e">
        <f>Sheet1!#REF!</f>
        <v>#REF!</v>
      </c>
      <c r="D5" s="3" t="e">
        <f>Sheet1!#REF!</f>
        <v>#REF!</v>
      </c>
      <c r="E5" s="3" t="e">
        <f>Sheet1!#REF!</f>
        <v>#REF!</v>
      </c>
      <c r="F5" s="3" t="e">
        <f>Sheet1!#REF!</f>
        <v>#REF!</v>
      </c>
      <c r="G5" s="3" t="e">
        <f>Sheet1!#REF!</f>
        <v>#REF!</v>
      </c>
      <c r="H5" s="3" t="e">
        <f>Sheet1!#REF!</f>
        <v>#REF!</v>
      </c>
      <c r="I5" s="3" t="e">
        <f>Sheet1!#REF!</f>
        <v>#REF!</v>
      </c>
      <c r="J5" s="3" t="e">
        <f>Sheet1!#REF!</f>
        <v>#REF!</v>
      </c>
      <c r="K5" s="3" t="e">
        <f>Sheet1!#REF!</f>
        <v>#REF!</v>
      </c>
      <c r="L5" s="3" t="e">
        <f>Sheet1!#REF!</f>
        <v>#REF!</v>
      </c>
      <c r="M5" s="3" t="e">
        <f>Sheet1!#REF!</f>
        <v>#REF!</v>
      </c>
      <c r="N5" s="3" t="e">
        <f>Sheet1!#REF!</f>
        <v>#REF!</v>
      </c>
      <c r="O5" s="3" t="e">
        <f>Sheet1!#REF!</f>
        <v>#REF!</v>
      </c>
      <c r="P5" s="3" t="e">
        <f>Sheet1!#REF!</f>
        <v>#REF!</v>
      </c>
      <c r="Q5" s="3" t="e">
        <f>Sheet1!#REF!</f>
        <v>#REF!</v>
      </c>
      <c r="R5" s="3" t="e">
        <f>Sheet1!#REF!</f>
        <v>#REF!</v>
      </c>
      <c r="S5" s="3" t="e">
        <f>Sheet1!#REF!</f>
        <v>#REF!</v>
      </c>
      <c r="T5" s="3" t="e">
        <f>Sheet1!#REF!</f>
        <v>#REF!</v>
      </c>
      <c r="U5" s="3" t="e">
        <f>Sheet1!#REF!</f>
        <v>#REF!</v>
      </c>
      <c r="V5" s="3" t="e">
        <f>Sheet1!#REF!</f>
        <v>#REF!</v>
      </c>
      <c r="W5" s="3" t="e">
        <f>Sheet1!#REF!</f>
        <v>#REF!</v>
      </c>
      <c r="X5" s="3" t="e">
        <f>Sheet1!#REF!</f>
        <v>#REF!</v>
      </c>
      <c r="Y5" s="3" t="e">
        <f>Sheet1!#REF!</f>
        <v>#REF!</v>
      </c>
      <c r="Z5" s="3">
        <f>Sheet1!C22</f>
        <v>5.7382684736688994</v>
      </c>
      <c r="AA5" s="3" t="e">
        <f>Sheet1!#REF!</f>
        <v>#REF!</v>
      </c>
      <c r="AB5" s="3" t="e">
        <f>Sheet1!#REF!</f>
        <v>#REF!</v>
      </c>
      <c r="AC5" s="3" t="e">
        <f>Sheet1!#REF!</f>
        <v>#REF!</v>
      </c>
      <c r="AD5" s="3" t="e">
        <f>Sheet1!#REF!</f>
        <v>#REF!</v>
      </c>
      <c r="AE5" s="3" t="e">
        <f>Sheet1!#REF!</f>
        <v>#REF!</v>
      </c>
      <c r="AF5" s="3" t="e">
        <f>Sheet1!#REF!</f>
        <v>#REF!</v>
      </c>
      <c r="AG5" s="3" t="e">
        <f>Sheet1!#REF!</f>
        <v>#REF!</v>
      </c>
      <c r="AH5" s="3" t="e">
        <f>Sheet1!#REF!</f>
        <v>#REF!</v>
      </c>
      <c r="AI5" s="3" t="e">
        <f>Sheet1!#REF!</f>
        <v>#REF!</v>
      </c>
      <c r="AJ5" s="3" t="e">
        <f>Sheet1!#REF!</f>
        <v>#REF!</v>
      </c>
      <c r="AK5" s="3" t="e">
        <f>Sheet1!#REF!</f>
        <v>#REF!</v>
      </c>
      <c r="AL5" s="3" t="e">
        <f>Sheet1!#REF!</f>
        <v>#REF!</v>
      </c>
      <c r="AM5" s="3" t="e">
        <f>Sheet1!#REF!</f>
        <v>#REF!</v>
      </c>
      <c r="AN5" s="3" t="e">
        <f>Sheet1!#REF!</f>
        <v>#REF!</v>
      </c>
      <c r="AO5" s="3" t="e">
        <f>Sheet1!#REF!</f>
        <v>#REF!</v>
      </c>
      <c r="AP5" s="3" t="e">
        <f>Sheet1!#REF!</f>
        <v>#REF!</v>
      </c>
      <c r="AQ5" s="3" t="e">
        <f>Sheet1!#REF!</f>
        <v>#REF!</v>
      </c>
      <c r="AR5" s="3" t="e">
        <f>Sheet1!#REF!</f>
        <v>#REF!</v>
      </c>
    </row>
    <row r="6" spans="1:44" x14ac:dyDescent="0.25">
      <c r="A6" t="s">
        <v>225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2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1.3</v>
      </c>
      <c r="V6">
        <v>1</v>
      </c>
      <c r="W6">
        <v>1</v>
      </c>
      <c r="X6">
        <v>1</v>
      </c>
      <c r="Y6">
        <v>1.5</v>
      </c>
      <c r="Z6">
        <v>1</v>
      </c>
      <c r="AA6">
        <v>1</v>
      </c>
      <c r="AB6">
        <v>1</v>
      </c>
      <c r="AC6">
        <v>1</v>
      </c>
      <c r="AD6">
        <v>4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2.4</v>
      </c>
      <c r="AQ6">
        <v>2</v>
      </c>
      <c r="AR6">
        <v>1</v>
      </c>
    </row>
    <row r="7" spans="1:44" x14ac:dyDescent="0.25">
      <c r="A7" t="s">
        <v>53</v>
      </c>
      <c r="B7" t="e">
        <f>Sheet1!#REF!</f>
        <v>#REF!</v>
      </c>
      <c r="C7" t="e">
        <f>Sheet1!#REF!</f>
        <v>#REF!</v>
      </c>
      <c r="D7" t="e">
        <f>Sheet1!#REF!</f>
        <v>#REF!</v>
      </c>
      <c r="E7" t="e">
        <f>Sheet1!#REF!</f>
        <v>#REF!</v>
      </c>
      <c r="F7" t="e">
        <f>Sheet1!#REF!</f>
        <v>#REF!</v>
      </c>
      <c r="G7" t="e">
        <f>Sheet1!#REF!</f>
        <v>#REF!</v>
      </c>
      <c r="H7" t="e">
        <f>Sheet1!#REF!</f>
        <v>#REF!</v>
      </c>
      <c r="I7" t="e">
        <f>Sheet1!#REF!</f>
        <v>#REF!</v>
      </c>
      <c r="J7" t="e">
        <f>Sheet1!#REF!</f>
        <v>#REF!</v>
      </c>
      <c r="K7" t="e">
        <f>Sheet1!#REF!</f>
        <v>#REF!</v>
      </c>
      <c r="L7" t="e">
        <f>Sheet1!#REF!</f>
        <v>#REF!</v>
      </c>
      <c r="M7" t="e">
        <f>Sheet1!#REF!</f>
        <v>#REF!</v>
      </c>
      <c r="N7" t="e">
        <f>Sheet1!#REF!</f>
        <v>#REF!</v>
      </c>
      <c r="O7" t="e">
        <f>Sheet1!#REF!</f>
        <v>#REF!</v>
      </c>
      <c r="P7" t="e">
        <f>Sheet1!#REF!</f>
        <v>#REF!</v>
      </c>
      <c r="Q7" t="e">
        <f>Sheet1!#REF!</f>
        <v>#REF!</v>
      </c>
      <c r="R7" t="e">
        <f>Sheet1!#REF!</f>
        <v>#REF!</v>
      </c>
      <c r="S7" t="e">
        <f>Sheet1!#REF!</f>
        <v>#REF!</v>
      </c>
      <c r="T7" t="e">
        <f>Sheet1!#REF!</f>
        <v>#REF!</v>
      </c>
      <c r="U7" t="e">
        <f>Sheet1!#REF!</f>
        <v>#REF!</v>
      </c>
      <c r="V7" t="e">
        <f>Sheet1!#REF!</f>
        <v>#REF!</v>
      </c>
      <c r="W7" t="e">
        <f>Sheet1!#REF!</f>
        <v>#REF!</v>
      </c>
      <c r="X7" t="e">
        <f>Sheet1!#REF!</f>
        <v>#REF!</v>
      </c>
      <c r="Y7" t="e">
        <f>Sheet1!#REF!</f>
        <v>#REF!</v>
      </c>
      <c r="Z7">
        <f>Sheet1!C103</f>
        <v>356</v>
      </c>
      <c r="AA7" t="e">
        <f>Sheet1!#REF!</f>
        <v>#REF!</v>
      </c>
      <c r="AB7" t="e">
        <f>Sheet1!#REF!</f>
        <v>#REF!</v>
      </c>
      <c r="AC7" t="e">
        <f>Sheet1!#REF!</f>
        <v>#REF!</v>
      </c>
      <c r="AD7" t="e">
        <f>Sheet1!#REF!</f>
        <v>#REF!</v>
      </c>
      <c r="AE7" t="e">
        <f>Sheet1!#REF!</f>
        <v>#REF!</v>
      </c>
      <c r="AF7" t="e">
        <f>Sheet1!#REF!</f>
        <v>#REF!</v>
      </c>
      <c r="AG7" t="e">
        <f>Sheet1!#REF!</f>
        <v>#REF!</v>
      </c>
      <c r="AH7" t="e">
        <f>Sheet1!#REF!</f>
        <v>#REF!</v>
      </c>
      <c r="AI7" t="e">
        <f>Sheet1!#REF!</f>
        <v>#REF!</v>
      </c>
      <c r="AJ7" t="e">
        <f>Sheet1!#REF!</f>
        <v>#REF!</v>
      </c>
      <c r="AK7" t="e">
        <f>Sheet1!#REF!</f>
        <v>#REF!</v>
      </c>
      <c r="AL7" t="e">
        <f>Sheet1!#REF!</f>
        <v>#REF!</v>
      </c>
      <c r="AM7" t="e">
        <f>Sheet1!#REF!</f>
        <v>#REF!</v>
      </c>
      <c r="AN7" t="e">
        <f>Sheet1!#REF!</f>
        <v>#REF!</v>
      </c>
      <c r="AO7" t="e">
        <f>Sheet1!#REF!</f>
        <v>#REF!</v>
      </c>
      <c r="AP7" t="e">
        <f>Sheet1!#REF!</f>
        <v>#REF!</v>
      </c>
      <c r="AQ7" t="e">
        <f>Sheet1!#REF!</f>
        <v>#REF!</v>
      </c>
      <c r="AR7" t="e">
        <f>Sheet1!#REF!</f>
        <v>#REF!</v>
      </c>
    </row>
    <row r="8" spans="1:44" x14ac:dyDescent="0.25">
      <c r="A8" t="s">
        <v>226</v>
      </c>
      <c r="B8" t="e">
        <f>Sheet1!#REF!</f>
        <v>#REF!</v>
      </c>
      <c r="C8" t="e">
        <f>Sheet1!#REF!</f>
        <v>#REF!</v>
      </c>
      <c r="D8" t="e">
        <f>Sheet1!#REF!</f>
        <v>#REF!</v>
      </c>
      <c r="E8" t="e">
        <f>Sheet1!#REF!</f>
        <v>#REF!</v>
      </c>
      <c r="F8" t="e">
        <f>Sheet1!#REF!</f>
        <v>#REF!</v>
      </c>
      <c r="G8" t="e">
        <f>Sheet1!#REF!</f>
        <v>#REF!</v>
      </c>
      <c r="H8" t="e">
        <f>Sheet1!#REF!</f>
        <v>#REF!</v>
      </c>
      <c r="I8" t="e">
        <f>Sheet1!#REF!</f>
        <v>#REF!</v>
      </c>
      <c r="J8" t="e">
        <f>Sheet1!#REF!</f>
        <v>#REF!</v>
      </c>
      <c r="K8" t="e">
        <f>Sheet1!#REF!</f>
        <v>#REF!</v>
      </c>
      <c r="L8" t="e">
        <f>Sheet1!#REF!</f>
        <v>#REF!</v>
      </c>
      <c r="M8" t="e">
        <f>Sheet1!#REF!</f>
        <v>#REF!</v>
      </c>
      <c r="N8" t="e">
        <f>Sheet1!#REF!</f>
        <v>#REF!</v>
      </c>
      <c r="O8" t="e">
        <f>Sheet1!#REF!</f>
        <v>#REF!</v>
      </c>
      <c r="P8" t="e">
        <f>Sheet1!#REF!</f>
        <v>#REF!</v>
      </c>
      <c r="Q8" t="e">
        <f>Sheet1!#REF!</f>
        <v>#REF!</v>
      </c>
      <c r="R8" t="e">
        <f>Sheet1!#REF!</f>
        <v>#REF!</v>
      </c>
      <c r="S8" t="e">
        <f>Sheet1!#REF!</f>
        <v>#REF!</v>
      </c>
      <c r="T8" t="e">
        <f>Sheet1!#REF!</f>
        <v>#REF!</v>
      </c>
      <c r="U8" t="e">
        <f>Sheet1!#REF!</f>
        <v>#REF!</v>
      </c>
      <c r="V8" t="e">
        <f>Sheet1!#REF!</f>
        <v>#REF!</v>
      </c>
      <c r="W8" t="e">
        <f>Sheet1!#REF!</f>
        <v>#REF!</v>
      </c>
      <c r="X8" t="e">
        <f>Sheet1!#REF!</f>
        <v>#REF!</v>
      </c>
      <c r="Y8" t="e">
        <f>Sheet1!#REF!</f>
        <v>#REF!</v>
      </c>
      <c r="Z8">
        <f>Sheet1!C102</f>
        <v>12</v>
      </c>
      <c r="AA8" t="e">
        <f>Sheet1!#REF!</f>
        <v>#REF!</v>
      </c>
      <c r="AB8" t="e">
        <f>Sheet1!#REF!</f>
        <v>#REF!</v>
      </c>
      <c r="AC8" t="e">
        <f>Sheet1!#REF!</f>
        <v>#REF!</v>
      </c>
      <c r="AD8" t="e">
        <f>Sheet1!#REF!</f>
        <v>#REF!</v>
      </c>
      <c r="AE8" t="e">
        <f>Sheet1!#REF!</f>
        <v>#REF!</v>
      </c>
      <c r="AF8" t="e">
        <f>Sheet1!#REF!</f>
        <v>#REF!</v>
      </c>
      <c r="AG8" t="e">
        <f>Sheet1!#REF!</f>
        <v>#REF!</v>
      </c>
      <c r="AH8" t="e">
        <f>Sheet1!#REF!</f>
        <v>#REF!</v>
      </c>
      <c r="AI8" t="e">
        <f>Sheet1!#REF!</f>
        <v>#REF!</v>
      </c>
      <c r="AJ8" t="e">
        <f>Sheet1!#REF!</f>
        <v>#REF!</v>
      </c>
      <c r="AK8" t="e">
        <f>Sheet1!#REF!</f>
        <v>#REF!</v>
      </c>
      <c r="AL8" t="e">
        <f>Sheet1!#REF!</f>
        <v>#REF!</v>
      </c>
      <c r="AM8" t="e">
        <f>Sheet1!#REF!</f>
        <v>#REF!</v>
      </c>
      <c r="AN8" t="e">
        <f>Sheet1!#REF!</f>
        <v>#REF!</v>
      </c>
      <c r="AO8" t="e">
        <f>Sheet1!#REF!</f>
        <v>#REF!</v>
      </c>
      <c r="AP8" t="e">
        <f>Sheet1!#REF!</f>
        <v>#REF!</v>
      </c>
      <c r="AQ8" t="e">
        <f>Sheet1!#REF!</f>
        <v>#REF!</v>
      </c>
      <c r="AR8" t="e">
        <f>Sheet1!#REF!</f>
        <v>#REF!</v>
      </c>
    </row>
    <row r="14" spans="1:44" x14ac:dyDescent="0.25">
      <c r="A14" t="s">
        <v>274</v>
      </c>
      <c r="B14" s="18" t="s">
        <v>277</v>
      </c>
      <c r="C14" s="18" t="s">
        <v>277</v>
      </c>
      <c r="D14" s="18" t="s">
        <v>283</v>
      </c>
      <c r="E14" s="18" t="s">
        <v>286</v>
      </c>
      <c r="F14" s="18" t="s">
        <v>288</v>
      </c>
      <c r="G14" s="18" t="s">
        <v>285</v>
      </c>
      <c r="H14" s="18" t="s">
        <v>291</v>
      </c>
      <c r="I14" s="18" t="s">
        <v>277</v>
      </c>
      <c r="AK14" s="18" t="s">
        <v>295</v>
      </c>
      <c r="AL14" s="18" t="s">
        <v>293</v>
      </c>
      <c r="AM14" s="18" t="s">
        <v>286</v>
      </c>
    </row>
    <row r="15" spans="1:44" x14ac:dyDescent="0.25">
      <c r="A15" t="s">
        <v>275</v>
      </c>
      <c r="B15" s="18" t="s">
        <v>280</v>
      </c>
      <c r="C15" s="18" t="s">
        <v>281</v>
      </c>
      <c r="D15" s="18" t="s">
        <v>284</v>
      </c>
      <c r="E15" s="18" t="s">
        <v>278</v>
      </c>
      <c r="F15" s="18" t="s">
        <v>285</v>
      </c>
      <c r="G15" s="18" t="s">
        <v>285</v>
      </c>
      <c r="H15" s="18" t="s">
        <v>277</v>
      </c>
      <c r="I15" s="18" t="s">
        <v>284</v>
      </c>
      <c r="AK15" s="18" t="s">
        <v>296</v>
      </c>
      <c r="AL15" s="18" t="s">
        <v>286</v>
      </c>
      <c r="AM15" s="18" t="s">
        <v>277</v>
      </c>
    </row>
    <row r="16" spans="1:44" x14ac:dyDescent="0.25">
      <c r="A16" s="18" t="s">
        <v>276</v>
      </c>
      <c r="B16" s="18" t="s">
        <v>279</v>
      </c>
      <c r="C16" s="18" t="s">
        <v>282</v>
      </c>
      <c r="D16" s="18" t="s">
        <v>285</v>
      </c>
      <c r="E16" s="18" t="s">
        <v>287</v>
      </c>
      <c r="F16" s="18" t="s">
        <v>289</v>
      </c>
      <c r="G16" s="18" t="s">
        <v>286</v>
      </c>
      <c r="H16" s="18" t="s">
        <v>290</v>
      </c>
      <c r="I16" s="18" t="s">
        <v>292</v>
      </c>
      <c r="AK16" s="18" t="s">
        <v>293</v>
      </c>
      <c r="AL16" s="18" t="s">
        <v>294</v>
      </c>
      <c r="AM16" s="18" t="s">
        <v>293</v>
      </c>
    </row>
    <row r="17" spans="1:44" x14ac:dyDescent="0.25">
      <c r="A17" t="s">
        <v>227</v>
      </c>
      <c r="B17" s="1" t="e">
        <f>Sheet1!#REF!*B6/2.5</f>
        <v>#REF!</v>
      </c>
      <c r="C17" s="1" t="e">
        <f>Sheet1!#REF!*C6/2.5</f>
        <v>#REF!</v>
      </c>
      <c r="D17" s="1" t="e">
        <f t="shared" ref="D17:AR17" si="0">D4^0.8*D5^0.5*D6/160</f>
        <v>#REF!</v>
      </c>
      <c r="E17" s="1" t="e">
        <f t="shared" si="0"/>
        <v>#REF!</v>
      </c>
      <c r="F17" s="1" t="e">
        <f t="shared" si="0"/>
        <v>#REF!</v>
      </c>
      <c r="G17" s="1" t="e">
        <f t="shared" si="0"/>
        <v>#REF!</v>
      </c>
      <c r="H17" s="1" t="e">
        <f t="shared" si="0"/>
        <v>#REF!</v>
      </c>
      <c r="I17" s="1" t="e">
        <f t="shared" si="0"/>
        <v>#REF!</v>
      </c>
      <c r="J17" s="1" t="e">
        <f t="shared" si="0"/>
        <v>#REF!</v>
      </c>
      <c r="K17" s="1" t="e">
        <f t="shared" si="0"/>
        <v>#REF!</v>
      </c>
      <c r="L17" s="1" t="e">
        <f t="shared" si="0"/>
        <v>#REF!</v>
      </c>
      <c r="M17" s="1" t="e">
        <f t="shared" si="0"/>
        <v>#REF!</v>
      </c>
      <c r="N17" s="1" t="e">
        <f t="shared" si="0"/>
        <v>#REF!</v>
      </c>
      <c r="O17" s="1" t="e">
        <f t="shared" si="0"/>
        <v>#REF!</v>
      </c>
      <c r="P17" s="1" t="e">
        <f t="shared" si="0"/>
        <v>#REF!</v>
      </c>
      <c r="Q17" s="1" t="e">
        <f t="shared" si="0"/>
        <v>#REF!</v>
      </c>
      <c r="R17" s="1" t="e">
        <f t="shared" si="0"/>
        <v>#REF!</v>
      </c>
      <c r="S17" s="1" t="e">
        <f t="shared" si="0"/>
        <v>#REF!</v>
      </c>
      <c r="T17" s="1" t="e">
        <f t="shared" si="0"/>
        <v>#REF!</v>
      </c>
      <c r="U17" s="1" t="e">
        <f t="shared" si="0"/>
        <v>#REF!</v>
      </c>
      <c r="V17" s="1" t="e">
        <f t="shared" si="0"/>
        <v>#REF!</v>
      </c>
      <c r="W17" s="1" t="e">
        <f t="shared" si="0"/>
        <v>#REF!</v>
      </c>
      <c r="X17" s="1" t="e">
        <f t="shared" si="0"/>
        <v>#REF!</v>
      </c>
      <c r="Y17" s="1" t="e">
        <f t="shared" si="0"/>
        <v>#REF!</v>
      </c>
      <c r="Z17" s="1">
        <f t="shared" si="0"/>
        <v>69.228515027504983</v>
      </c>
      <c r="AA17" s="1" t="e">
        <f t="shared" si="0"/>
        <v>#REF!</v>
      </c>
      <c r="AB17" s="1" t="e">
        <f t="shared" si="0"/>
        <v>#REF!</v>
      </c>
      <c r="AC17" s="1" t="e">
        <f t="shared" si="0"/>
        <v>#REF!</v>
      </c>
      <c r="AD17" s="1" t="e">
        <f t="shared" si="0"/>
        <v>#REF!</v>
      </c>
      <c r="AE17" s="1" t="e">
        <f t="shared" si="0"/>
        <v>#REF!</v>
      </c>
      <c r="AF17" s="1" t="e">
        <f t="shared" si="0"/>
        <v>#REF!</v>
      </c>
      <c r="AG17" s="1" t="e">
        <f t="shared" si="0"/>
        <v>#REF!</v>
      </c>
      <c r="AH17" s="1" t="e">
        <f t="shared" si="0"/>
        <v>#REF!</v>
      </c>
      <c r="AI17" s="1" t="e">
        <f t="shared" si="0"/>
        <v>#REF!</v>
      </c>
      <c r="AJ17" s="1" t="e">
        <f t="shared" si="0"/>
        <v>#REF!</v>
      </c>
      <c r="AK17" s="1" t="e">
        <f t="shared" si="0"/>
        <v>#REF!</v>
      </c>
      <c r="AL17" s="1" t="e">
        <f t="shared" si="0"/>
        <v>#REF!</v>
      </c>
      <c r="AM17" s="1" t="e">
        <f t="shared" si="0"/>
        <v>#REF!</v>
      </c>
      <c r="AN17" s="1" t="e">
        <f t="shared" si="0"/>
        <v>#REF!</v>
      </c>
      <c r="AO17" s="1" t="e">
        <f t="shared" si="0"/>
        <v>#REF!</v>
      </c>
      <c r="AP17" s="1" t="e">
        <f t="shared" si="0"/>
        <v>#REF!</v>
      </c>
      <c r="AQ17" s="1" t="e">
        <f t="shared" si="0"/>
        <v>#REF!</v>
      </c>
      <c r="AR17" s="1" t="e">
        <f t="shared" si="0"/>
        <v>#REF!</v>
      </c>
    </row>
    <row r="18" spans="1:44" x14ac:dyDescent="0.25">
      <c r="A18" t="s">
        <v>228</v>
      </c>
      <c r="B18" s="1" t="e">
        <f>Sheet1!#REF!/60</f>
        <v>#REF!</v>
      </c>
      <c r="C18" s="1" t="e">
        <f>Sheet1!#REF!/60</f>
        <v>#REF!</v>
      </c>
      <c r="D18" s="1" t="e">
        <f>Sheet1!#REF!/60</f>
        <v>#REF!</v>
      </c>
      <c r="E18" s="1" t="e">
        <f>Sheet1!#REF!/60</f>
        <v>#REF!</v>
      </c>
      <c r="F18" s="1" t="e">
        <f>Sheet1!#REF!/60</f>
        <v>#REF!</v>
      </c>
      <c r="G18" s="1" t="e">
        <f>Sheet1!#REF!/60</f>
        <v>#REF!</v>
      </c>
      <c r="H18" s="1" t="e">
        <f>Sheet1!#REF!/60</f>
        <v>#REF!</v>
      </c>
      <c r="I18" s="1" t="e">
        <f>Sheet1!#REF!/60</f>
        <v>#REF!</v>
      </c>
      <c r="J18" s="1" t="e">
        <f>Sheet1!#REF!/60</f>
        <v>#REF!</v>
      </c>
      <c r="K18" s="1" t="e">
        <f>Sheet1!#REF!/60</f>
        <v>#REF!</v>
      </c>
      <c r="L18" s="1" t="e">
        <f>Sheet1!#REF!/60</f>
        <v>#REF!</v>
      </c>
      <c r="M18" s="1" t="e">
        <f>Sheet1!#REF!/60</f>
        <v>#REF!</v>
      </c>
      <c r="N18" s="1" t="e">
        <f>Sheet1!#REF!/60</f>
        <v>#REF!</v>
      </c>
      <c r="O18" s="1" t="e">
        <f>Sheet1!#REF!/60</f>
        <v>#REF!</v>
      </c>
      <c r="P18" s="1" t="e">
        <f>Sheet1!#REF!/60</f>
        <v>#REF!</v>
      </c>
      <c r="Q18" s="1" t="e">
        <f>Sheet1!#REF!/60</f>
        <v>#REF!</v>
      </c>
      <c r="R18" s="1" t="e">
        <f>Sheet1!#REF!/60</f>
        <v>#REF!</v>
      </c>
      <c r="S18" s="1" t="e">
        <f>Sheet1!#REF!/60</f>
        <v>#REF!</v>
      </c>
      <c r="T18" s="1" t="e">
        <f>Sheet1!#REF!/60</f>
        <v>#REF!</v>
      </c>
      <c r="U18" s="1" t="e">
        <f>Sheet1!#REF!/60</f>
        <v>#REF!</v>
      </c>
      <c r="V18" s="1" t="e">
        <f>Sheet1!#REF!/60</f>
        <v>#REF!</v>
      </c>
      <c r="W18" s="1" t="e">
        <f>Sheet1!#REF!/60</f>
        <v>#REF!</v>
      </c>
      <c r="X18" s="1" t="e">
        <f>Sheet1!#REF!/60</f>
        <v>#REF!</v>
      </c>
      <c r="Y18" s="1" t="e">
        <f>Sheet1!#REF!/60</f>
        <v>#REF!</v>
      </c>
      <c r="Z18" s="1">
        <f>Sheet1!C205/60</f>
        <v>145.16462006019751</v>
      </c>
      <c r="AA18" s="1" t="e">
        <f>Sheet1!#REF!/60</f>
        <v>#REF!</v>
      </c>
      <c r="AB18" s="1" t="e">
        <f>Sheet1!#REF!/60</f>
        <v>#REF!</v>
      </c>
      <c r="AC18" s="1" t="e">
        <f>Sheet1!#REF!/60</f>
        <v>#REF!</v>
      </c>
      <c r="AD18" s="1" t="e">
        <f>Sheet1!#REF!/60</f>
        <v>#REF!</v>
      </c>
      <c r="AE18" s="1" t="e">
        <f>Sheet1!#REF!/60</f>
        <v>#REF!</v>
      </c>
      <c r="AF18" s="1" t="e">
        <f>Sheet1!#REF!/60</f>
        <v>#REF!</v>
      </c>
      <c r="AG18" s="1" t="e">
        <f>Sheet1!#REF!/60</f>
        <v>#REF!</v>
      </c>
      <c r="AH18" s="1" t="e">
        <f>Sheet1!#REF!/60</f>
        <v>#REF!</v>
      </c>
      <c r="AI18" s="1" t="e">
        <f>Sheet1!#REF!/60</f>
        <v>#REF!</v>
      </c>
      <c r="AJ18" s="1" t="e">
        <f>Sheet1!#REF!/60</f>
        <v>#REF!</v>
      </c>
      <c r="AK18" s="1" t="e">
        <f>Sheet1!#REF!/60</f>
        <v>#REF!</v>
      </c>
      <c r="AL18" s="1" t="e">
        <f>Sheet1!#REF!/60</f>
        <v>#REF!</v>
      </c>
      <c r="AM18" s="1" t="e">
        <f>Sheet1!#REF!/60</f>
        <v>#REF!</v>
      </c>
      <c r="AN18" s="1" t="e">
        <f>Sheet1!#REF!/60</f>
        <v>#REF!</v>
      </c>
      <c r="AO18" s="1" t="e">
        <f>Sheet1!#REF!/60</f>
        <v>#REF!</v>
      </c>
      <c r="AP18" s="1" t="e">
        <f>Sheet1!#REF!/60</f>
        <v>#REF!</v>
      </c>
      <c r="AQ18" s="1" t="e">
        <f>Sheet1!#REF!/60</f>
        <v>#REF!</v>
      </c>
      <c r="AR18" s="1" t="e">
        <f>Sheet1!#REF!/60</f>
        <v>#REF!</v>
      </c>
    </row>
    <row r="19" spans="1:44" x14ac:dyDescent="0.25">
      <c r="A19" t="s">
        <v>229</v>
      </c>
      <c r="B19" s="1" t="e">
        <f>Sheet1!#REF!/180+Sheet1!#REF!*Sheet1!#REF!*Sheet1!#REF!*0.5/450</f>
        <v>#REF!</v>
      </c>
      <c r="C19" s="1" t="e">
        <f>Sheet1!#REF!/180+Sheet1!#REF!*Sheet1!#REF!*Sheet1!#REF!*0.5/450</f>
        <v>#REF!</v>
      </c>
      <c r="D19" s="1" t="e">
        <f>Sheet1!#REF!/180+Sheet1!#REF!*Sheet1!#REF!*Sheet1!#REF!*0.5/450</f>
        <v>#REF!</v>
      </c>
      <c r="E19" s="1" t="e">
        <f>Sheet1!#REF!/180+Sheet1!#REF!*Sheet1!#REF!*Sheet1!#REF!*0.5/450</f>
        <v>#REF!</v>
      </c>
      <c r="F19" s="1" t="e">
        <f>Sheet1!#REF!/180+Sheet1!#REF!*Sheet1!#REF!*Sheet1!#REF!*0.5/450</f>
        <v>#REF!</v>
      </c>
      <c r="G19" s="1" t="e">
        <f>Sheet1!#REF!/180+Sheet1!#REF!*Sheet1!#REF!*Sheet1!#REF!*0.5/450</f>
        <v>#REF!</v>
      </c>
      <c r="H19" s="1" t="e">
        <f>Sheet1!#REF!/180+Sheet1!#REF!*Sheet1!#REF!*Sheet1!#REF!*0.5/450</f>
        <v>#REF!</v>
      </c>
      <c r="I19" s="1" t="e">
        <f>Sheet1!#REF!/180+Sheet1!#REF!*Sheet1!#REF!*Sheet1!#REF!*0.5/450</f>
        <v>#REF!</v>
      </c>
      <c r="J19" s="1" t="e">
        <f>Sheet1!#REF!/180+Sheet1!#REF!*Sheet1!#REF!*Sheet1!#REF!*0.5/450</f>
        <v>#REF!</v>
      </c>
      <c r="K19" s="1" t="e">
        <f>Sheet1!#REF!/180+Sheet1!#REF!*Sheet1!#REF!*Sheet1!#REF!*0.5/450</f>
        <v>#REF!</v>
      </c>
      <c r="L19" s="1" t="e">
        <f>Sheet1!#REF!/180+Sheet1!#REF!*Sheet1!#REF!*Sheet1!#REF!*0.5/450</f>
        <v>#REF!</v>
      </c>
      <c r="M19" s="1" t="e">
        <f>Sheet1!#REF!/180+Sheet1!#REF!*Sheet1!#REF!*Sheet1!#REF!*0.5/450</f>
        <v>#REF!</v>
      </c>
      <c r="N19" s="1" t="e">
        <f>Sheet1!#REF!/180+Sheet1!#REF!*Sheet1!#REF!*Sheet1!#REF!*0.5/450</f>
        <v>#REF!</v>
      </c>
      <c r="O19" s="1" t="e">
        <f>Sheet1!#REF!/180+Sheet1!#REF!*Sheet1!#REF!*Sheet1!#REF!*0.5/450</f>
        <v>#REF!</v>
      </c>
      <c r="P19" s="1" t="e">
        <f>Sheet1!#REF!/180+Sheet1!#REF!*Sheet1!#REF!*Sheet1!#REF!*0.5/450</f>
        <v>#REF!</v>
      </c>
      <c r="Q19" s="1" t="e">
        <f>Sheet1!#REF!/180+Sheet1!#REF!*Sheet1!#REF!*Sheet1!#REF!*0.5/450</f>
        <v>#REF!</v>
      </c>
      <c r="R19" s="1" t="e">
        <f>Sheet1!#REF!/180+Sheet1!#REF!*Sheet1!#REF!*Sheet1!#REF!*0.5/450</f>
        <v>#REF!</v>
      </c>
      <c r="S19" s="1" t="e">
        <f>Sheet1!#REF!/180+Sheet1!#REF!*Sheet1!#REF!*Sheet1!#REF!*0.5/450</f>
        <v>#REF!</v>
      </c>
      <c r="T19" s="1" t="e">
        <f>Sheet1!#REF!/180+Sheet1!#REF!*Sheet1!#REF!*Sheet1!#REF!*0.5/450</f>
        <v>#REF!</v>
      </c>
      <c r="U19" s="1" t="e">
        <f>Sheet1!#REF!/180+Sheet1!#REF!*Sheet1!#REF!*Sheet1!#REF!*0.5/450</f>
        <v>#REF!</v>
      </c>
      <c r="V19" s="1" t="e">
        <f>Sheet1!#REF!/180+Sheet1!#REF!*Sheet1!#REF!*Sheet1!#REF!*0.5/450</f>
        <v>#REF!</v>
      </c>
      <c r="W19" s="1" t="e">
        <f>Sheet1!#REF!/180+Sheet1!#REF!*Sheet1!#REF!*Sheet1!#REF!*0.5/450</f>
        <v>#REF!</v>
      </c>
      <c r="X19" s="1" t="e">
        <f>Sheet1!#REF!/180+Sheet1!#REF!*Sheet1!#REF!*Sheet1!#REF!*0.5/450</f>
        <v>#REF!</v>
      </c>
      <c r="Y19" s="1" t="e">
        <f>Sheet1!#REF!/180+Sheet1!#REF!*Sheet1!#REF!*Sheet1!#REF!*0.5/450</f>
        <v>#REF!</v>
      </c>
      <c r="Z19" s="1">
        <f>Sheet1!C207/180+Sheet1!C325*Sheet1!C326*Sheet1!C207*0.5/450</f>
        <v>25.344000000000001</v>
      </c>
      <c r="AA19" s="1" t="e">
        <f>Sheet1!#REF!/180+Sheet1!#REF!*Sheet1!#REF!*Sheet1!#REF!*0.5/450</f>
        <v>#REF!</v>
      </c>
      <c r="AB19" s="1" t="e">
        <f>Sheet1!#REF!/180+Sheet1!#REF!*Sheet1!#REF!*Sheet1!#REF!*0.5/450</f>
        <v>#REF!</v>
      </c>
      <c r="AC19" s="1" t="e">
        <f>Sheet1!#REF!/180+Sheet1!#REF!*Sheet1!#REF!*Sheet1!#REF!*0.5/450</f>
        <v>#REF!</v>
      </c>
      <c r="AD19" s="1" t="e">
        <f>Sheet1!#REF!/180+Sheet1!#REF!*Sheet1!#REF!*Sheet1!#REF!*0.5/450</f>
        <v>#REF!</v>
      </c>
      <c r="AE19" s="1" t="e">
        <f>Sheet1!#REF!/180+Sheet1!#REF!*Sheet1!#REF!*Sheet1!#REF!*0.5/450</f>
        <v>#REF!</v>
      </c>
      <c r="AF19" s="1" t="e">
        <f>Sheet1!#REF!/180+Sheet1!#REF!*Sheet1!#REF!*Sheet1!#REF!*0.5/450</f>
        <v>#REF!</v>
      </c>
      <c r="AG19" s="1" t="e">
        <f>Sheet1!#REF!/180+Sheet1!#REF!*Sheet1!#REF!*Sheet1!#REF!*0.5/450</f>
        <v>#REF!</v>
      </c>
      <c r="AH19" s="1" t="e">
        <f>Sheet1!#REF!/180+Sheet1!#REF!*Sheet1!#REF!*Sheet1!#REF!*0.5/450</f>
        <v>#REF!</v>
      </c>
      <c r="AI19" s="1" t="e">
        <f>Sheet1!#REF!/180+Sheet1!#REF!*Sheet1!#REF!*Sheet1!#REF!*0.5/450</f>
        <v>#REF!</v>
      </c>
      <c r="AJ19" s="1" t="e">
        <f>Sheet1!#REF!/180+Sheet1!#REF!*Sheet1!#REF!*Sheet1!#REF!*0.5/450</f>
        <v>#REF!</v>
      </c>
      <c r="AK19" s="1" t="e">
        <f>Sheet1!#REF!/180+Sheet1!#REF!*Sheet1!#REF!*Sheet1!#REF!*0.5/450</f>
        <v>#REF!</v>
      </c>
      <c r="AL19" s="1" t="e">
        <f>Sheet1!#REF!/180+Sheet1!#REF!*Sheet1!#REF!*Sheet1!#REF!*0.5/450</f>
        <v>#REF!</v>
      </c>
      <c r="AM19" s="1" t="e">
        <f>Sheet1!#REF!/180+Sheet1!#REF!*Sheet1!#REF!*Sheet1!#REF!*0.5/450</f>
        <v>#REF!</v>
      </c>
      <c r="AN19" s="1" t="e">
        <f>Sheet1!#REF!/180+Sheet1!#REF!*Sheet1!#REF!*Sheet1!#REF!*0.5/450</f>
        <v>#REF!</v>
      </c>
      <c r="AO19" s="1" t="e">
        <f>Sheet1!#REF!/180+Sheet1!#REF!*Sheet1!#REF!*Sheet1!#REF!*0.5/450</f>
        <v>#REF!</v>
      </c>
      <c r="AP19" s="1" t="e">
        <f>Sheet1!#REF!/180+Sheet1!#REF!*Sheet1!#REF!*Sheet1!#REF!*0.5/450</f>
        <v>#REF!</v>
      </c>
      <c r="AQ19" s="1" t="e">
        <f>Sheet1!#REF!/180+Sheet1!#REF!*Sheet1!#REF!*Sheet1!#REF!*0.5/450</f>
        <v>#REF!</v>
      </c>
      <c r="AR19" s="1" t="e">
        <f>Sheet1!#REF!/180+Sheet1!#REF!*Sheet1!#REF!*Sheet1!#REF!*0.5/450</f>
        <v>#REF!</v>
      </c>
    </row>
    <row r="20" spans="1:44" x14ac:dyDescent="0.25">
      <c r="A20" t="s">
        <v>230</v>
      </c>
      <c r="B20" s="1" t="e">
        <f>Sheet1!#REF!</f>
        <v>#REF!</v>
      </c>
      <c r="C20" s="1" t="e">
        <f>Sheet1!#REF!</f>
        <v>#REF!</v>
      </c>
      <c r="D20" s="1" t="e">
        <f>Sheet1!#REF!</f>
        <v>#REF!</v>
      </c>
      <c r="E20" s="1" t="e">
        <f>Sheet1!#REF!</f>
        <v>#REF!</v>
      </c>
      <c r="F20" s="1" t="e">
        <f>Sheet1!#REF!</f>
        <v>#REF!</v>
      </c>
      <c r="G20" s="1" t="e">
        <f>Sheet1!#REF!</f>
        <v>#REF!</v>
      </c>
      <c r="H20" s="1" t="e">
        <f>Sheet1!#REF!</f>
        <v>#REF!</v>
      </c>
      <c r="I20" s="1" t="e">
        <f>Sheet1!#REF!</f>
        <v>#REF!</v>
      </c>
      <c r="J20" s="1" t="e">
        <f>Sheet1!#REF!</f>
        <v>#REF!</v>
      </c>
      <c r="K20" s="1" t="e">
        <f>Sheet1!#REF!</f>
        <v>#REF!</v>
      </c>
      <c r="L20" s="1" t="e">
        <f>Sheet1!#REF!</f>
        <v>#REF!</v>
      </c>
      <c r="M20" s="1" t="e">
        <f>Sheet1!#REF!</f>
        <v>#REF!</v>
      </c>
      <c r="N20" s="1" t="e">
        <f>Sheet1!#REF!</f>
        <v>#REF!</v>
      </c>
      <c r="O20" s="1" t="e">
        <f>Sheet1!#REF!</f>
        <v>#REF!</v>
      </c>
      <c r="P20" s="1" t="e">
        <f>Sheet1!#REF!</f>
        <v>#REF!</v>
      </c>
      <c r="Q20" s="1" t="e">
        <f>Sheet1!#REF!</f>
        <v>#REF!</v>
      </c>
      <c r="R20" s="1" t="e">
        <f>Sheet1!#REF!</f>
        <v>#REF!</v>
      </c>
      <c r="S20" s="1" t="e">
        <f>Sheet1!#REF!</f>
        <v>#REF!</v>
      </c>
      <c r="T20" s="1" t="e">
        <f>Sheet1!#REF!</f>
        <v>#REF!</v>
      </c>
      <c r="U20" s="1" t="e">
        <f>Sheet1!#REF!</f>
        <v>#REF!</v>
      </c>
      <c r="V20" s="1" t="e">
        <f>Sheet1!#REF!</f>
        <v>#REF!</v>
      </c>
      <c r="W20" s="1" t="e">
        <f>Sheet1!#REF!</f>
        <v>#REF!</v>
      </c>
      <c r="X20" s="1" t="e">
        <f>Sheet1!#REF!</f>
        <v>#REF!</v>
      </c>
      <c r="Y20" s="1" t="e">
        <f>Sheet1!#REF!</f>
        <v>#REF!</v>
      </c>
      <c r="Z20" s="1">
        <f>Sheet1!C296</f>
        <v>56.628877561287965</v>
      </c>
      <c r="AA20" s="1" t="e">
        <f>Sheet1!#REF!</f>
        <v>#REF!</v>
      </c>
      <c r="AB20" s="1" t="e">
        <f>Sheet1!#REF!</f>
        <v>#REF!</v>
      </c>
      <c r="AC20" s="1" t="e">
        <f>Sheet1!#REF!</f>
        <v>#REF!</v>
      </c>
      <c r="AD20" s="1" t="e">
        <f>Sheet1!#REF!</f>
        <v>#REF!</v>
      </c>
      <c r="AE20" s="1" t="e">
        <f>Sheet1!#REF!</f>
        <v>#REF!</v>
      </c>
      <c r="AF20" s="1" t="e">
        <f>Sheet1!#REF!</f>
        <v>#REF!</v>
      </c>
      <c r="AG20" s="1" t="e">
        <f>Sheet1!#REF!</f>
        <v>#REF!</v>
      </c>
      <c r="AH20" s="1" t="e">
        <f>Sheet1!#REF!</f>
        <v>#REF!</v>
      </c>
      <c r="AI20" s="1" t="e">
        <f>Sheet1!#REF!</f>
        <v>#REF!</v>
      </c>
      <c r="AJ20" s="1" t="e">
        <f>Sheet1!#REF!</f>
        <v>#REF!</v>
      </c>
      <c r="AK20" s="1" t="e">
        <f>Sheet1!#REF!</f>
        <v>#REF!</v>
      </c>
      <c r="AL20" s="1" t="e">
        <f>Sheet1!#REF!</f>
        <v>#REF!</v>
      </c>
      <c r="AM20" s="1" t="e">
        <f>Sheet1!#REF!</f>
        <v>#REF!</v>
      </c>
      <c r="AN20" s="1" t="e">
        <f>Sheet1!#REF!</f>
        <v>#REF!</v>
      </c>
      <c r="AO20" s="1" t="e">
        <f>Sheet1!#REF!</f>
        <v>#REF!</v>
      </c>
      <c r="AP20" s="1" t="e">
        <f>Sheet1!#REF!</f>
        <v>#REF!</v>
      </c>
      <c r="AQ20" s="1" t="e">
        <f>Sheet1!#REF!</f>
        <v>#REF!</v>
      </c>
      <c r="AR20" s="1" t="e">
        <f>Sheet1!#REF!</f>
        <v>#REF!</v>
      </c>
    </row>
    <row r="21" spans="1:44" x14ac:dyDescent="0.25">
      <c r="A21" t="s">
        <v>231</v>
      </c>
      <c r="B21" s="1" t="e">
        <f>(Sheet1!#REF!+Sheet1!#REF!*0.5)*Sheet1!#REF!/65</f>
        <v>#REF!</v>
      </c>
      <c r="C21" s="1" t="e">
        <f>(Sheet1!#REF!+Sheet1!#REF!*0.5)*Sheet1!#REF!/65</f>
        <v>#REF!</v>
      </c>
      <c r="D21" s="1" t="e">
        <f>(Sheet1!#REF!+Sheet1!#REF!*0.5)*Sheet1!#REF!/65</f>
        <v>#REF!</v>
      </c>
      <c r="E21" s="1" t="e">
        <f>(Sheet1!#REF!+Sheet1!#REF!*0.5)*Sheet1!#REF!/65</f>
        <v>#REF!</v>
      </c>
      <c r="F21" s="1" t="e">
        <f>(Sheet1!#REF!+Sheet1!#REF!*0.5)*Sheet1!#REF!/65</f>
        <v>#REF!</v>
      </c>
      <c r="G21" s="1" t="e">
        <f>(Sheet1!#REF!+Sheet1!#REF!*0.5)*Sheet1!#REF!/65</f>
        <v>#REF!</v>
      </c>
      <c r="H21" s="1" t="e">
        <f>(Sheet1!#REF!+Sheet1!#REF!*0.5)*Sheet1!#REF!/65</f>
        <v>#REF!</v>
      </c>
      <c r="I21" s="1" t="e">
        <f>(Sheet1!#REF!+Sheet1!#REF!*0.5)*Sheet1!#REF!/65</f>
        <v>#REF!</v>
      </c>
      <c r="J21" s="1" t="e">
        <f>(Sheet1!#REF!+Sheet1!#REF!*0.5)*Sheet1!#REF!/65</f>
        <v>#REF!</v>
      </c>
      <c r="K21" s="1" t="e">
        <f>(Sheet1!#REF!+Sheet1!#REF!*0.5)*Sheet1!#REF!/65</f>
        <v>#REF!</v>
      </c>
      <c r="L21" s="1" t="e">
        <f>(Sheet1!#REF!+Sheet1!#REF!*0.5)*Sheet1!#REF!/65</f>
        <v>#REF!</v>
      </c>
      <c r="M21" s="1" t="e">
        <f>(Sheet1!#REF!+Sheet1!#REF!*0.5)*Sheet1!#REF!/65</f>
        <v>#REF!</v>
      </c>
      <c r="N21" s="1" t="e">
        <f>(Sheet1!#REF!+Sheet1!#REF!*0.5)*Sheet1!#REF!/65</f>
        <v>#REF!</v>
      </c>
      <c r="O21" s="1" t="e">
        <f>(Sheet1!#REF!+Sheet1!#REF!*0.5)*Sheet1!#REF!/65</f>
        <v>#REF!</v>
      </c>
      <c r="P21" s="1" t="e">
        <f>(Sheet1!#REF!+Sheet1!#REF!*0.5)*Sheet1!#REF!/65</f>
        <v>#REF!</v>
      </c>
      <c r="Q21" s="1" t="e">
        <f>(Sheet1!#REF!+Sheet1!#REF!*0.5)*Sheet1!#REF!/65</f>
        <v>#REF!</v>
      </c>
      <c r="R21" s="1" t="e">
        <f>(Sheet1!#REF!+Sheet1!#REF!*0.5)*Sheet1!#REF!/65</f>
        <v>#REF!</v>
      </c>
      <c r="S21" s="1" t="e">
        <f>(Sheet1!#REF!+Sheet1!#REF!*0.5)*Sheet1!#REF!/65</f>
        <v>#REF!</v>
      </c>
      <c r="T21" s="1" t="e">
        <f>(Sheet1!#REF!+Sheet1!#REF!*0.5)*Sheet1!#REF!/65</f>
        <v>#REF!</v>
      </c>
      <c r="U21" s="1" t="e">
        <f>(Sheet1!#REF!+Sheet1!#REF!*0.5)*Sheet1!#REF!/65</f>
        <v>#REF!</v>
      </c>
      <c r="V21" s="1" t="e">
        <f>(Sheet1!#REF!+Sheet1!#REF!*0.5)*Sheet1!#REF!/65</f>
        <v>#REF!</v>
      </c>
      <c r="W21" s="1" t="e">
        <f>(Sheet1!#REF!+Sheet1!#REF!*0.5)*Sheet1!#REF!/65</f>
        <v>#REF!</v>
      </c>
      <c r="X21" s="1" t="e">
        <f>(Sheet1!#REF!+Sheet1!#REF!*0.5)*Sheet1!#REF!/65</f>
        <v>#REF!</v>
      </c>
      <c r="Y21" s="1" t="e">
        <f>(Sheet1!#REF!+Sheet1!#REF!*0.5)*Sheet1!#REF!/65</f>
        <v>#REF!</v>
      </c>
      <c r="Z21" s="1">
        <f>(Sheet1!C196+Sheet1!C204*0.5)*Sheet1!C203/65</f>
        <v>0</v>
      </c>
      <c r="AA21" s="1" t="e">
        <f>(Sheet1!#REF!+Sheet1!#REF!*0.5)*Sheet1!#REF!/65</f>
        <v>#REF!</v>
      </c>
      <c r="AB21" s="1" t="e">
        <f>(Sheet1!#REF!+Sheet1!#REF!*0.5)*Sheet1!#REF!/65</f>
        <v>#REF!</v>
      </c>
      <c r="AC21" s="1" t="e">
        <f>(Sheet1!#REF!+Sheet1!#REF!*0.5)*Sheet1!#REF!/65</f>
        <v>#REF!</v>
      </c>
      <c r="AD21" s="1" t="e">
        <f>(Sheet1!#REF!+Sheet1!#REF!*0.5)*Sheet1!#REF!/65</f>
        <v>#REF!</v>
      </c>
      <c r="AE21" s="1" t="e">
        <f>(Sheet1!#REF!+Sheet1!#REF!*0.5)*Sheet1!#REF!/65</f>
        <v>#REF!</v>
      </c>
      <c r="AF21" s="1" t="e">
        <f>(Sheet1!#REF!+Sheet1!#REF!*0.5)*Sheet1!#REF!/65</f>
        <v>#REF!</v>
      </c>
      <c r="AG21" s="1" t="e">
        <f>(Sheet1!#REF!+Sheet1!#REF!*0.5)*Sheet1!#REF!/65</f>
        <v>#REF!</v>
      </c>
      <c r="AH21" s="1" t="e">
        <f>(Sheet1!#REF!+Sheet1!#REF!*0.5)*Sheet1!#REF!/65</f>
        <v>#REF!</v>
      </c>
      <c r="AI21" s="1" t="e">
        <f>(Sheet1!#REF!+Sheet1!#REF!*0.5)*Sheet1!#REF!/65</f>
        <v>#REF!</v>
      </c>
      <c r="AJ21" s="1" t="e">
        <f>(Sheet1!#REF!+Sheet1!#REF!*0.5)*Sheet1!#REF!/65</f>
        <v>#REF!</v>
      </c>
      <c r="AK21" s="1" t="e">
        <f>(Sheet1!#REF!+Sheet1!#REF!*0.5)*Sheet1!#REF!/65</f>
        <v>#REF!</v>
      </c>
      <c r="AL21" s="1" t="e">
        <f>(Sheet1!#REF!+Sheet1!#REF!*0.5)*Sheet1!#REF!/65</f>
        <v>#REF!</v>
      </c>
      <c r="AM21" s="1" t="e">
        <f>(Sheet1!#REF!+Sheet1!#REF!*0.5)*Sheet1!#REF!/65</f>
        <v>#REF!</v>
      </c>
      <c r="AN21" s="1" t="e">
        <f>(Sheet1!#REF!+Sheet1!#REF!*0.5)*Sheet1!#REF!/65</f>
        <v>#REF!</v>
      </c>
      <c r="AO21" s="1" t="e">
        <f>(Sheet1!#REF!+Sheet1!#REF!*0.5)*Sheet1!#REF!/65</f>
        <v>#REF!</v>
      </c>
      <c r="AP21" s="1" t="e">
        <f>(Sheet1!#REF!+Sheet1!#REF!*0.5)*Sheet1!#REF!/65</f>
        <v>#REF!</v>
      </c>
      <c r="AQ21" s="1" t="e">
        <f>(Sheet1!#REF!+Sheet1!#REF!*0.5)*Sheet1!#REF!/65</f>
        <v>#REF!</v>
      </c>
      <c r="AR21" s="1" t="e">
        <f>(Sheet1!#REF!+Sheet1!#REF!*0.5)*Sheet1!#REF!/65</f>
        <v>#REF!</v>
      </c>
    </row>
    <row r="22" spans="1:44" x14ac:dyDescent="0.25">
      <c r="A22" t="s">
        <v>232</v>
      </c>
      <c r="B22" s="5" t="e">
        <f>Sheet1!#REF!</f>
        <v>#REF!</v>
      </c>
      <c r="C22" s="5" t="e">
        <f>Sheet1!#REF!</f>
        <v>#REF!</v>
      </c>
      <c r="D22" s="5" t="e">
        <f>Sheet1!#REF!</f>
        <v>#REF!</v>
      </c>
      <c r="E22" s="5" t="e">
        <f>Sheet1!#REF!</f>
        <v>#REF!</v>
      </c>
      <c r="F22" s="5" t="e">
        <f>Sheet1!#REF!</f>
        <v>#REF!</v>
      </c>
      <c r="G22" s="5" t="e">
        <f>Sheet1!#REF!</f>
        <v>#REF!</v>
      </c>
      <c r="H22" s="5" t="e">
        <f>Sheet1!#REF!</f>
        <v>#REF!</v>
      </c>
      <c r="I22" s="5" t="e">
        <f>Sheet1!#REF!</f>
        <v>#REF!</v>
      </c>
      <c r="J22" s="5" t="e">
        <f>Sheet1!#REF!</f>
        <v>#REF!</v>
      </c>
      <c r="K22" s="5" t="e">
        <f>Sheet1!#REF!</f>
        <v>#REF!</v>
      </c>
      <c r="L22" s="5" t="e">
        <f>Sheet1!#REF!</f>
        <v>#REF!</v>
      </c>
      <c r="M22" s="5" t="e">
        <f>Sheet1!#REF!</f>
        <v>#REF!</v>
      </c>
      <c r="N22" s="5" t="e">
        <f>Sheet1!#REF!</f>
        <v>#REF!</v>
      </c>
      <c r="O22" s="5" t="e">
        <f>Sheet1!#REF!</f>
        <v>#REF!</v>
      </c>
      <c r="P22" s="5" t="e">
        <f>Sheet1!#REF!</f>
        <v>#REF!</v>
      </c>
      <c r="Q22" s="5" t="e">
        <f>Sheet1!#REF!</f>
        <v>#REF!</v>
      </c>
      <c r="R22" s="5" t="e">
        <f>Sheet1!#REF!</f>
        <v>#REF!</v>
      </c>
      <c r="S22" s="5" t="e">
        <f>Sheet1!#REF!</f>
        <v>#REF!</v>
      </c>
      <c r="T22" s="5" t="e">
        <f>Sheet1!#REF!</f>
        <v>#REF!</v>
      </c>
      <c r="U22" s="5" t="e">
        <f>Sheet1!#REF!</f>
        <v>#REF!</v>
      </c>
      <c r="V22" s="5" t="e">
        <f>Sheet1!#REF!</f>
        <v>#REF!</v>
      </c>
      <c r="W22" s="5" t="e">
        <f>Sheet1!#REF!</f>
        <v>#REF!</v>
      </c>
      <c r="X22" s="5" t="e">
        <f>Sheet1!#REF!</f>
        <v>#REF!</v>
      </c>
      <c r="Y22" s="5" t="e">
        <f>Sheet1!#REF!</f>
        <v>#REF!</v>
      </c>
      <c r="Z22" s="5">
        <f>Sheet1!C92</f>
        <v>23.838548804675998</v>
      </c>
      <c r="AA22" s="5" t="e">
        <f>Sheet1!#REF!</f>
        <v>#REF!</v>
      </c>
      <c r="AB22" s="5" t="e">
        <f>Sheet1!#REF!</f>
        <v>#REF!</v>
      </c>
      <c r="AC22" s="5" t="e">
        <f>Sheet1!#REF!</f>
        <v>#REF!</v>
      </c>
      <c r="AD22" s="5" t="e">
        <f>Sheet1!#REF!</f>
        <v>#REF!</v>
      </c>
      <c r="AE22" s="5" t="e">
        <f>Sheet1!#REF!</f>
        <v>#REF!</v>
      </c>
      <c r="AF22" s="5" t="e">
        <f>Sheet1!#REF!</f>
        <v>#REF!</v>
      </c>
      <c r="AG22" s="5" t="e">
        <f>Sheet1!#REF!</f>
        <v>#REF!</v>
      </c>
      <c r="AH22" s="5" t="e">
        <f>Sheet1!#REF!</f>
        <v>#REF!</v>
      </c>
      <c r="AI22" s="5" t="e">
        <f>Sheet1!#REF!</f>
        <v>#REF!</v>
      </c>
      <c r="AJ22" s="5" t="e">
        <f>Sheet1!#REF!</f>
        <v>#REF!</v>
      </c>
      <c r="AK22" s="5" t="e">
        <f>Sheet1!#REF!</f>
        <v>#REF!</v>
      </c>
      <c r="AL22" s="5" t="e">
        <f>Sheet1!#REF!</f>
        <v>#REF!</v>
      </c>
      <c r="AM22" s="5" t="e">
        <f>Sheet1!#REF!</f>
        <v>#REF!</v>
      </c>
      <c r="AN22" s="5" t="e">
        <f>Sheet1!#REF!</f>
        <v>#REF!</v>
      </c>
      <c r="AO22" s="5" t="e">
        <f>Sheet1!#REF!</f>
        <v>#REF!</v>
      </c>
      <c r="AP22" s="5" t="e">
        <f>Sheet1!#REF!</f>
        <v>#REF!</v>
      </c>
      <c r="AQ22" s="5" t="e">
        <f>Sheet1!#REF!</f>
        <v>#REF!</v>
      </c>
      <c r="AR22" s="5" t="e">
        <f>Sheet1!#REF!</f>
        <v>#REF!</v>
      </c>
    </row>
    <row r="23" spans="1:44" x14ac:dyDescent="0.25">
      <c r="A23" t="s">
        <v>233</v>
      </c>
      <c r="B23" s="1" t="e">
        <f>B22^2*10/Sheet1!#REF!</f>
        <v>#REF!</v>
      </c>
      <c r="C23" s="1" t="e">
        <f>C22^2*10/Sheet1!#REF!</f>
        <v>#REF!</v>
      </c>
      <c r="D23" s="1" t="e">
        <f>D22^2*10/Sheet1!#REF!</f>
        <v>#REF!</v>
      </c>
      <c r="E23" s="1" t="e">
        <f>E22^2*10/Sheet1!#REF!</f>
        <v>#REF!</v>
      </c>
      <c r="F23" s="1" t="e">
        <f>F22^2*10/Sheet1!#REF!</f>
        <v>#REF!</v>
      </c>
      <c r="G23" s="1" t="e">
        <f>G22^2*10/Sheet1!#REF!</f>
        <v>#REF!</v>
      </c>
      <c r="H23" s="1" t="e">
        <f>H22^2*10/Sheet1!#REF!</f>
        <v>#REF!</v>
      </c>
      <c r="I23" s="1" t="e">
        <f>I22^2*10/Sheet1!#REF!</f>
        <v>#REF!</v>
      </c>
      <c r="J23" s="1" t="e">
        <f>J22^2*10/Sheet1!#REF!</f>
        <v>#REF!</v>
      </c>
      <c r="K23" s="1" t="e">
        <f>K22^2*10/Sheet1!#REF!</f>
        <v>#REF!</v>
      </c>
      <c r="L23" s="1" t="e">
        <f>L22^2*10/Sheet1!#REF!</f>
        <v>#REF!</v>
      </c>
      <c r="M23" s="1" t="e">
        <f>M22^2*10/Sheet1!#REF!</f>
        <v>#REF!</v>
      </c>
      <c r="N23" s="1" t="e">
        <f>N22^2*10/Sheet1!#REF!</f>
        <v>#REF!</v>
      </c>
      <c r="O23" s="1" t="e">
        <f>O22^2*10/Sheet1!#REF!</f>
        <v>#REF!</v>
      </c>
      <c r="P23" s="1" t="e">
        <f>P22^2*10/Sheet1!#REF!</f>
        <v>#REF!</v>
      </c>
      <c r="Q23" s="1" t="e">
        <f>Q22^2*10/Sheet1!#REF!</f>
        <v>#REF!</v>
      </c>
      <c r="R23" s="1" t="e">
        <f>R22^2*10/Sheet1!#REF!</f>
        <v>#REF!</v>
      </c>
      <c r="S23" s="1" t="e">
        <f>S22^2*10/Sheet1!#REF!</f>
        <v>#REF!</v>
      </c>
      <c r="T23" s="1" t="e">
        <f>T22^2*10/Sheet1!#REF!</f>
        <v>#REF!</v>
      </c>
      <c r="U23" s="1" t="e">
        <f>U22^2*10/Sheet1!#REF!</f>
        <v>#REF!</v>
      </c>
      <c r="V23" s="1" t="e">
        <f>V22^2*10/Sheet1!#REF!</f>
        <v>#REF!</v>
      </c>
      <c r="W23" s="1" t="e">
        <f>W22^2*10/Sheet1!#REF!</f>
        <v>#REF!</v>
      </c>
      <c r="X23" s="1" t="e">
        <f>X22^2*10/Sheet1!#REF!</f>
        <v>#REF!</v>
      </c>
      <c r="Y23" s="1" t="e">
        <f>Y22^2*10/Sheet1!#REF!</f>
        <v>#REF!</v>
      </c>
      <c r="Z23" s="1">
        <f>Z22^2*10/Sheet1!C16</f>
        <v>23.434078726305959</v>
      </c>
      <c r="AA23" s="1" t="e">
        <f>AA22^2*10/Sheet1!#REF!</f>
        <v>#REF!</v>
      </c>
      <c r="AB23" s="1" t="e">
        <f>AB22^2*10/Sheet1!#REF!</f>
        <v>#REF!</v>
      </c>
      <c r="AC23" s="1" t="e">
        <f>AC22^2*10/Sheet1!#REF!</f>
        <v>#REF!</v>
      </c>
      <c r="AD23" s="1" t="e">
        <f>AD22^2*10/Sheet1!#REF!</f>
        <v>#REF!</v>
      </c>
      <c r="AE23" s="1" t="e">
        <f>AE22^2*10/Sheet1!#REF!</f>
        <v>#REF!</v>
      </c>
      <c r="AF23" s="1" t="e">
        <f>AF22^2*10/Sheet1!#REF!</f>
        <v>#REF!</v>
      </c>
      <c r="AG23" s="1" t="e">
        <f>AG22^2*10/Sheet1!#REF!</f>
        <v>#REF!</v>
      </c>
      <c r="AH23" s="1" t="e">
        <f>AH22^2*10/Sheet1!#REF!</f>
        <v>#REF!</v>
      </c>
      <c r="AI23" s="1" t="e">
        <f>AI22^2*10/Sheet1!#REF!</f>
        <v>#REF!</v>
      </c>
      <c r="AJ23" s="1" t="e">
        <f>AJ22^2*10/Sheet1!#REF!</f>
        <v>#REF!</v>
      </c>
      <c r="AK23" s="1" t="e">
        <f>AK22^2*10/Sheet1!#REF!</f>
        <v>#REF!</v>
      </c>
      <c r="AL23" s="1" t="e">
        <f>AL22^2*10/Sheet1!#REF!</f>
        <v>#REF!</v>
      </c>
      <c r="AM23" s="1" t="e">
        <f>AM22^2*10/Sheet1!#REF!</f>
        <v>#REF!</v>
      </c>
      <c r="AN23" s="1" t="e">
        <f>AN22^2*10/Sheet1!#REF!</f>
        <v>#REF!</v>
      </c>
      <c r="AO23" s="1" t="e">
        <f>AO22^2*10/Sheet1!#REF!</f>
        <v>#REF!</v>
      </c>
      <c r="AP23" s="1" t="e">
        <f>AP22^2*10/Sheet1!#REF!</f>
        <v>#REF!</v>
      </c>
      <c r="AQ23" s="1" t="e">
        <f>AQ22^2*10/Sheet1!#REF!</f>
        <v>#REF!</v>
      </c>
      <c r="AR23" s="1" t="e">
        <f>AR22^2*10/Sheet1!#REF!</f>
        <v>#REF!</v>
      </c>
    </row>
    <row r="24" spans="1:44" x14ac:dyDescent="0.25">
      <c r="A24" t="s">
        <v>234</v>
      </c>
      <c r="B24" s="1" t="e">
        <f>(Sheet1!#REF!*Sheet1!#REF!*4+Sheet1!#REF!*Sheet1!#REF!)/10</f>
        <v>#REF!</v>
      </c>
      <c r="C24" s="1" t="e">
        <f>(Sheet1!#REF!*Sheet1!#REF!*4+Sheet1!#REF!*Sheet1!#REF!)/10</f>
        <v>#REF!</v>
      </c>
      <c r="D24" s="1" t="e">
        <f>(Sheet1!#REF!*Sheet1!#REF!*4+Sheet1!#REF!*Sheet1!#REF!)/10</f>
        <v>#REF!</v>
      </c>
      <c r="E24" s="1" t="e">
        <f>(Sheet1!#REF!*Sheet1!#REF!*4+Sheet1!#REF!*Sheet1!#REF!)/10</f>
        <v>#REF!</v>
      </c>
      <c r="F24" s="1" t="e">
        <f>(Sheet1!#REF!*Sheet1!#REF!*4+Sheet1!#REF!*Sheet1!#REF!)/10</f>
        <v>#REF!</v>
      </c>
      <c r="G24" s="1" t="e">
        <f>(Sheet1!#REF!*Sheet1!#REF!*4+Sheet1!#REF!*Sheet1!#REF!)/10</f>
        <v>#REF!</v>
      </c>
      <c r="H24" s="1" t="e">
        <f>(Sheet1!#REF!*Sheet1!#REF!*4+Sheet1!#REF!*Sheet1!#REF!)/10</f>
        <v>#REF!</v>
      </c>
      <c r="I24" s="1" t="e">
        <f>(Sheet1!#REF!*Sheet1!#REF!*4+Sheet1!#REF!*Sheet1!#REF!)/10</f>
        <v>#REF!</v>
      </c>
      <c r="J24" s="1" t="e">
        <f>(Sheet1!#REF!*Sheet1!#REF!*4+Sheet1!#REF!*Sheet1!#REF!)/10</f>
        <v>#REF!</v>
      </c>
      <c r="K24" s="1" t="e">
        <f>(Sheet1!#REF!*Sheet1!#REF!*4+Sheet1!#REF!*Sheet1!#REF!)/10</f>
        <v>#REF!</v>
      </c>
      <c r="L24" s="1" t="e">
        <f>(Sheet1!#REF!*Sheet1!#REF!*4+Sheet1!#REF!*Sheet1!#REF!)/10</f>
        <v>#REF!</v>
      </c>
      <c r="M24" s="1" t="e">
        <f>(Sheet1!#REF!*Sheet1!#REF!*4+Sheet1!#REF!*Sheet1!#REF!)/10</f>
        <v>#REF!</v>
      </c>
      <c r="N24" s="1" t="e">
        <f>(Sheet1!#REF!*Sheet1!#REF!*4+Sheet1!#REF!*Sheet1!#REF!)/10</f>
        <v>#REF!</v>
      </c>
      <c r="O24" s="1" t="e">
        <f>(Sheet1!#REF!*Sheet1!#REF!*4+Sheet1!#REF!*Sheet1!#REF!)/10</f>
        <v>#REF!</v>
      </c>
      <c r="P24" s="1" t="e">
        <f>(Sheet1!#REF!*Sheet1!#REF!*4+Sheet1!#REF!*Sheet1!#REF!)/10</f>
        <v>#REF!</v>
      </c>
      <c r="Q24" s="1" t="e">
        <f>(Sheet1!#REF!*Sheet1!#REF!*4+Sheet1!#REF!*Sheet1!#REF!)/10</f>
        <v>#REF!</v>
      </c>
      <c r="R24" s="1" t="e">
        <f>(Sheet1!#REF!*Sheet1!#REF!*4+Sheet1!#REF!*Sheet1!#REF!)/10</f>
        <v>#REF!</v>
      </c>
      <c r="S24" s="1" t="e">
        <f>(Sheet1!#REF!*Sheet1!#REF!*4+Sheet1!#REF!*Sheet1!#REF!)/10</f>
        <v>#REF!</v>
      </c>
      <c r="T24" s="1" t="e">
        <f>(Sheet1!#REF!*Sheet1!#REF!*4+Sheet1!#REF!*Sheet1!#REF!)/10</f>
        <v>#REF!</v>
      </c>
      <c r="U24" s="1" t="e">
        <f>(Sheet1!#REF!*Sheet1!#REF!*4+Sheet1!#REF!*Sheet1!#REF!)/10</f>
        <v>#REF!</v>
      </c>
      <c r="V24" s="1" t="e">
        <f>(Sheet1!#REF!*Sheet1!#REF!*4+Sheet1!#REF!*Sheet1!#REF!)/10</f>
        <v>#REF!</v>
      </c>
      <c r="W24" s="1" t="e">
        <f>(Sheet1!#REF!*Sheet1!#REF!*4+Sheet1!#REF!*Sheet1!#REF!)/10</f>
        <v>#REF!</v>
      </c>
      <c r="X24" s="1" t="e">
        <f>(Sheet1!#REF!*Sheet1!#REF!*4+Sheet1!#REF!*Sheet1!#REF!)/10</f>
        <v>#REF!</v>
      </c>
      <c r="Y24" s="1" t="e">
        <f>(Sheet1!#REF!*Sheet1!#REF!*4+Sheet1!#REF!*Sheet1!#REF!)/10</f>
        <v>#REF!</v>
      </c>
      <c r="Z24" s="1">
        <f>(Sheet1!C327*Sheet1!C328*4+Sheet1!C329*Sheet1!C330)/10</f>
        <v>8.8000000000000007</v>
      </c>
      <c r="AA24" s="1" t="e">
        <f>(Sheet1!#REF!*Sheet1!#REF!*4+Sheet1!#REF!*Sheet1!#REF!)/10</f>
        <v>#REF!</v>
      </c>
      <c r="AB24" s="1" t="e">
        <f>(Sheet1!#REF!*Sheet1!#REF!*4+Sheet1!#REF!*Sheet1!#REF!)/10</f>
        <v>#REF!</v>
      </c>
      <c r="AC24" s="1" t="e">
        <f>(Sheet1!#REF!*Sheet1!#REF!*4+Sheet1!#REF!*Sheet1!#REF!)/10</f>
        <v>#REF!</v>
      </c>
      <c r="AD24" s="1" t="e">
        <f>(Sheet1!#REF!*Sheet1!#REF!*4+Sheet1!#REF!*Sheet1!#REF!)/10</f>
        <v>#REF!</v>
      </c>
      <c r="AE24" s="1" t="e">
        <f>(Sheet1!#REF!*Sheet1!#REF!*4+Sheet1!#REF!*Sheet1!#REF!)/10</f>
        <v>#REF!</v>
      </c>
      <c r="AF24" s="1" t="e">
        <f>(Sheet1!#REF!*Sheet1!#REF!*4+Sheet1!#REF!*Sheet1!#REF!)/10</f>
        <v>#REF!</v>
      </c>
      <c r="AG24" s="1" t="e">
        <f>(Sheet1!#REF!*Sheet1!#REF!*4+Sheet1!#REF!*Sheet1!#REF!)/10</f>
        <v>#REF!</v>
      </c>
      <c r="AH24" s="1" t="e">
        <f>(Sheet1!#REF!*Sheet1!#REF!*4+Sheet1!#REF!*Sheet1!#REF!)/10</f>
        <v>#REF!</v>
      </c>
      <c r="AI24" s="1" t="e">
        <f>(Sheet1!#REF!*Sheet1!#REF!*4+Sheet1!#REF!*Sheet1!#REF!)/10</f>
        <v>#REF!</v>
      </c>
      <c r="AJ24" s="1" t="e">
        <f>(Sheet1!#REF!*Sheet1!#REF!*4+Sheet1!#REF!*Sheet1!#REF!)/10</f>
        <v>#REF!</v>
      </c>
      <c r="AK24" s="1" t="e">
        <f>(Sheet1!#REF!*Sheet1!#REF!*4+Sheet1!#REF!*Sheet1!#REF!)/10</f>
        <v>#REF!</v>
      </c>
      <c r="AL24" s="1" t="e">
        <f>(Sheet1!#REF!*Sheet1!#REF!*4+Sheet1!#REF!*Sheet1!#REF!)/10</f>
        <v>#REF!</v>
      </c>
      <c r="AM24" s="1" t="e">
        <f>(Sheet1!#REF!*Sheet1!#REF!*4+Sheet1!#REF!*Sheet1!#REF!)/10</f>
        <v>#REF!</v>
      </c>
      <c r="AN24" s="1" t="e">
        <f>(Sheet1!#REF!*Sheet1!#REF!*4+Sheet1!#REF!*Sheet1!#REF!)/10</f>
        <v>#REF!</v>
      </c>
      <c r="AO24" s="1" t="e">
        <f>(Sheet1!#REF!*Sheet1!#REF!*4+Sheet1!#REF!*Sheet1!#REF!)/10</f>
        <v>#REF!</v>
      </c>
      <c r="AP24" s="1" t="e">
        <f>(Sheet1!#REF!*Sheet1!#REF!*4+Sheet1!#REF!*Sheet1!#REF!)/10</f>
        <v>#REF!</v>
      </c>
      <c r="AQ24" s="1" t="e">
        <f>(Sheet1!#REF!*Sheet1!#REF!*4+Sheet1!#REF!*Sheet1!#REF!)/10</f>
        <v>#REF!</v>
      </c>
      <c r="AR24" s="1" t="e">
        <f>(Sheet1!#REF!*Sheet1!#REF!*4+Sheet1!#REF!*Sheet1!#REF!)/10</f>
        <v>#REF!</v>
      </c>
    </row>
    <row r="25" spans="1:44" x14ac:dyDescent="0.25">
      <c r="A25" t="s">
        <v>235</v>
      </c>
      <c r="B25" s="1" t="e">
        <f>(Sheet1!#REF!*Sheet1!#REF!*2+Sheet1!#REF!*Sheet1!#REF!+Sheet1!#REF!)*2</f>
        <v>#REF!</v>
      </c>
      <c r="C25" s="1" t="e">
        <f>(Sheet1!#REF!*Sheet1!#REF!*2+Sheet1!#REF!*Sheet1!#REF!+Sheet1!#REF!)*2</f>
        <v>#REF!</v>
      </c>
      <c r="D25" s="1" t="e">
        <f>(Sheet1!#REF!*Sheet1!#REF!*2+Sheet1!#REF!*Sheet1!#REF!+Sheet1!#REF!)*2</f>
        <v>#REF!</v>
      </c>
      <c r="E25" s="1" t="e">
        <f>(Sheet1!#REF!*Sheet1!#REF!*2+Sheet1!#REF!*Sheet1!#REF!+Sheet1!#REF!)*2</f>
        <v>#REF!</v>
      </c>
      <c r="F25" s="1" t="e">
        <f>(Sheet1!#REF!*Sheet1!#REF!*2+Sheet1!#REF!*Sheet1!#REF!+Sheet1!#REF!)*2</f>
        <v>#REF!</v>
      </c>
      <c r="G25" s="1" t="e">
        <f>(Sheet1!#REF!*Sheet1!#REF!*2+Sheet1!#REF!*Sheet1!#REF!+Sheet1!#REF!)*2</f>
        <v>#REF!</v>
      </c>
      <c r="H25" s="1" t="e">
        <f>(Sheet1!#REF!*Sheet1!#REF!*2+Sheet1!#REF!*Sheet1!#REF!+Sheet1!#REF!)*2</f>
        <v>#REF!</v>
      </c>
      <c r="I25" s="1" t="e">
        <f>(Sheet1!#REF!*Sheet1!#REF!*2+Sheet1!#REF!*Sheet1!#REF!+Sheet1!#REF!)*2</f>
        <v>#REF!</v>
      </c>
      <c r="J25" s="1" t="e">
        <f>(Sheet1!#REF!*Sheet1!#REF!*2+Sheet1!#REF!*Sheet1!#REF!+Sheet1!#REF!)*2</f>
        <v>#REF!</v>
      </c>
      <c r="K25" s="1" t="e">
        <f>(Sheet1!#REF!*Sheet1!#REF!*2+Sheet1!#REF!*Sheet1!#REF!+Sheet1!#REF!)*2</f>
        <v>#REF!</v>
      </c>
      <c r="L25" s="1" t="e">
        <f>(Sheet1!#REF!*Sheet1!#REF!*2+Sheet1!#REF!*Sheet1!#REF!+Sheet1!#REF!)*2</f>
        <v>#REF!</v>
      </c>
      <c r="M25" s="1" t="e">
        <f>(Sheet1!#REF!*Sheet1!#REF!*2+Sheet1!#REF!*Sheet1!#REF!+Sheet1!#REF!)*2</f>
        <v>#REF!</v>
      </c>
      <c r="N25" s="1" t="e">
        <f>(Sheet1!#REF!*Sheet1!#REF!*2+Sheet1!#REF!*Sheet1!#REF!+Sheet1!#REF!)*2</f>
        <v>#REF!</v>
      </c>
      <c r="O25" s="1" t="e">
        <f>(Sheet1!#REF!*Sheet1!#REF!*2+Sheet1!#REF!*Sheet1!#REF!+Sheet1!#REF!)*2</f>
        <v>#REF!</v>
      </c>
      <c r="P25" s="1" t="e">
        <f>(Sheet1!#REF!*Sheet1!#REF!*2+Sheet1!#REF!*Sheet1!#REF!+Sheet1!#REF!)*2</f>
        <v>#REF!</v>
      </c>
      <c r="Q25" s="1" t="e">
        <f>(Sheet1!#REF!*Sheet1!#REF!*2+Sheet1!#REF!*Sheet1!#REF!+Sheet1!#REF!)*2</f>
        <v>#REF!</v>
      </c>
      <c r="R25" s="1" t="e">
        <f>(Sheet1!#REF!*Sheet1!#REF!*2+Sheet1!#REF!*Sheet1!#REF!+Sheet1!#REF!)*2</f>
        <v>#REF!</v>
      </c>
      <c r="S25" s="1" t="e">
        <f>(Sheet1!#REF!*Sheet1!#REF!*2+Sheet1!#REF!*Sheet1!#REF!+Sheet1!#REF!)*2</f>
        <v>#REF!</v>
      </c>
      <c r="T25" s="1" t="e">
        <f>(Sheet1!#REF!*Sheet1!#REF!*2+Sheet1!#REF!*Sheet1!#REF!+Sheet1!#REF!)*2</f>
        <v>#REF!</v>
      </c>
      <c r="U25" s="1" t="e">
        <f>(Sheet1!#REF!*Sheet1!#REF!*2+Sheet1!#REF!*Sheet1!#REF!+Sheet1!#REF!)*2</f>
        <v>#REF!</v>
      </c>
      <c r="V25" s="1" t="e">
        <f>(Sheet1!#REF!*Sheet1!#REF!*2+Sheet1!#REF!*Sheet1!#REF!+Sheet1!#REF!)*2</f>
        <v>#REF!</v>
      </c>
      <c r="W25" s="1" t="e">
        <f>(Sheet1!#REF!*Sheet1!#REF!*2+Sheet1!#REF!*Sheet1!#REF!+Sheet1!#REF!)*2</f>
        <v>#REF!</v>
      </c>
      <c r="X25" s="1" t="e">
        <f>(Sheet1!#REF!*Sheet1!#REF!*2+Sheet1!#REF!*Sheet1!#REF!+Sheet1!#REF!)*2</f>
        <v>#REF!</v>
      </c>
      <c r="Y25" s="1" t="e">
        <f>(Sheet1!#REF!*Sheet1!#REF!*2+Sheet1!#REF!*Sheet1!#REF!+Sheet1!#REF!)*2</f>
        <v>#REF!</v>
      </c>
      <c r="Z25" s="1">
        <f>(Sheet1!C323*Sheet1!C324*2+Sheet1!C325*Sheet1!C326+Sheet1!C318)*2</f>
        <v>6</v>
      </c>
      <c r="AA25" s="1" t="e">
        <f>(Sheet1!#REF!*Sheet1!#REF!*2+Sheet1!#REF!*Sheet1!#REF!+Sheet1!#REF!)*2</f>
        <v>#REF!</v>
      </c>
      <c r="AB25" s="1" t="e">
        <f>(Sheet1!#REF!*Sheet1!#REF!*2+Sheet1!#REF!*Sheet1!#REF!+Sheet1!#REF!)*2</f>
        <v>#REF!</v>
      </c>
      <c r="AC25" s="1" t="e">
        <f>(Sheet1!#REF!*Sheet1!#REF!*2+Sheet1!#REF!*Sheet1!#REF!+Sheet1!#REF!)*2</f>
        <v>#REF!</v>
      </c>
      <c r="AD25" s="1" t="e">
        <f>(Sheet1!#REF!*Sheet1!#REF!*2+Sheet1!#REF!*Sheet1!#REF!+Sheet1!#REF!)*2</f>
        <v>#REF!</v>
      </c>
      <c r="AE25" s="1" t="e">
        <f>(Sheet1!#REF!*Sheet1!#REF!*2+Sheet1!#REF!*Sheet1!#REF!+Sheet1!#REF!)*2</f>
        <v>#REF!</v>
      </c>
      <c r="AF25" s="1" t="e">
        <f>(Sheet1!#REF!*Sheet1!#REF!*2+Sheet1!#REF!*Sheet1!#REF!+Sheet1!#REF!)*2</f>
        <v>#REF!</v>
      </c>
      <c r="AG25" s="1" t="e">
        <f>(Sheet1!#REF!*Sheet1!#REF!*2+Sheet1!#REF!*Sheet1!#REF!+Sheet1!#REF!)*2</f>
        <v>#REF!</v>
      </c>
      <c r="AH25" s="1" t="e">
        <f>(Sheet1!#REF!*Sheet1!#REF!*2+Sheet1!#REF!*Sheet1!#REF!+Sheet1!#REF!)*2</f>
        <v>#REF!</v>
      </c>
      <c r="AI25" s="1" t="e">
        <f>(Sheet1!#REF!*Sheet1!#REF!*2+Sheet1!#REF!*Sheet1!#REF!+Sheet1!#REF!)*2</f>
        <v>#REF!</v>
      </c>
      <c r="AJ25" s="1" t="e">
        <f>(Sheet1!#REF!*Sheet1!#REF!*2+Sheet1!#REF!*Sheet1!#REF!+Sheet1!#REF!)*2</f>
        <v>#REF!</v>
      </c>
      <c r="AK25" s="1" t="e">
        <f>(Sheet1!#REF!*Sheet1!#REF!*2+Sheet1!#REF!*Sheet1!#REF!+Sheet1!#REF!)*2</f>
        <v>#REF!</v>
      </c>
      <c r="AL25" s="1" t="e">
        <f>(Sheet1!#REF!*Sheet1!#REF!*2+Sheet1!#REF!*Sheet1!#REF!+Sheet1!#REF!)*2</f>
        <v>#REF!</v>
      </c>
      <c r="AM25" s="1" t="e">
        <f>(Sheet1!#REF!*Sheet1!#REF!*2+Sheet1!#REF!*Sheet1!#REF!+Sheet1!#REF!)*2</f>
        <v>#REF!</v>
      </c>
      <c r="AN25" s="1" t="e">
        <f>(Sheet1!#REF!*Sheet1!#REF!*2+Sheet1!#REF!*Sheet1!#REF!+Sheet1!#REF!)*2</f>
        <v>#REF!</v>
      </c>
      <c r="AO25" s="1" t="e">
        <f>(Sheet1!#REF!*Sheet1!#REF!*2+Sheet1!#REF!*Sheet1!#REF!+Sheet1!#REF!)*2</f>
        <v>#REF!</v>
      </c>
      <c r="AP25" s="1" t="e">
        <f>(Sheet1!#REF!*Sheet1!#REF!*2+Sheet1!#REF!*Sheet1!#REF!+Sheet1!#REF!)*2</f>
        <v>#REF!</v>
      </c>
      <c r="AQ25" s="1" t="e">
        <f>(Sheet1!#REF!*Sheet1!#REF!*2+Sheet1!#REF!*Sheet1!#REF!+Sheet1!#REF!)*2</f>
        <v>#REF!</v>
      </c>
      <c r="AR25" s="1" t="e">
        <f>(Sheet1!#REF!*Sheet1!#REF!*2+Sheet1!#REF!*Sheet1!#REF!+Sheet1!#REF!)*2</f>
        <v>#REF!</v>
      </c>
    </row>
    <row r="26" spans="1:44" x14ac:dyDescent="0.25">
      <c r="A26" t="s">
        <v>236</v>
      </c>
      <c r="B26">
        <v>15</v>
      </c>
      <c r="C26">
        <v>40</v>
      </c>
      <c r="D26">
        <v>40</v>
      </c>
      <c r="E26">
        <v>40</v>
      </c>
      <c r="F26">
        <v>2</v>
      </c>
      <c r="G26">
        <v>5</v>
      </c>
      <c r="H26">
        <v>20</v>
      </c>
      <c r="I26">
        <v>35</v>
      </c>
      <c r="J26">
        <v>15</v>
      </c>
      <c r="K26">
        <v>15</v>
      </c>
      <c r="L26">
        <v>25</v>
      </c>
      <c r="M26">
        <v>10</v>
      </c>
      <c r="N26">
        <v>12</v>
      </c>
      <c r="O26">
        <v>15</v>
      </c>
      <c r="P26">
        <v>5</v>
      </c>
      <c r="Q26">
        <v>12</v>
      </c>
      <c r="R26">
        <v>18</v>
      </c>
      <c r="S26">
        <v>30</v>
      </c>
      <c r="T26">
        <v>20</v>
      </c>
      <c r="U26">
        <v>25</v>
      </c>
      <c r="V26">
        <v>5</v>
      </c>
      <c r="W26">
        <v>2</v>
      </c>
      <c r="X26">
        <v>20</v>
      </c>
      <c r="Y26">
        <v>18</v>
      </c>
      <c r="Z26">
        <v>5</v>
      </c>
      <c r="AA26">
        <v>30</v>
      </c>
      <c r="AB26">
        <v>50</v>
      </c>
      <c r="AC26">
        <v>25</v>
      </c>
      <c r="AD26">
        <v>40</v>
      </c>
      <c r="AE26">
        <v>10</v>
      </c>
      <c r="AF26">
        <v>15</v>
      </c>
      <c r="AG26">
        <v>20</v>
      </c>
      <c r="AH26">
        <v>20</v>
      </c>
      <c r="AI26">
        <v>17</v>
      </c>
      <c r="AJ26">
        <v>20</v>
      </c>
      <c r="AN26">
        <v>25</v>
      </c>
      <c r="AO26">
        <v>26</v>
      </c>
      <c r="AP26">
        <v>18</v>
      </c>
      <c r="AQ26">
        <v>25</v>
      </c>
      <c r="AR26">
        <v>5</v>
      </c>
    </row>
  </sheetData>
  <phoneticPr fontId="1" type="noConversion"/>
  <pageMargins left="0.75" right="0.75" top="1" bottom="1" header="0.51111111111111107" footer="0.51111111111111107"/>
  <pageSetup paperSize="9" orientation="portrait" r:id="rId1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5"/>
  <sheetViews>
    <sheetView topLeftCell="P1" zoomScaleSheetLayoutView="100" workbookViewId="0">
      <selection activeCell="AE8" sqref="AE8"/>
    </sheetView>
  </sheetViews>
  <sheetFormatPr defaultColWidth="8.69921875" defaultRowHeight="15.6" x14ac:dyDescent="0.25"/>
  <cols>
    <col min="1" max="1" width="18.59765625" customWidth="1"/>
    <col min="2" max="2" width="12.69921875" style="1" bestFit="1" customWidth="1"/>
    <col min="24" max="24" width="12.69921875" bestFit="1" customWidth="1"/>
  </cols>
  <sheetData>
    <row r="1" spans="1:30" x14ac:dyDescent="0.25">
      <c r="A1" t="s">
        <v>237</v>
      </c>
      <c r="B1" s="1" t="e">
        <f>Sheet3!B2</f>
        <v>#REF!</v>
      </c>
      <c r="C1" t="e">
        <f>Sheet3!C2</f>
        <v>#REF!</v>
      </c>
      <c r="D1" t="e">
        <f>Sheet3!D2</f>
        <v>#REF!</v>
      </c>
      <c r="E1" t="e">
        <f>Sheet3!E2</f>
        <v>#REF!</v>
      </c>
      <c r="F1" t="e">
        <f>Sheet3!F2</f>
        <v>#REF!</v>
      </c>
      <c r="G1" t="e">
        <f>Sheet3!G2</f>
        <v>#REF!</v>
      </c>
      <c r="H1" t="e">
        <f>Sheet3!H2</f>
        <v>#REF!</v>
      </c>
      <c r="I1" t="e">
        <f>Sheet3!I2</f>
        <v>#REF!</v>
      </c>
      <c r="J1" t="e">
        <f>Sheet3!J2</f>
        <v>#REF!</v>
      </c>
      <c r="K1" t="e">
        <f>Sheet3!K2</f>
        <v>#REF!</v>
      </c>
      <c r="L1" t="e">
        <f>Sheet3!L2</f>
        <v>#REF!</v>
      </c>
      <c r="M1" t="e">
        <f>Sheet3!M2</f>
        <v>#REF!</v>
      </c>
      <c r="N1" t="e">
        <f>Sheet3!N2</f>
        <v>#REF!</v>
      </c>
      <c r="O1" t="e">
        <f>Sheet3!O2</f>
        <v>#REF!</v>
      </c>
      <c r="P1" t="e">
        <f>Sheet3!P2</f>
        <v>#REF!</v>
      </c>
      <c r="Q1" t="e">
        <f>Sheet3!Q2</f>
        <v>#REF!</v>
      </c>
      <c r="R1" t="e">
        <f>Sheet3!R2</f>
        <v>#REF!</v>
      </c>
      <c r="S1" t="e">
        <f>Sheet3!S2</f>
        <v>#REF!</v>
      </c>
      <c r="T1" t="e">
        <f>Sheet3!T2</f>
        <v>#REF!</v>
      </c>
      <c r="U1" t="e">
        <f>Sheet3!U2</f>
        <v>#REF!</v>
      </c>
      <c r="V1" t="e">
        <f>Sheet3!V2</f>
        <v>#REF!</v>
      </c>
      <c r="W1" t="e">
        <f>Sheet3!W2</f>
        <v>#REF!</v>
      </c>
      <c r="X1" t="e">
        <f>Sheet3!X2</f>
        <v>#REF!</v>
      </c>
      <c r="Y1" t="e">
        <f>Sheet3!Y2</f>
        <v>#REF!</v>
      </c>
      <c r="Z1" t="str">
        <f>Sheet3!Z2</f>
        <v>ZL02</v>
      </c>
      <c r="AA1" t="e">
        <f>Sheet3!AA2</f>
        <v>#REF!</v>
      </c>
      <c r="AB1" t="e">
        <f>Sheet3!AB2</f>
        <v>#REF!</v>
      </c>
      <c r="AC1" t="e">
        <f>Sheet3!AC2</f>
        <v>#REF!</v>
      </c>
      <c r="AD1" t="e">
        <f>Sheet3!AD2</f>
        <v>#REF!</v>
      </c>
    </row>
    <row r="2" spans="1:30" x14ac:dyDescent="0.25">
      <c r="A2" t="s">
        <v>4</v>
      </c>
    </row>
    <row r="3" spans="1:30" x14ac:dyDescent="0.25">
      <c r="A3" t="s">
        <v>238</v>
      </c>
      <c r="B3" s="2" t="e">
        <f>Sheet3!B24/Sheet3!B23</f>
        <v>#REF!</v>
      </c>
      <c r="W3" s="2" t="e">
        <f>Sheet3!B24/Sheet3!W23</f>
        <v>#REF!</v>
      </c>
      <c r="X3" s="2" t="e">
        <f>Sheet3!B24/Sheet3!X23</f>
        <v>#REF!</v>
      </c>
    </row>
    <row r="4" spans="1:30" x14ac:dyDescent="0.25">
      <c r="A4" t="s">
        <v>239</v>
      </c>
      <c r="B4" s="1" t="e">
        <f>Sheet3!B18*4/3-Sheet3!B20*2/3</f>
        <v>#REF!</v>
      </c>
      <c r="W4" s="1" t="e">
        <f>Sheet3!B18*4/3-Sheet3!W20*2/3</f>
        <v>#REF!</v>
      </c>
      <c r="X4" s="1" t="e">
        <f>Sheet3!B18*4/3-Sheet3!X20*2/3</f>
        <v>#REF!</v>
      </c>
    </row>
    <row r="5" spans="1:30" x14ac:dyDescent="0.25">
      <c r="A5" t="s">
        <v>240</v>
      </c>
      <c r="B5" s="1" t="e">
        <f>Sheet3!B18*2/3-Sheet3!B20*4/3</f>
        <v>#REF!</v>
      </c>
      <c r="W5" s="1" t="e">
        <f>Sheet3!B18*2/3-Sheet3!W20*4/3</f>
        <v>#REF!</v>
      </c>
      <c r="X5" s="1" t="e">
        <f>Sheet3!B18*2/3-Sheet3!X20*4/3</f>
        <v>#REF!</v>
      </c>
    </row>
    <row r="6" spans="1:30" x14ac:dyDescent="0.25">
      <c r="A6" t="s">
        <v>241</v>
      </c>
      <c r="B6" s="3">
        <f>Sheet3!B26/15/(Sheet3!B26/15)</f>
        <v>1</v>
      </c>
      <c r="W6" s="3">
        <f>Sheet3!B26/15/(Sheet3!W26/15)</f>
        <v>7.5</v>
      </c>
      <c r="X6" s="3">
        <f>Sheet3!B26/15/(Sheet3!X26/15)</f>
        <v>0.75</v>
      </c>
    </row>
    <row r="7" spans="1:30" x14ac:dyDescent="0.25">
      <c r="A7" t="s">
        <v>242</v>
      </c>
      <c r="B7" s="1" t="e">
        <f>(B4-B5)/2*B6+B5</f>
        <v>#REF!</v>
      </c>
      <c r="W7" s="1" t="e">
        <f>(W4-W5)/2*W6+W5</f>
        <v>#REF!</v>
      </c>
      <c r="X7" s="1" t="e">
        <f>(X4-X5)/2*X6+X5</f>
        <v>#REF!</v>
      </c>
    </row>
    <row r="8" spans="1:30" x14ac:dyDescent="0.25">
      <c r="A8" t="s">
        <v>243</v>
      </c>
      <c r="B8" s="1" t="e">
        <f>B3*B7</f>
        <v>#REF!</v>
      </c>
      <c r="W8" s="1" t="e">
        <f>W3*W7</f>
        <v>#REF!</v>
      </c>
      <c r="X8" s="1" t="e">
        <f>X3*X7</f>
        <v>#REF!</v>
      </c>
    </row>
    <row r="9" spans="1:30" x14ac:dyDescent="0.25">
      <c r="A9" t="s">
        <v>244</v>
      </c>
      <c r="B9" s="4" t="e">
        <f>Sheet3!B17/B8</f>
        <v>#REF!</v>
      </c>
      <c r="W9" s="4" t="e">
        <f>Sheet3!W17/W8</f>
        <v>#REF!</v>
      </c>
      <c r="X9" s="4" t="e">
        <f>Sheet3!X17/X8</f>
        <v>#REF!</v>
      </c>
    </row>
    <row r="10" spans="1:30" x14ac:dyDescent="0.25">
      <c r="A10" t="s">
        <v>5</v>
      </c>
      <c r="W10" s="1"/>
      <c r="X10" s="1"/>
    </row>
    <row r="11" spans="1:30" x14ac:dyDescent="0.25">
      <c r="A11" t="s">
        <v>238</v>
      </c>
      <c r="B11" s="2" t="e">
        <f>Sheet3!N24/Sheet3!B23</f>
        <v>#REF!</v>
      </c>
      <c r="W11" s="2" t="e">
        <f>Sheet3!N24/Sheet3!W23</f>
        <v>#REF!</v>
      </c>
      <c r="X11" s="2" t="e">
        <f>Sheet3!N24/Sheet3!X23</f>
        <v>#REF!</v>
      </c>
    </row>
    <row r="12" spans="1:30" x14ac:dyDescent="0.25">
      <c r="A12" t="s">
        <v>239</v>
      </c>
      <c r="B12" s="1" t="e">
        <f>Sheet3!N18*4/3-Sheet3!B20*2/3</f>
        <v>#REF!</v>
      </c>
      <c r="W12" s="1" t="e">
        <f>Sheet3!N18*4/3-Sheet3!W20*2/3</f>
        <v>#REF!</v>
      </c>
      <c r="X12" s="1" t="e">
        <f>Sheet3!N18*4/3-Sheet3!X20*2/3</f>
        <v>#REF!</v>
      </c>
    </row>
    <row r="13" spans="1:30" x14ac:dyDescent="0.25">
      <c r="A13" t="s">
        <v>240</v>
      </c>
      <c r="B13" s="1" t="e">
        <f>Sheet3!N18*2/3-Sheet3!B20*4/3</f>
        <v>#REF!</v>
      </c>
      <c r="W13" s="1" t="e">
        <f>Sheet3!N18*2/3-Sheet3!W20*4/3</f>
        <v>#REF!</v>
      </c>
      <c r="X13" s="1" t="e">
        <f>Sheet3!N18*2/3-Sheet3!X20*4/3</f>
        <v>#REF!</v>
      </c>
    </row>
    <row r="14" spans="1:30" x14ac:dyDescent="0.25">
      <c r="A14" t="s">
        <v>241</v>
      </c>
      <c r="B14" s="3">
        <f>Sheet3!N26/15/(Sheet3!B26/15)</f>
        <v>0.8</v>
      </c>
      <c r="W14" s="3">
        <f>Sheet3!N26/15/(Sheet3!W26/15)</f>
        <v>6</v>
      </c>
      <c r="X14" s="3">
        <f>Sheet3!N26/15/(Sheet3!X26/15)</f>
        <v>0.60000000000000009</v>
      </c>
    </row>
    <row r="15" spans="1:30" x14ac:dyDescent="0.25">
      <c r="A15" t="s">
        <v>242</v>
      </c>
      <c r="B15" s="1" t="e">
        <f>(B12-B13)/2*B14+B13</f>
        <v>#REF!</v>
      </c>
      <c r="W15" s="1" t="e">
        <f>(W12-W13)/2*W14+W13</f>
        <v>#REF!</v>
      </c>
      <c r="X15" s="1" t="e">
        <f>(X12-X13)/2*X14+X13</f>
        <v>#REF!</v>
      </c>
    </row>
    <row r="16" spans="1:30" x14ac:dyDescent="0.25">
      <c r="A16" t="s">
        <v>243</v>
      </c>
      <c r="B16" s="1" t="e">
        <f>B11*B15</f>
        <v>#REF!</v>
      </c>
      <c r="W16" s="1" t="e">
        <f>W11*W15</f>
        <v>#REF!</v>
      </c>
      <c r="X16" s="1" t="e">
        <f>X11*X15</f>
        <v>#REF!</v>
      </c>
    </row>
    <row r="17" spans="1:24" x14ac:dyDescent="0.25">
      <c r="A17" t="s">
        <v>244</v>
      </c>
      <c r="B17" s="4" t="e">
        <f>Sheet3!B17/B16</f>
        <v>#REF!</v>
      </c>
      <c r="W17" s="4" t="e">
        <f>Sheet3!W17/W16</f>
        <v>#REF!</v>
      </c>
      <c r="X17" s="4" t="e">
        <f>Sheet3!X17/X16</f>
        <v>#REF!</v>
      </c>
    </row>
    <row r="18" spans="1:24" x14ac:dyDescent="0.25">
      <c r="A18" t="s">
        <v>6</v>
      </c>
    </row>
    <row r="19" spans="1:24" x14ac:dyDescent="0.25">
      <c r="A19" t="s">
        <v>238</v>
      </c>
      <c r="B19" s="2" t="e">
        <f>Sheet3!W24/Sheet3!B23</f>
        <v>#REF!</v>
      </c>
      <c r="W19" s="2" t="e">
        <f>Sheet3!W24/Sheet3!W23</f>
        <v>#REF!</v>
      </c>
      <c r="X19" s="2" t="e">
        <f>Sheet3!W24/Sheet3!X23</f>
        <v>#REF!</v>
      </c>
    </row>
    <row r="20" spans="1:24" x14ac:dyDescent="0.25">
      <c r="A20" t="s">
        <v>239</v>
      </c>
      <c r="B20" s="1" t="e">
        <f>Sheet3!W18*4/3-Sheet3!B20*2/3</f>
        <v>#REF!</v>
      </c>
      <c r="W20" s="1" t="e">
        <f>Sheet3!W18*4/3-Sheet3!W20*2/3</f>
        <v>#REF!</v>
      </c>
      <c r="X20" s="1" t="e">
        <f>Sheet3!W18*4/3-Sheet3!X20*2/3</f>
        <v>#REF!</v>
      </c>
    </row>
    <row r="21" spans="1:24" x14ac:dyDescent="0.25">
      <c r="A21" t="s">
        <v>240</v>
      </c>
      <c r="B21" s="1" t="e">
        <f>Sheet3!W18*2/3-Sheet3!B20*4/3</f>
        <v>#REF!</v>
      </c>
      <c r="W21" s="1" t="e">
        <f>Sheet3!W18*2/3-Sheet3!W20*4/3</f>
        <v>#REF!</v>
      </c>
      <c r="X21" s="1" t="e">
        <f>Sheet3!W18*2/3-Sheet3!X20*4/3</f>
        <v>#REF!</v>
      </c>
    </row>
    <row r="22" spans="1:24" x14ac:dyDescent="0.25">
      <c r="A22" t="s">
        <v>241</v>
      </c>
      <c r="B22" s="3">
        <f>Sheet3!W26/15/(Sheet3!B26/15)</f>
        <v>0.13333333333333333</v>
      </c>
      <c r="W22" s="3">
        <f>Sheet3!W26/15/(Sheet3!W26/15)</f>
        <v>1</v>
      </c>
      <c r="X22" s="3">
        <f>Sheet3!W26/15/(Sheet3!X26/15)</f>
        <v>0.1</v>
      </c>
    </row>
    <row r="23" spans="1:24" x14ac:dyDescent="0.25">
      <c r="A23" t="s">
        <v>242</v>
      </c>
      <c r="B23" s="1" t="e">
        <f>(B20-B21)/2*B22+B21</f>
        <v>#REF!</v>
      </c>
      <c r="W23" s="1" t="e">
        <f>(W20-W21)/2*W22+W21</f>
        <v>#REF!</v>
      </c>
      <c r="X23" s="1" t="e">
        <f>(X20-X21)/2*X22+X21</f>
        <v>#REF!</v>
      </c>
    </row>
    <row r="24" spans="1:24" x14ac:dyDescent="0.25">
      <c r="A24" t="s">
        <v>243</v>
      </c>
      <c r="B24" s="1" t="e">
        <f>B19*B23</f>
        <v>#REF!</v>
      </c>
      <c r="W24" s="1" t="e">
        <f>W19*W23</f>
        <v>#REF!</v>
      </c>
      <c r="X24" s="1" t="e">
        <f>X19*X23</f>
        <v>#REF!</v>
      </c>
    </row>
    <row r="25" spans="1:24" x14ac:dyDescent="0.25">
      <c r="A25" t="s">
        <v>244</v>
      </c>
      <c r="B25" s="4" t="e">
        <f>Sheet3!B17/B24</f>
        <v>#REF!</v>
      </c>
      <c r="W25" s="4" t="e">
        <f>Sheet3!W17/W24</f>
        <v>#REF!</v>
      </c>
      <c r="X25" s="4" t="e">
        <f>Sheet3!X17/X24</f>
        <v>#REF!</v>
      </c>
    </row>
  </sheetData>
  <phoneticPr fontId="1" type="noConversion"/>
  <pageMargins left="0.75" right="0.75" top="1" bottom="1" header="0.51111111111111107" footer="0.51111111111111107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roseyanyh</dc:creator>
  <cp:keywords/>
  <dc:description/>
  <cp:lastModifiedBy>zbh</cp:lastModifiedBy>
  <cp:revision/>
  <dcterms:created xsi:type="dcterms:W3CDTF">2012-06-06T01:30:27Z</dcterms:created>
  <dcterms:modified xsi:type="dcterms:W3CDTF">2019-07-06T21:14:52Z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