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GitHub\ShipGame\data\"/>
    </mc:Choice>
  </mc:AlternateContent>
  <xr:revisionPtr revIDLastSave="0" documentId="13_ncr:1_{4A608E53-9292-4ACC-8FEA-53FDCBFB30DD}" xr6:coauthVersionLast="36" xr6:coauthVersionMax="36" xr10:uidLastSave="{00000000-0000-0000-0000-000000000000}"/>
  <bookViews>
    <workbookView xWindow="0" yWindow="0" windowWidth="19200" windowHeight="896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36" i="1" l="1"/>
  <c r="D338" i="1" s="1"/>
  <c r="E336" i="1"/>
  <c r="F336" i="1"/>
  <c r="C336" i="1"/>
  <c r="F250" i="1"/>
  <c r="F315" i="1" s="1"/>
  <c r="F251" i="1"/>
  <c r="F316" i="1" s="1"/>
  <c r="F245" i="1"/>
  <c r="F246" i="1"/>
  <c r="F247" i="1" s="1"/>
  <c r="F230" i="1"/>
  <c r="F233" i="1" s="1"/>
  <c r="F95" i="1"/>
  <c r="F94" i="1"/>
  <c r="F80" i="1"/>
  <c r="F86" i="1" s="1"/>
  <c r="F89" i="1"/>
  <c r="F90" i="1"/>
  <c r="F91" i="1"/>
  <c r="F92" i="1"/>
  <c r="F262" i="1"/>
  <c r="F76" i="1" s="1"/>
  <c r="F81" i="1"/>
  <c r="F74" i="1"/>
  <c r="F75" i="1"/>
  <c r="F347" i="1"/>
  <c r="F342" i="1"/>
  <c r="F344" i="1"/>
  <c r="F339" i="1"/>
  <c r="F337" i="1"/>
  <c r="F334" i="1"/>
  <c r="F335" i="1"/>
  <c r="F327" i="1"/>
  <c r="F326" i="1"/>
  <c r="F329" i="1" s="1"/>
  <c r="F330" i="1" s="1"/>
  <c r="F320" i="1"/>
  <c r="F324" i="1"/>
  <c r="F317" i="1"/>
  <c r="F318" i="1"/>
  <c r="F273" i="1"/>
  <c r="F271" i="1"/>
  <c r="F275" i="1"/>
  <c r="F276" i="1" s="1"/>
  <c r="F280" i="1" s="1"/>
  <c r="F285" i="1"/>
  <c r="F286" i="1"/>
  <c r="F291" i="1"/>
  <c r="F274" i="1"/>
  <c r="F121" i="1"/>
  <c r="F302" i="1"/>
  <c r="D335" i="1"/>
  <c r="E335" i="1"/>
  <c r="C335" i="1"/>
  <c r="C338" i="1" s="1"/>
  <c r="E338" i="1"/>
  <c r="D337" i="1"/>
  <c r="E337" i="1"/>
  <c r="C337" i="1"/>
  <c r="E339" i="1"/>
  <c r="F223" i="1"/>
  <c r="F219" i="1"/>
  <c r="F220" i="1"/>
  <c r="F224" i="1" s="1"/>
  <c r="F221" i="1"/>
  <c r="F222" i="1"/>
  <c r="F189" i="1"/>
  <c r="F130" i="1"/>
  <c r="F131" i="1" s="1"/>
  <c r="F132" i="1"/>
  <c r="F133" i="1"/>
  <c r="F175" i="1" s="1"/>
  <c r="F126" i="1"/>
  <c r="F127" i="1" s="1"/>
  <c r="F128" i="1"/>
  <c r="F134" i="1" s="1"/>
  <c r="F112" i="1"/>
  <c r="F70" i="1"/>
  <c r="F66" i="1"/>
  <c r="F32" i="1"/>
  <c r="F19" i="1"/>
  <c r="E326" i="1"/>
  <c r="D326" i="1"/>
  <c r="C326" i="1"/>
  <c r="D318" i="1"/>
  <c r="E318" i="1"/>
  <c r="C318" i="1"/>
  <c r="C23" i="1"/>
  <c r="D23" i="1"/>
  <c r="D24" i="1" s="1"/>
  <c r="D273" i="1" s="1"/>
  <c r="E23" i="1"/>
  <c r="E24" i="1" s="1"/>
  <c r="E273" i="1" s="1"/>
  <c r="F23" i="1"/>
  <c r="F24" i="1" s="1"/>
  <c r="F54" i="1"/>
  <c r="F17" i="1"/>
  <c r="F44" i="1"/>
  <c r="D222" i="1"/>
  <c r="E222" i="1"/>
  <c r="C222" i="1"/>
  <c r="D221" i="1"/>
  <c r="E221" i="1"/>
  <c r="C221" i="1"/>
  <c r="E189" i="1"/>
  <c r="D89" i="1"/>
  <c r="E89" i="1"/>
  <c r="C89" i="1"/>
  <c r="E250" i="1"/>
  <c r="E251" i="1"/>
  <c r="E245" i="1"/>
  <c r="E246" i="1"/>
  <c r="E230" i="1"/>
  <c r="E233" i="1" s="1"/>
  <c r="E74" i="1"/>
  <c r="E80" i="1"/>
  <c r="E84" i="1" s="1"/>
  <c r="E85" i="1" s="1"/>
  <c r="E81" i="1"/>
  <c r="C317" i="1"/>
  <c r="D262" i="1"/>
  <c r="D76" i="1" s="1"/>
  <c r="D350" i="1" s="1"/>
  <c r="E262" i="1"/>
  <c r="E76" i="1" s="1"/>
  <c r="C262" i="1"/>
  <c r="C76" i="1" s="1"/>
  <c r="E75" i="1"/>
  <c r="E315" i="1"/>
  <c r="E316" i="1"/>
  <c r="E317" i="1"/>
  <c r="E347" i="1"/>
  <c r="E344" i="1"/>
  <c r="E342" i="1"/>
  <c r="E334" i="1"/>
  <c r="E327" i="1"/>
  <c r="E285" i="1"/>
  <c r="E291" i="1"/>
  <c r="E302" i="1"/>
  <c r="D223" i="1"/>
  <c r="D126" i="1"/>
  <c r="E126" i="1"/>
  <c r="C126" i="1"/>
  <c r="E112" i="1"/>
  <c r="E220" i="1" s="1"/>
  <c r="E275" i="1"/>
  <c r="E276" i="1" s="1"/>
  <c r="E280" i="1" s="1"/>
  <c r="E271" i="1"/>
  <c r="E70" i="1"/>
  <c r="E66" i="1"/>
  <c r="E54" i="1"/>
  <c r="E19" i="1"/>
  <c r="E286" i="1" s="1"/>
  <c r="E44" i="1"/>
  <c r="E17" i="1"/>
  <c r="E171" i="1"/>
  <c r="E175" i="1"/>
  <c r="E137" i="1"/>
  <c r="E148" i="1" s="1"/>
  <c r="E140" i="1"/>
  <c r="E151" i="1" s="1"/>
  <c r="E130" i="1"/>
  <c r="E131" i="1" s="1"/>
  <c r="E132" i="1"/>
  <c r="E133" i="1"/>
  <c r="E176" i="1" s="1"/>
  <c r="E128" i="1"/>
  <c r="E134" i="1" s="1"/>
  <c r="E121" i="1"/>
  <c r="D347" i="1"/>
  <c r="D344" i="1"/>
  <c r="D342" i="1"/>
  <c r="D334" i="1"/>
  <c r="D327" i="1"/>
  <c r="D80" i="1"/>
  <c r="D84" i="1" s="1"/>
  <c r="D85" i="1" s="1"/>
  <c r="D74" i="1"/>
  <c r="D75" i="1"/>
  <c r="D81" i="1"/>
  <c r="D317" i="1"/>
  <c r="D230" i="1"/>
  <c r="D233" i="1" s="1"/>
  <c r="D250" i="1"/>
  <c r="D315" i="1" s="1"/>
  <c r="D251" i="1"/>
  <c r="D316" i="1" s="1"/>
  <c r="D302" i="1"/>
  <c r="D285" i="1"/>
  <c r="D291" i="1"/>
  <c r="D279" i="1"/>
  <c r="D280" i="1"/>
  <c r="C245" i="1"/>
  <c r="D245" i="1"/>
  <c r="D246" i="1"/>
  <c r="D189" i="1"/>
  <c r="D176" i="1"/>
  <c r="D177" i="1"/>
  <c r="D178" i="1"/>
  <c r="D132" i="1"/>
  <c r="D133" i="1"/>
  <c r="D179" i="1" s="1"/>
  <c r="D130" i="1"/>
  <c r="D131" i="1" s="1"/>
  <c r="D128" i="1"/>
  <c r="D121" i="1"/>
  <c r="G121" i="1"/>
  <c r="H121" i="1"/>
  <c r="C121" i="1"/>
  <c r="D112" i="1"/>
  <c r="D275" i="1"/>
  <c r="D276" i="1" s="1"/>
  <c r="D282" i="1" s="1"/>
  <c r="D271" i="1"/>
  <c r="D70" i="1"/>
  <c r="D66" i="1"/>
  <c r="D54" i="1"/>
  <c r="D44" i="1"/>
  <c r="D19" i="1"/>
  <c r="D286" i="1" s="1"/>
  <c r="D17" i="1"/>
  <c r="D32" i="1" s="1"/>
  <c r="C17" i="1"/>
  <c r="C19" i="1"/>
  <c r="H133" i="1"/>
  <c r="H130" i="1"/>
  <c r="H131" i="1" s="1"/>
  <c r="H132" i="1"/>
  <c r="H128" i="1"/>
  <c r="H134" i="1" s="1"/>
  <c r="C128" i="1"/>
  <c r="G128" i="1"/>
  <c r="G137" i="1" s="1"/>
  <c r="G130" i="1"/>
  <c r="G131" i="1" s="1"/>
  <c r="G132" i="1"/>
  <c r="G133" i="1"/>
  <c r="F84" i="1" l="1"/>
  <c r="F85" i="1" s="1"/>
  <c r="F102" i="1" s="1"/>
  <c r="F96" i="1"/>
  <c r="F283" i="1"/>
  <c r="F82" i="1"/>
  <c r="F277" i="1"/>
  <c r="F309" i="1"/>
  <c r="F235" i="1"/>
  <c r="F310" i="1" s="1"/>
  <c r="F236" i="1"/>
  <c r="F311" i="1" s="1"/>
  <c r="F340" i="1"/>
  <c r="F350" i="1"/>
  <c r="F87" i="1"/>
  <c r="F338" i="1"/>
  <c r="F282" i="1"/>
  <c r="F292" i="1"/>
  <c r="F281" i="1"/>
  <c r="F284" i="1"/>
  <c r="F290" i="1" s="1"/>
  <c r="F279" i="1"/>
  <c r="F288" i="1" s="1"/>
  <c r="F305" i="1" s="1"/>
  <c r="F278" i="1"/>
  <c r="F138" i="1"/>
  <c r="F140" i="1"/>
  <c r="F151" i="1" s="1"/>
  <c r="F137" i="1"/>
  <c r="F148" i="1" s="1"/>
  <c r="F173" i="1"/>
  <c r="F179" i="1"/>
  <c r="F172" i="1"/>
  <c r="F143" i="1"/>
  <c r="F154" i="1" s="1"/>
  <c r="F171" i="1"/>
  <c r="F177" i="1"/>
  <c r="F139" i="1"/>
  <c r="F150" i="1" s="1"/>
  <c r="F144" i="1"/>
  <c r="F155" i="1" s="1"/>
  <c r="F142" i="1"/>
  <c r="F153" i="1" s="1"/>
  <c r="F176" i="1"/>
  <c r="F136" i="1"/>
  <c r="F178" i="1"/>
  <c r="F141" i="1"/>
  <c r="F152" i="1" s="1"/>
  <c r="F14" i="1"/>
  <c r="D220" i="1"/>
  <c r="D224" i="1" s="1"/>
  <c r="E139" i="1"/>
  <c r="E150" i="1" s="1"/>
  <c r="E173" i="1"/>
  <c r="E138" i="1"/>
  <c r="E172" i="1"/>
  <c r="E292" i="1"/>
  <c r="D175" i="1"/>
  <c r="E144" i="1"/>
  <c r="E155" i="1" s="1"/>
  <c r="E136" i="1"/>
  <c r="E179" i="1"/>
  <c r="E247" i="1"/>
  <c r="E278" i="1" s="1"/>
  <c r="D142" i="1"/>
  <c r="D153" i="1" s="1"/>
  <c r="D82" i="1"/>
  <c r="D86" i="1"/>
  <c r="D87" i="1" s="1"/>
  <c r="E143" i="1"/>
  <c r="E154" i="1" s="1"/>
  <c r="E178" i="1"/>
  <c r="E183" i="1" s="1"/>
  <c r="D219" i="1"/>
  <c r="D284" i="1"/>
  <c r="E142" i="1"/>
  <c r="E153" i="1" s="1"/>
  <c r="E177" i="1"/>
  <c r="E283" i="1"/>
  <c r="E313" i="1"/>
  <c r="D247" i="1"/>
  <c r="D277" i="1" s="1"/>
  <c r="D340" i="1"/>
  <c r="E141" i="1"/>
  <c r="E152" i="1" s="1"/>
  <c r="E279" i="1"/>
  <c r="E288" i="1" s="1"/>
  <c r="E305" i="1" s="1"/>
  <c r="E274" i="1"/>
  <c r="E284" i="1"/>
  <c r="E290" i="1" s="1"/>
  <c r="E307" i="1" s="1"/>
  <c r="E82" i="1"/>
  <c r="E223" i="1"/>
  <c r="E224" i="1"/>
  <c r="E309" i="1"/>
  <c r="E235" i="1"/>
  <c r="E310" i="1" s="1"/>
  <c r="E236" i="1"/>
  <c r="E311" i="1" s="1"/>
  <c r="E277" i="1"/>
  <c r="E282" i="1"/>
  <c r="E289" i="1" s="1"/>
  <c r="E281" i="1"/>
  <c r="E14" i="1"/>
  <c r="E86" i="1"/>
  <c r="E87" i="1" s="1"/>
  <c r="E340" i="1"/>
  <c r="E350" i="1"/>
  <c r="E127" i="1"/>
  <c r="E219" i="1"/>
  <c r="E32" i="1"/>
  <c r="D292" i="1"/>
  <c r="D339" i="1"/>
  <c r="D278" i="1"/>
  <c r="D274" i="1"/>
  <c r="D172" i="1"/>
  <c r="D171" i="1"/>
  <c r="D173" i="1"/>
  <c r="D283" i="1"/>
  <c r="D290" i="1" s="1"/>
  <c r="G136" i="1"/>
  <c r="D281" i="1"/>
  <c r="D289" i="1" s="1"/>
  <c r="D307" i="1" s="1"/>
  <c r="D127" i="1"/>
  <c r="D144" i="1"/>
  <c r="D155" i="1" s="1"/>
  <c r="D143" i="1"/>
  <c r="D154" i="1" s="1"/>
  <c r="D136" i="1"/>
  <c r="D147" i="1" s="1"/>
  <c r="D141" i="1"/>
  <c r="D152" i="1" s="1"/>
  <c r="D134" i="1"/>
  <c r="D140" i="1"/>
  <c r="D151" i="1" s="1"/>
  <c r="D139" i="1"/>
  <c r="D150" i="1" s="1"/>
  <c r="D138" i="1"/>
  <c r="D137" i="1"/>
  <c r="D148" i="1" s="1"/>
  <c r="D287" i="1"/>
  <c r="D306" i="1" s="1"/>
  <c r="D288" i="1"/>
  <c r="D235" i="1"/>
  <c r="D236" i="1"/>
  <c r="D311" i="1" s="1"/>
  <c r="D309" i="1"/>
  <c r="D14" i="1"/>
  <c r="G143" i="1"/>
  <c r="G144" i="1"/>
  <c r="G140" i="1"/>
  <c r="G142" i="1"/>
  <c r="G139" i="1"/>
  <c r="G134" i="1"/>
  <c r="G138" i="1"/>
  <c r="G135" i="1" s="1"/>
  <c r="G141" i="1"/>
  <c r="H138" i="1"/>
  <c r="H135" i="1" s="1"/>
  <c r="H137" i="1"/>
  <c r="H136" i="1"/>
  <c r="H144" i="1"/>
  <c r="H143" i="1"/>
  <c r="H142" i="1"/>
  <c r="H141" i="1"/>
  <c r="H140" i="1"/>
  <c r="H139" i="1"/>
  <c r="C285" i="1"/>
  <c r="C24" i="1"/>
  <c r="C273" i="1" s="1"/>
  <c r="C80" i="1"/>
  <c r="C86" i="1" s="1"/>
  <c r="C87" i="1" s="1"/>
  <c r="C81" i="1"/>
  <c r="C75" i="1"/>
  <c r="C350" i="1" s="1"/>
  <c r="C74" i="1"/>
  <c r="C291" i="1"/>
  <c r="C271" i="1"/>
  <c r="C286" i="1"/>
  <c r="C246" i="1"/>
  <c r="C247" i="1" s="1"/>
  <c r="C251" i="1"/>
  <c r="C275" i="1"/>
  <c r="F313" i="1" l="1"/>
  <c r="F287" i="1"/>
  <c r="F306" i="1" s="1"/>
  <c r="F308" i="1"/>
  <c r="F312" i="1" s="1"/>
  <c r="F307" i="1"/>
  <c r="F8" i="1" s="1"/>
  <c r="F10" i="1" s="1"/>
  <c r="F289" i="1"/>
  <c r="F160" i="1"/>
  <c r="F169" i="1" s="1"/>
  <c r="F161" i="1"/>
  <c r="F170" i="1" s="1"/>
  <c r="F147" i="1"/>
  <c r="F158" i="1"/>
  <c r="F167" i="1" s="1"/>
  <c r="F159" i="1"/>
  <c r="F168" i="1" s="1"/>
  <c r="F157" i="1"/>
  <c r="F166" i="1" s="1"/>
  <c r="F183" i="1"/>
  <c r="F184" i="1"/>
  <c r="F135" i="1"/>
  <c r="F149" i="1"/>
  <c r="E149" i="1"/>
  <c r="E135" i="1"/>
  <c r="E160" i="1"/>
  <c r="E169" i="1" s="1"/>
  <c r="E161" i="1"/>
  <c r="E170" i="1" s="1"/>
  <c r="E147" i="1"/>
  <c r="E159" i="1"/>
  <c r="E168" i="1" s="1"/>
  <c r="E157" i="1"/>
  <c r="E166" i="1" s="1"/>
  <c r="E158" i="1"/>
  <c r="E167" i="1" s="1"/>
  <c r="E184" i="1"/>
  <c r="D293" i="1"/>
  <c r="D303" i="1" s="1"/>
  <c r="D305" i="1"/>
  <c r="D90" i="1"/>
  <c r="D91" i="1"/>
  <c r="E90" i="1"/>
  <c r="E91" i="1"/>
  <c r="E287" i="1"/>
  <c r="E306" i="1" s="1"/>
  <c r="E308" i="1"/>
  <c r="E312" i="1" s="1"/>
  <c r="E314" i="1" s="1"/>
  <c r="E293" i="1"/>
  <c r="E303" i="1" s="1"/>
  <c r="D95" i="1"/>
  <c r="D324" i="1"/>
  <c r="D329" i="1" s="1"/>
  <c r="C283" i="1"/>
  <c r="D308" i="1"/>
  <c r="D312" i="1" s="1"/>
  <c r="D159" i="1"/>
  <c r="D168" i="1" s="1"/>
  <c r="D158" i="1"/>
  <c r="D167" i="1" s="1"/>
  <c r="D313" i="1"/>
  <c r="D184" i="1"/>
  <c r="D183" i="1"/>
  <c r="D149" i="1"/>
  <c r="D135" i="1"/>
  <c r="D160" i="1"/>
  <c r="D169" i="1" s="1"/>
  <c r="D157" i="1"/>
  <c r="D166" i="1" s="1"/>
  <c r="D161" i="1"/>
  <c r="D170" i="1" s="1"/>
  <c r="D310" i="1"/>
  <c r="C281" i="1"/>
  <c r="C277" i="1"/>
  <c r="C276" i="1"/>
  <c r="C82" i="1" s="1"/>
  <c r="C279" i="1"/>
  <c r="C133" i="1"/>
  <c r="F314" i="1" l="1"/>
  <c r="F218" i="1"/>
  <c r="F321" i="1"/>
  <c r="F293" i="1"/>
  <c r="F303" i="1" s="1"/>
  <c r="F348" i="1" s="1"/>
  <c r="F13" i="1" s="1"/>
  <c r="D92" i="1"/>
  <c r="D94" i="1" s="1"/>
  <c r="D102" i="1" s="1"/>
  <c r="E321" i="1"/>
  <c r="E218" i="1"/>
  <c r="D348" i="1"/>
  <c r="D349" i="1" s="1"/>
  <c r="D103" i="1" s="1"/>
  <c r="D330" i="1"/>
  <c r="D8" i="1" s="1"/>
  <c r="D10" i="1" s="1"/>
  <c r="E92" i="1"/>
  <c r="E94" i="1" s="1"/>
  <c r="E102" i="1" s="1"/>
  <c r="E324" i="1"/>
  <c r="E95" i="1"/>
  <c r="D96" i="1"/>
  <c r="D320" i="1"/>
  <c r="D314" i="1"/>
  <c r="D321" i="1"/>
  <c r="D218" i="1"/>
  <c r="C278" i="1"/>
  <c r="C287" i="1" s="1"/>
  <c r="C306" i="1" s="1"/>
  <c r="C284" i="1"/>
  <c r="C290" i="1" s="1"/>
  <c r="C292" i="1"/>
  <c r="C280" i="1"/>
  <c r="C288" i="1" s="1"/>
  <c r="C305" i="1" s="1"/>
  <c r="C282" i="1"/>
  <c r="C289" i="1" s="1"/>
  <c r="C84" i="1"/>
  <c r="F15" i="1" l="1"/>
  <c r="F349" i="1"/>
  <c r="F103" i="1" s="1"/>
  <c r="F11" i="1"/>
  <c r="F104" i="1"/>
  <c r="F93" i="1"/>
  <c r="F101" i="1" s="1"/>
  <c r="F304" i="1"/>
  <c r="F319" i="1"/>
  <c r="F21" i="1"/>
  <c r="D15" i="1"/>
  <c r="D13" i="1"/>
  <c r="D319" i="1" s="1"/>
  <c r="E329" i="1"/>
  <c r="E320" i="1"/>
  <c r="C293" i="1"/>
  <c r="F107" i="1" l="1"/>
  <c r="F106" i="1" s="1"/>
  <c r="F22" i="1"/>
  <c r="F97" i="1"/>
  <c r="F98" i="1" s="1"/>
  <c r="D11" i="1"/>
  <c r="E96" i="1"/>
  <c r="D21" i="1"/>
  <c r="D93" i="1"/>
  <c r="D101" i="1" s="1"/>
  <c r="D104" i="1"/>
  <c r="D107" i="1" s="1"/>
  <c r="D106" i="1" s="1"/>
  <c r="D304" i="1"/>
  <c r="E330" i="1"/>
  <c r="E8" i="1" s="1"/>
  <c r="E10" i="1" s="1"/>
  <c r="E348" i="1"/>
  <c r="C70" i="1"/>
  <c r="C66" i="1"/>
  <c r="C54" i="1"/>
  <c r="C44" i="1"/>
  <c r="F99" i="1" l="1"/>
  <c r="F100" i="1"/>
  <c r="D97" i="1"/>
  <c r="D98" i="1" s="1"/>
  <c r="D22" i="1"/>
  <c r="E15" i="1"/>
  <c r="E349" i="1"/>
  <c r="E103" i="1" s="1"/>
  <c r="E13" i="1"/>
  <c r="E11" i="1" s="1"/>
  <c r="C14" i="1"/>
  <c r="C90" i="1" l="1"/>
  <c r="C91" i="1"/>
  <c r="D100" i="1"/>
  <c r="D99" i="1"/>
  <c r="E93" i="1"/>
  <c r="E101" i="1" s="1"/>
  <c r="E104" i="1"/>
  <c r="E107" i="1" s="1"/>
  <c r="E106" i="1" s="1"/>
  <c r="E21" i="1"/>
  <c r="E319" i="1"/>
  <c r="E304" i="1"/>
  <c r="AK25" i="3"/>
  <c r="AL25" i="3"/>
  <c r="AM25" i="3"/>
  <c r="AK24" i="3"/>
  <c r="AL24" i="3"/>
  <c r="AM24" i="3"/>
  <c r="AK7" i="3"/>
  <c r="AL7" i="3"/>
  <c r="AM7" i="3"/>
  <c r="AL2" i="3"/>
  <c r="AM2" i="3"/>
  <c r="AL3" i="3"/>
  <c r="AM3" i="3"/>
  <c r="AK3" i="3"/>
  <c r="AK2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8" i="3"/>
  <c r="D18" i="3"/>
  <c r="E18" i="3"/>
  <c r="F18" i="3"/>
  <c r="B18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0" i="3"/>
  <c r="C324" i="1" l="1"/>
  <c r="C95" i="1"/>
  <c r="E22" i="1"/>
  <c r="E97" i="1"/>
  <c r="E98" i="1" s="1"/>
  <c r="C327" i="1"/>
  <c r="C334" i="1"/>
  <c r="C320" i="1" l="1"/>
  <c r="E99" i="1"/>
  <c r="E100" i="1"/>
  <c r="C329" i="1"/>
  <c r="C330" i="1" s="1"/>
  <c r="G5" i="3" l="1"/>
  <c r="H5" i="3"/>
  <c r="Q5" i="3"/>
  <c r="T5" i="3"/>
  <c r="U5" i="3"/>
  <c r="Y5" i="3"/>
  <c r="AB5" i="3"/>
  <c r="AC5" i="3"/>
  <c r="AG5" i="3"/>
  <c r="AL5" i="3"/>
  <c r="AO5" i="3"/>
  <c r="AQ5" i="3"/>
  <c r="C32" i="1"/>
  <c r="C92" i="1" s="1"/>
  <c r="C94" i="1" s="1"/>
  <c r="C85" i="1"/>
  <c r="B8" i="3"/>
  <c r="D8" i="3"/>
  <c r="F8" i="3"/>
  <c r="H8" i="3"/>
  <c r="I8" i="3"/>
  <c r="N8" i="3"/>
  <c r="T8" i="3"/>
  <c r="U8" i="3"/>
  <c r="V8" i="3"/>
  <c r="X8" i="3"/>
  <c r="Y8" i="3"/>
  <c r="C112" i="1"/>
  <c r="AC8" i="3"/>
  <c r="AH8" i="3"/>
  <c r="AI8" i="3"/>
  <c r="AJ8" i="3"/>
  <c r="AK8" i="3"/>
  <c r="AM8" i="3"/>
  <c r="AN8" i="3"/>
  <c r="AO8" i="3"/>
  <c r="AQ19" i="3"/>
  <c r="C130" i="1"/>
  <c r="C131" i="1" s="1"/>
  <c r="C132" i="1"/>
  <c r="C189" i="1"/>
  <c r="C223" i="1" s="1"/>
  <c r="B21" i="3"/>
  <c r="C21" i="3"/>
  <c r="E21" i="3"/>
  <c r="F21" i="3"/>
  <c r="G21" i="3"/>
  <c r="H21" i="3"/>
  <c r="I21" i="3"/>
  <c r="J21" i="3"/>
  <c r="K21" i="3"/>
  <c r="N21" i="3"/>
  <c r="O21" i="3"/>
  <c r="P21" i="3"/>
  <c r="Q21" i="3"/>
  <c r="R21" i="3"/>
  <c r="S21" i="3"/>
  <c r="T21" i="3"/>
  <c r="U21" i="3"/>
  <c r="V21" i="3"/>
  <c r="W21" i="3"/>
  <c r="Y21" i="3"/>
  <c r="C216" i="1"/>
  <c r="Z21" i="3" s="1"/>
  <c r="AA21" i="3"/>
  <c r="AB21" i="3"/>
  <c r="AC21" i="3"/>
  <c r="AD21" i="3"/>
  <c r="AE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P19" i="3"/>
  <c r="C230" i="1"/>
  <c r="C233" i="1" s="1"/>
  <c r="C250" i="1"/>
  <c r="C315" i="1" s="1"/>
  <c r="C274" i="1"/>
  <c r="C302" i="1"/>
  <c r="C307" i="1" s="1"/>
  <c r="C340" i="1"/>
  <c r="C342" i="1"/>
  <c r="C344" i="1"/>
  <c r="C347" i="1"/>
  <c r="B2" i="3"/>
  <c r="B1" i="4" s="1"/>
  <c r="C2" i="3"/>
  <c r="C1" i="4" s="1"/>
  <c r="D2" i="3"/>
  <c r="D1" i="4" s="1"/>
  <c r="E2" i="3"/>
  <c r="E1" i="4" s="1"/>
  <c r="F2" i="3"/>
  <c r="F1" i="4" s="1"/>
  <c r="G2" i="3"/>
  <c r="G1" i="4" s="1"/>
  <c r="H2" i="3"/>
  <c r="H1" i="4" s="1"/>
  <c r="I2" i="3"/>
  <c r="I1" i="4" s="1"/>
  <c r="J2" i="3"/>
  <c r="J1" i="4" s="1"/>
  <c r="K2" i="3"/>
  <c r="K1" i="4" s="1"/>
  <c r="L2" i="3"/>
  <c r="L1" i="4" s="1"/>
  <c r="M2" i="3"/>
  <c r="M1" i="4" s="1"/>
  <c r="N2" i="3"/>
  <c r="N1" i="4" s="1"/>
  <c r="O2" i="3"/>
  <c r="O1" i="4" s="1"/>
  <c r="P2" i="3"/>
  <c r="P1" i="4" s="1"/>
  <c r="Q2" i="3"/>
  <c r="Q1" i="4" s="1"/>
  <c r="R2" i="3"/>
  <c r="R1" i="4" s="1"/>
  <c r="S2" i="3"/>
  <c r="S1" i="4" s="1"/>
  <c r="T2" i="3"/>
  <c r="T1" i="4" s="1"/>
  <c r="U2" i="3"/>
  <c r="U1" i="4" s="1"/>
  <c r="V2" i="3"/>
  <c r="V1" i="4" s="1"/>
  <c r="W2" i="3"/>
  <c r="W1" i="4" s="1"/>
  <c r="X2" i="3"/>
  <c r="X1" i="4" s="1"/>
  <c r="Y2" i="3"/>
  <c r="Y1" i="4" s="1"/>
  <c r="Z2" i="3"/>
  <c r="Z1" i="4" s="1"/>
  <c r="AA2" i="3"/>
  <c r="AA1" i="4" s="1"/>
  <c r="AB2" i="3"/>
  <c r="AB1" i="4" s="1"/>
  <c r="AC2" i="3"/>
  <c r="AC1" i="4" s="1"/>
  <c r="AD2" i="3"/>
  <c r="AD1" i="4" s="1"/>
  <c r="AE2" i="3"/>
  <c r="AF2" i="3"/>
  <c r="AG2" i="3"/>
  <c r="AH2" i="3"/>
  <c r="AI2" i="3"/>
  <c r="AJ2" i="3"/>
  <c r="AN2" i="3"/>
  <c r="AO2" i="3"/>
  <c r="AP2" i="3"/>
  <c r="AQ2" i="3"/>
  <c r="AR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N3" i="3"/>
  <c r="AO3" i="3"/>
  <c r="AP3" i="3"/>
  <c r="AQ3" i="3"/>
  <c r="AR3" i="3"/>
  <c r="D5" i="3"/>
  <c r="E5" i="3"/>
  <c r="I5" i="3"/>
  <c r="L5" i="3"/>
  <c r="M5" i="3"/>
  <c r="P5" i="3"/>
  <c r="R5" i="3"/>
  <c r="V5" i="3"/>
  <c r="AD5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N7" i="3"/>
  <c r="AO7" i="3"/>
  <c r="AP7" i="3"/>
  <c r="AQ7" i="3"/>
  <c r="AR7" i="3"/>
  <c r="C8" i="3"/>
  <c r="G8" i="3"/>
  <c r="K8" i="3"/>
  <c r="L8" i="3"/>
  <c r="O8" i="3"/>
  <c r="P8" i="3"/>
  <c r="S8" i="3"/>
  <c r="W8" i="3"/>
  <c r="AB8" i="3"/>
  <c r="AD8" i="3"/>
  <c r="AE8" i="3"/>
  <c r="AF8" i="3"/>
  <c r="AP8" i="3"/>
  <c r="AQ8" i="3"/>
  <c r="D21" i="3"/>
  <c r="L21" i="3"/>
  <c r="M21" i="3"/>
  <c r="X21" i="3"/>
  <c r="AF21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N24" i="3"/>
  <c r="AO24" i="3"/>
  <c r="AP24" i="3"/>
  <c r="AQ24" i="3"/>
  <c r="AR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N25" i="3"/>
  <c r="AO25" i="3"/>
  <c r="AP25" i="3"/>
  <c r="AQ25" i="3"/>
  <c r="AR25" i="3"/>
  <c r="B6" i="4"/>
  <c r="W6" i="4"/>
  <c r="X6" i="4"/>
  <c r="B14" i="4"/>
  <c r="W14" i="4"/>
  <c r="X14" i="4"/>
  <c r="B22" i="4"/>
  <c r="W22" i="4"/>
  <c r="X22" i="4"/>
  <c r="C102" i="1" l="1"/>
  <c r="C127" i="1"/>
  <c r="C220" i="1"/>
  <c r="C235" i="1"/>
  <c r="C236" i="1"/>
  <c r="C311" i="1" s="1"/>
  <c r="C339" i="1"/>
  <c r="C316" i="1"/>
  <c r="Z8" i="3"/>
  <c r="C219" i="1"/>
  <c r="AA8" i="3"/>
  <c r="AH5" i="3"/>
  <c r="AK5" i="3"/>
  <c r="AL8" i="3"/>
  <c r="AM5" i="3"/>
  <c r="E19" i="3"/>
  <c r="C134" i="1"/>
  <c r="J8" i="3"/>
  <c r="AR5" i="3"/>
  <c r="R8" i="3"/>
  <c r="C19" i="3"/>
  <c r="C177" i="1"/>
  <c r="C171" i="1"/>
  <c r="C172" i="1"/>
  <c r="C173" i="1"/>
  <c r="AF5" i="3"/>
  <c r="K5" i="3"/>
  <c r="AN5" i="3"/>
  <c r="AE19" i="3"/>
  <c r="AG8" i="3"/>
  <c r="Q8" i="3"/>
  <c r="E8" i="3"/>
  <c r="M8" i="3"/>
  <c r="AJ5" i="3"/>
  <c r="O5" i="3"/>
  <c r="AR8" i="3"/>
  <c r="X5" i="3"/>
  <c r="C5" i="3"/>
  <c r="Y19" i="3"/>
  <c r="C179" i="1"/>
  <c r="C139" i="1"/>
  <c r="C175" i="1"/>
  <c r="C138" i="1"/>
  <c r="C135" i="1" s="1"/>
  <c r="AG19" i="3"/>
  <c r="AM19" i="3"/>
  <c r="AC19" i="3"/>
  <c r="M19" i="3"/>
  <c r="I19" i="3"/>
  <c r="AO19" i="3"/>
  <c r="AK19" i="3"/>
  <c r="U19" i="3"/>
  <c r="AL19" i="3"/>
  <c r="AH19" i="3"/>
  <c r="N19" i="3"/>
  <c r="AD18" i="3"/>
  <c r="AP5" i="3"/>
  <c r="AI5" i="3"/>
  <c r="AE5" i="3"/>
  <c r="W5" i="3"/>
  <c r="S5" i="3"/>
  <c r="AD19" i="3"/>
  <c r="N5" i="3"/>
  <c r="J5" i="3"/>
  <c r="F5" i="3"/>
  <c r="B5" i="3"/>
  <c r="Q19" i="3"/>
  <c r="C136" i="1"/>
  <c r="C140" i="1"/>
  <c r="C151" i="1" s="1"/>
  <c r="C143" i="1"/>
  <c r="C154" i="1" s="1"/>
  <c r="C137" i="1"/>
  <c r="C148" i="1" s="1"/>
  <c r="C142" i="1"/>
  <c r="C153" i="1" s="1"/>
  <c r="C176" i="1"/>
  <c r="C178" i="1"/>
  <c r="C141" i="1"/>
  <c r="C152" i="1" s="1"/>
  <c r="C144" i="1"/>
  <c r="C155" i="1" s="1"/>
  <c r="AA19" i="3"/>
  <c r="W19" i="3"/>
  <c r="K19" i="3"/>
  <c r="G19" i="3"/>
  <c r="V19" i="3"/>
  <c r="R19" i="3"/>
  <c r="F19" i="3"/>
  <c r="B19" i="3"/>
  <c r="S19" i="3"/>
  <c r="J19" i="3"/>
  <c r="C303" i="1"/>
  <c r="AI19" i="3"/>
  <c r="O19" i="3"/>
  <c r="AG18" i="3"/>
  <c r="AN19" i="3"/>
  <c r="AJ19" i="3"/>
  <c r="AF19" i="3"/>
  <c r="AB19" i="3"/>
  <c r="X19" i="3"/>
  <c r="T19" i="3"/>
  <c r="P19" i="3"/>
  <c r="L19" i="3"/>
  <c r="H19" i="3"/>
  <c r="D19" i="3"/>
  <c r="C309" i="1"/>
  <c r="Z19" i="3" l="1"/>
  <c r="C224" i="1"/>
  <c r="C8" i="1" s="1"/>
  <c r="C10" i="1" s="1"/>
  <c r="C313" i="1"/>
  <c r="C149" i="1"/>
  <c r="C150" i="1"/>
  <c r="AK4" i="3"/>
  <c r="AK17" i="3" s="1"/>
  <c r="AR19" i="3"/>
  <c r="AL4" i="3"/>
  <c r="AL17" i="3" s="1"/>
  <c r="AQ18" i="3"/>
  <c r="AF18" i="3"/>
  <c r="C308" i="1"/>
  <c r="C312" i="1" s="1"/>
  <c r="AR18" i="3"/>
  <c r="C147" i="1"/>
  <c r="C157" i="1"/>
  <c r="C166" i="1" s="1"/>
  <c r="C160" i="1"/>
  <c r="C169" i="1" s="1"/>
  <c r="C159" i="1"/>
  <c r="C168" i="1" s="1"/>
  <c r="C158" i="1"/>
  <c r="C167" i="1" s="1"/>
  <c r="C161" i="1"/>
  <c r="C170" i="1" s="1"/>
  <c r="C348" i="1"/>
  <c r="C15" i="1" s="1"/>
  <c r="AJ18" i="3"/>
  <c r="C310" i="1"/>
  <c r="AC20" i="3"/>
  <c r="J22" i="3"/>
  <c r="J23" i="3" s="1"/>
  <c r="C183" i="1"/>
  <c r="C184" i="1"/>
  <c r="AI18" i="3"/>
  <c r="AE18" i="3"/>
  <c r="AB18" i="3"/>
  <c r="AH18" i="3"/>
  <c r="AC18" i="3"/>
  <c r="K22" i="3"/>
  <c r="K23" i="3" s="1"/>
  <c r="K4" i="3"/>
  <c r="K17" i="3" s="1"/>
  <c r="F22" i="3"/>
  <c r="F23" i="3" s="1"/>
  <c r="F4" i="3"/>
  <c r="F17" i="3" s="1"/>
  <c r="V4" i="3"/>
  <c r="V17" i="3" s="1"/>
  <c r="AL22" i="3"/>
  <c r="AL23" i="3" s="1"/>
  <c r="AN22" i="3"/>
  <c r="AN23" i="3" s="1"/>
  <c r="AN4" i="3"/>
  <c r="AN17" i="3" s="1"/>
  <c r="I22" i="3"/>
  <c r="I23" i="3" s="1"/>
  <c r="I4" i="3"/>
  <c r="I17" i="3" s="1"/>
  <c r="Y22" i="3"/>
  <c r="Y23" i="3" s="1"/>
  <c r="Y4" i="3"/>
  <c r="Y17" i="3" s="1"/>
  <c r="C218" i="1" l="1"/>
  <c r="Z18" i="3" s="1"/>
  <c r="C321" i="1"/>
  <c r="AA18" i="3"/>
  <c r="C314" i="1"/>
  <c r="AK22" i="3"/>
  <c r="AK23" i="3" s="1"/>
  <c r="AN20" i="3"/>
  <c r="AQ20" i="3"/>
  <c r="AG4" i="3"/>
  <c r="AG17" i="3" s="1"/>
  <c r="AM18" i="3"/>
  <c r="AP18" i="3"/>
  <c r="AM4" i="3"/>
  <c r="AM17" i="3" s="1"/>
  <c r="AO18" i="3"/>
  <c r="AL18" i="3"/>
  <c r="AN18" i="3"/>
  <c r="AK18" i="3"/>
  <c r="AP22" i="3"/>
  <c r="AP23" i="3" s="1"/>
  <c r="AC22" i="3"/>
  <c r="AC23" i="3" s="1"/>
  <c r="D22" i="3"/>
  <c r="D23" i="3" s="1"/>
  <c r="E22" i="3"/>
  <c r="E23" i="3" s="1"/>
  <c r="G4" i="3"/>
  <c r="G17" i="3" s="1"/>
  <c r="V22" i="3"/>
  <c r="V23" i="3" s="1"/>
  <c r="D4" i="3"/>
  <c r="D17" i="3" s="1"/>
  <c r="N22" i="3"/>
  <c r="N23" i="3" s="1"/>
  <c r="AI22" i="3"/>
  <c r="AI23" i="3" s="1"/>
  <c r="L4" i="3"/>
  <c r="L17" i="3" s="1"/>
  <c r="L22" i="3"/>
  <c r="L23" i="3" s="1"/>
  <c r="U4" i="3"/>
  <c r="U17" i="3" s="1"/>
  <c r="AC4" i="3"/>
  <c r="AC17" i="3" s="1"/>
  <c r="AE22" i="3"/>
  <c r="AE23" i="3" s="1"/>
  <c r="AP4" i="3"/>
  <c r="AP17" i="3" s="1"/>
  <c r="E4" i="3"/>
  <c r="E17" i="3" s="1"/>
  <c r="AE4" i="3"/>
  <c r="AE17" i="3" s="1"/>
  <c r="AI20" i="3"/>
  <c r="AQ4" i="3"/>
  <c r="AQ17" i="3" s="1"/>
  <c r="AG20" i="3"/>
  <c r="C13" i="1"/>
  <c r="C93" i="1" s="1"/>
  <c r="C101" i="1" s="1"/>
  <c r="C349" i="1"/>
  <c r="C103" i="1" s="1"/>
  <c r="AF4" i="3"/>
  <c r="AF17" i="3" s="1"/>
  <c r="T4" i="3"/>
  <c r="T17" i="3" s="1"/>
  <c r="R4" i="3"/>
  <c r="R17" i="3" s="1"/>
  <c r="R22" i="3"/>
  <c r="R23" i="3" s="1"/>
  <c r="P22" i="3"/>
  <c r="P23" i="3" s="1"/>
  <c r="P4" i="3"/>
  <c r="P17" i="3" s="1"/>
  <c r="O22" i="3"/>
  <c r="O23" i="3" s="1"/>
  <c r="M22" i="3"/>
  <c r="M23" i="3" s="1"/>
  <c r="M4" i="3"/>
  <c r="M17" i="3" s="1"/>
  <c r="AG22" i="3"/>
  <c r="AG23" i="3" s="1"/>
  <c r="Q4" i="3"/>
  <c r="Q17" i="3" s="1"/>
  <c r="G22" i="3"/>
  <c r="G23" i="3" s="1"/>
  <c r="N4" i="3"/>
  <c r="N17" i="3" s="1"/>
  <c r="AI4" i="3"/>
  <c r="AI17" i="3" s="1"/>
  <c r="O4" i="3"/>
  <c r="O17" i="3" s="1"/>
  <c r="AF22" i="3"/>
  <c r="AF23" i="3" s="1"/>
  <c r="X22" i="3"/>
  <c r="X23" i="3" s="1"/>
  <c r="X19" i="4" s="1"/>
  <c r="U22" i="3"/>
  <c r="U23" i="3" s="1"/>
  <c r="X4" i="3"/>
  <c r="X17" i="3" s="1"/>
  <c r="S22" i="3"/>
  <c r="S23" i="3" s="1"/>
  <c r="W22" i="3"/>
  <c r="W23" i="3" s="1"/>
  <c r="W19" i="4" s="1"/>
  <c r="J4" i="3"/>
  <c r="J17" i="3" s="1"/>
  <c r="W4" i="3"/>
  <c r="W17" i="3" s="1"/>
  <c r="S4" i="3"/>
  <c r="S17" i="3" s="1"/>
  <c r="AE20" i="3"/>
  <c r="X20" i="4"/>
  <c r="W4" i="4"/>
  <c r="AR20" i="3"/>
  <c r="AF20" i="3"/>
  <c r="Q22" i="3"/>
  <c r="Q23" i="3" s="1"/>
  <c r="H22" i="3"/>
  <c r="H23" i="3" s="1"/>
  <c r="H4" i="3"/>
  <c r="H17" i="3" s="1"/>
  <c r="AO4" i="3"/>
  <c r="AO17" i="3" s="1"/>
  <c r="AR4" i="3"/>
  <c r="AR17" i="3" s="1"/>
  <c r="AM22" i="3"/>
  <c r="AM23" i="3" s="1"/>
  <c r="C104" i="1" l="1"/>
  <c r="C107" i="1" s="1"/>
  <c r="C106" i="1" s="1"/>
  <c r="C21" i="1"/>
  <c r="C22" i="1" s="1"/>
  <c r="AK20" i="3"/>
  <c r="AQ22" i="3"/>
  <c r="AQ23" i="3" s="1"/>
  <c r="AL20" i="3"/>
  <c r="AO20" i="3"/>
  <c r="AM20" i="3"/>
  <c r="AP20" i="3"/>
  <c r="C22" i="3"/>
  <c r="C23" i="3" s="1"/>
  <c r="C4" i="3"/>
  <c r="C17" i="3"/>
  <c r="T22" i="3"/>
  <c r="T23" i="3" s="1"/>
  <c r="AD20" i="3"/>
  <c r="AD4" i="3"/>
  <c r="AD17" i="3" s="1"/>
  <c r="AD22" i="3"/>
  <c r="AD23" i="3" s="1"/>
  <c r="AB20" i="3"/>
  <c r="AB22" i="3"/>
  <c r="AB23" i="3" s="1"/>
  <c r="AB4" i="3"/>
  <c r="AB17" i="3" s="1"/>
  <c r="C319" i="1"/>
  <c r="Z20" i="3" s="1"/>
  <c r="Z22" i="3"/>
  <c r="Z23" i="3" s="1"/>
  <c r="C304" i="1"/>
  <c r="Z4" i="3"/>
  <c r="C11" i="1"/>
  <c r="B17" i="3"/>
  <c r="B22" i="3"/>
  <c r="B23" i="3" s="1"/>
  <c r="B3" i="4" s="1"/>
  <c r="B4" i="3"/>
  <c r="AH4" i="3"/>
  <c r="AH17" i="3" s="1"/>
  <c r="AH22" i="3"/>
  <c r="AH23" i="3" s="1"/>
  <c r="AJ20" i="3"/>
  <c r="AJ22" i="3"/>
  <c r="AJ23" i="3" s="1"/>
  <c r="AJ4" i="3"/>
  <c r="AJ17" i="3" s="1"/>
  <c r="AH20" i="3"/>
  <c r="X3" i="4"/>
  <c r="X11" i="4"/>
  <c r="X12" i="4"/>
  <c r="X13" i="4"/>
  <c r="X21" i="4"/>
  <c r="X23" i="4" s="1"/>
  <c r="X24" i="4" s="1"/>
  <c r="X25" i="4" s="1"/>
  <c r="X4" i="4"/>
  <c r="W11" i="4"/>
  <c r="W5" i="4"/>
  <c r="W7" i="4" s="1"/>
  <c r="W3" i="4"/>
  <c r="W13" i="4"/>
  <c r="W20" i="4"/>
  <c r="X5" i="4"/>
  <c r="W12" i="4"/>
  <c r="W21" i="4"/>
  <c r="AR22" i="3"/>
  <c r="AR23" i="3" s="1"/>
  <c r="AO22" i="3"/>
  <c r="AO23" i="3" s="1"/>
  <c r="Z5" i="3" l="1"/>
  <c r="Z17" i="3" s="1"/>
  <c r="B19" i="4"/>
  <c r="X15" i="4"/>
  <c r="X16" i="4" s="1"/>
  <c r="X17" i="4" s="1"/>
  <c r="B11" i="4"/>
  <c r="B21" i="4"/>
  <c r="B4" i="4"/>
  <c r="B20" i="4"/>
  <c r="B13" i="4"/>
  <c r="B5" i="4"/>
  <c r="B12" i="4"/>
  <c r="C97" i="1"/>
  <c r="C96" i="1"/>
  <c r="W23" i="4"/>
  <c r="W24" i="4" s="1"/>
  <c r="W25" i="4" s="1"/>
  <c r="X7" i="4"/>
  <c r="X8" i="4" s="1"/>
  <c r="X9" i="4" s="1"/>
  <c r="W8" i="4"/>
  <c r="W9" i="4" s="1"/>
  <c r="W15" i="4"/>
  <c r="W16" i="4" s="1"/>
  <c r="W17" i="4" s="1"/>
  <c r="C98" i="1" l="1"/>
  <c r="C99" i="1" s="1"/>
  <c r="B15" i="4"/>
  <c r="B16" i="4" s="1"/>
  <c r="B17" i="4" s="1"/>
  <c r="B7" i="4"/>
  <c r="B8" i="4" s="1"/>
  <c r="B9" i="4" s="1"/>
  <c r="B23" i="4"/>
  <c r="B24" i="4" s="1"/>
  <c r="B25" i="4" s="1"/>
  <c r="C100" i="1" l="1"/>
  <c r="AA22" i="3" l="1"/>
  <c r="AA23" i="3" s="1"/>
  <c r="AA4" i="3"/>
  <c r="AA20" i="3"/>
  <c r="AA5" i="3" l="1"/>
  <c r="AA17" i="3" s="1"/>
</calcChain>
</file>

<file path=xl/sharedStrings.xml><?xml version="1.0" encoding="utf-8"?>
<sst xmlns="http://schemas.openxmlformats.org/spreadsheetml/2006/main" count="569" uniqueCount="506">
  <si>
    <t>名称</t>
  </si>
  <si>
    <t>类型</t>
  </si>
  <si>
    <t>战列舰</t>
  </si>
  <si>
    <t>舷号</t>
  </si>
  <si>
    <t>BB1</t>
  </si>
  <si>
    <t>BB11</t>
  </si>
  <si>
    <t>BB27</t>
  </si>
  <si>
    <t>ZL02</t>
  </si>
  <si>
    <t>所属级别</t>
  </si>
  <si>
    <t>所属国家</t>
  </si>
  <si>
    <t>ADLY</t>
  </si>
  <si>
    <t>开工日期</t>
  </si>
  <si>
    <t>服役日期</t>
  </si>
  <si>
    <t>工时（万）</t>
  </si>
  <si>
    <t>每工时价值</t>
  </si>
  <si>
    <t>造价（万美元）</t>
  </si>
  <si>
    <t>每吨造价（美元）</t>
  </si>
  <si>
    <t>设计排水量（吨）</t>
  </si>
  <si>
    <t>标准排水量（吨）</t>
  </si>
  <si>
    <t>满载排水量（吨）</t>
  </si>
  <si>
    <t>轻载排水量（吨）</t>
  </si>
  <si>
    <t>全长（米）</t>
  </si>
  <si>
    <t>水线长（米）</t>
  </si>
  <si>
    <t>宽（米）</t>
  </si>
  <si>
    <t>水线宽（米）</t>
  </si>
  <si>
    <t>型深（米）</t>
  </si>
  <si>
    <t>标准吃水（米）</t>
  </si>
  <si>
    <t>标准干舷高（米）</t>
  </si>
  <si>
    <t>满载吃水（米）</t>
  </si>
  <si>
    <t>全高（米）</t>
  </si>
  <si>
    <t>船只结构高（米）</t>
  </si>
  <si>
    <t>船型</t>
  </si>
  <si>
    <t>水线长宽比</t>
  </si>
  <si>
    <t>主机型号</t>
  </si>
  <si>
    <t>DLT-ST800</t>
  </si>
  <si>
    <t>主机功率（轴马力）</t>
  </si>
  <si>
    <t>主机数量</t>
  </si>
  <si>
    <t>单台主机重量（吨）</t>
  </si>
  <si>
    <t>总功率（轴马力）</t>
  </si>
  <si>
    <t>最大航速（节）</t>
  </si>
  <si>
    <t>储油量（吨）</t>
  </si>
  <si>
    <t>续航速度输出功率（轴马力）</t>
  </si>
  <si>
    <t>主机效率</t>
  </si>
  <si>
    <t>续航力（海里/16节）</t>
  </si>
  <si>
    <t>主炮台数量</t>
  </si>
  <si>
    <t>主炮型号</t>
  </si>
  <si>
    <t>BMG6</t>
  </si>
  <si>
    <t>主炮联装数</t>
  </si>
  <si>
    <t>主炮管数</t>
  </si>
  <si>
    <t>主炮口径（毫米）</t>
  </si>
  <si>
    <t>主炮身管比</t>
  </si>
  <si>
    <t>主炮俯仰角</t>
  </si>
  <si>
    <t>-5～30</t>
  </si>
  <si>
    <t>主炮最优仰角（角度）</t>
  </si>
  <si>
    <t>主炮射速（发/分种）</t>
  </si>
  <si>
    <t>单门主炮备弹量</t>
  </si>
  <si>
    <t>穿甲弹型号</t>
  </si>
  <si>
    <t>MAP2</t>
  </si>
  <si>
    <t>穿甲弹质量（千克）</t>
  </si>
  <si>
    <t>推进药重量（千克）</t>
  </si>
  <si>
    <t>穿甲弹初速（米/秒）</t>
  </si>
  <si>
    <t>穿甲弹长度（毫米）</t>
  </si>
  <si>
    <t>穿甲弹体积（立方分米）</t>
  </si>
  <si>
    <t>穿甲弹平均密度</t>
  </si>
  <si>
    <t>穿甲弹重量比</t>
  </si>
  <si>
    <t>穿甲弹空气阻力值</t>
  </si>
  <si>
    <t>炮口动能（千焦）</t>
  </si>
  <si>
    <t>穿甲弹射程（米）</t>
  </si>
  <si>
    <t>口径指数</t>
  </si>
  <si>
    <t>穿甲弹效能</t>
  </si>
  <si>
    <t>穿甲弹垂直穿深（炮口）（毫米）</t>
  </si>
  <si>
    <t>穿甲弹垂直穿深（5000米）（毫米）</t>
  </si>
  <si>
    <t>穿甲弹垂直穿深（10000米）（毫米）</t>
  </si>
  <si>
    <t>穿甲弹垂直穿深（15000米）（毫米）</t>
  </si>
  <si>
    <t>穿甲弹垂直穿深（20000米）（毫米）</t>
  </si>
  <si>
    <t>穿甲弹垂直穿深（25000米）（毫米）</t>
  </si>
  <si>
    <t>穿甲弹垂直穿深（30000米）（毫米）</t>
  </si>
  <si>
    <t>穿甲弹垂直穿深（35000米）（毫米）</t>
  </si>
  <si>
    <t>/</t>
  </si>
  <si>
    <t>穿甲弹垂直穿深（40000米）（毫米）</t>
  </si>
  <si>
    <t>穿甲弹水平穿深（炮口）（毫米）</t>
  </si>
  <si>
    <t>穿甲弹水平穿深（5000米）（毫米）</t>
  </si>
  <si>
    <t>穿甲弹水平穿深（10000米）（毫米）</t>
  </si>
  <si>
    <t>穿甲弹水平穿深（15000米）（毫米）</t>
  </si>
  <si>
    <t>穿甲弹水平穿深（20000米）（毫米）</t>
  </si>
  <si>
    <t>穿甲弹水平穿深（25000米）（毫米）</t>
  </si>
  <si>
    <t>穿甲弹水平穿深（30000米）（毫米）</t>
  </si>
  <si>
    <t>穿甲弹水平穿深（35000米）（毫米）</t>
  </si>
  <si>
    <t>穿甲弹水平穿深（40000米）（毫米）</t>
  </si>
  <si>
    <t>主炮效能评分</t>
  </si>
  <si>
    <t>主炮威力评分</t>
  </si>
  <si>
    <t>主炮对空能力</t>
  </si>
  <si>
    <t>弹丸重（千克）</t>
  </si>
  <si>
    <t>副炮型号</t>
  </si>
  <si>
    <t>BSG6</t>
  </si>
  <si>
    <t>副炮台数量</t>
  </si>
  <si>
    <t>副炮联装数</t>
  </si>
  <si>
    <t>副炮管数</t>
  </si>
  <si>
    <t>副炮口径（毫米）</t>
  </si>
  <si>
    <t>副炮身管比</t>
  </si>
  <si>
    <t>副炮射速（发/分钟）</t>
  </si>
  <si>
    <t>单门副炮备弹量</t>
  </si>
  <si>
    <t>副炮对空能力</t>
  </si>
  <si>
    <t>防空炮1型号</t>
  </si>
  <si>
    <t>防空炮1管数</t>
  </si>
  <si>
    <t>防空炮1口径（毫米）</t>
  </si>
  <si>
    <t>防空炮1射速（发/分钟）</t>
  </si>
  <si>
    <t>弹丸1重（克）</t>
  </si>
  <si>
    <t>单门防空炮1备弹量</t>
  </si>
  <si>
    <t>防空炮2型号</t>
  </si>
  <si>
    <t>防空炮2管数</t>
  </si>
  <si>
    <t>防空炮2口径（毫米）</t>
  </si>
  <si>
    <t>防空炮2射速（发/分钟）</t>
  </si>
  <si>
    <t>弹丸2重（克）</t>
  </si>
  <si>
    <t>单门防空炮2备弹量</t>
  </si>
  <si>
    <t>鱼雷发射管型号</t>
  </si>
  <si>
    <t>鱼雷发射管数量</t>
  </si>
  <si>
    <t>鱼雷发射管口径（毫米）</t>
  </si>
  <si>
    <t>鱼雷型号</t>
  </si>
  <si>
    <t>鱼雷全重（千克）</t>
  </si>
  <si>
    <t>装药重（千克）</t>
  </si>
  <si>
    <t>炸药种类</t>
  </si>
  <si>
    <t>炸药效率</t>
  </si>
  <si>
    <t>当量（千克TNT）</t>
  </si>
  <si>
    <t>备雷</t>
  </si>
  <si>
    <t>主火力强度</t>
  </si>
  <si>
    <t>舷侧理论最大对海投弹量（千克/分钟）</t>
  </si>
  <si>
    <t>倾斜角度（度）</t>
  </si>
  <si>
    <t>钢质</t>
  </si>
  <si>
    <t>WC</t>
  </si>
  <si>
    <t>WC2</t>
  </si>
  <si>
    <t>WC4</t>
  </si>
  <si>
    <t>WH2</t>
  </si>
  <si>
    <t>VH-SL</t>
  </si>
  <si>
    <t>钢材性能</t>
  </si>
  <si>
    <t>等效厚度（毫米）</t>
  </si>
  <si>
    <t>外板厚度（毫米）</t>
  </si>
  <si>
    <t>内板厚度（毫米）</t>
  </si>
  <si>
    <t>垂直装甲实际等效厚度（毫米）</t>
  </si>
  <si>
    <t>司令塔装甲厚度（毫米）</t>
  </si>
  <si>
    <t>弹药库垂直装甲等效厚度（毫米）</t>
  </si>
  <si>
    <t>主机组垂直装甲等效厚度（毫米）</t>
  </si>
  <si>
    <t>表层水平装甲厚度（毫米）</t>
  </si>
  <si>
    <t>下层防御板厚度（毫米）</t>
  </si>
  <si>
    <t>WH</t>
  </si>
  <si>
    <t>水平装甲实际等效厚度（毫米）</t>
  </si>
  <si>
    <t>核心部分水平装甲实际等效厚度（毫米）</t>
  </si>
  <si>
    <t>舷侧上部装甲厚度（毫米）</t>
  </si>
  <si>
    <t>WW</t>
  </si>
  <si>
    <t>WW2</t>
  </si>
  <si>
    <t>船底层数</t>
  </si>
  <si>
    <t>防鱼雷隔舱等效</t>
  </si>
  <si>
    <t>主装甲带长度（米）</t>
  </si>
  <si>
    <t>主装甲带宽度（米）</t>
  </si>
  <si>
    <t>上部装甲宽度（米）</t>
  </si>
  <si>
    <t>下部装甲宽度（米）</t>
  </si>
  <si>
    <t>主装甲带与水线长度比</t>
  </si>
  <si>
    <t>主装甲总重（吨）（不含炮塔）</t>
  </si>
  <si>
    <t>主炮台长（米）</t>
  </si>
  <si>
    <t>主炮台宽（米）</t>
  </si>
  <si>
    <t>主炮台高（米）</t>
  </si>
  <si>
    <t>炮台正面装甲（毫米）</t>
  </si>
  <si>
    <t>炮台侧面装甲（毫米）</t>
  </si>
  <si>
    <t>炮台后部装甲（毫米）</t>
  </si>
  <si>
    <t>炮台顶部装甲（毫米）</t>
  </si>
  <si>
    <t>炮台装甲总重（吨）</t>
  </si>
  <si>
    <t>装甲总重（吨）</t>
  </si>
  <si>
    <t>装甲重量比</t>
  </si>
  <si>
    <t>核心部分垂直防护评分</t>
  </si>
  <si>
    <t>水平防护水平（3000米投下炸弹重量）（千克）</t>
  </si>
  <si>
    <t>核心水平防护水平（3000米投下炸弹重量）（千克）</t>
  </si>
  <si>
    <t>水下防护水平（千克TNT）</t>
  </si>
  <si>
    <t>防护评分</t>
  </si>
  <si>
    <t>生存能力评分</t>
  </si>
  <si>
    <t>结构密集度</t>
  </si>
  <si>
    <t>武器系统重量（吨）</t>
  </si>
  <si>
    <t>弹药总重（吨）</t>
  </si>
  <si>
    <t>动力系统重量（吨）</t>
  </si>
  <si>
    <t>防御板重量（吨）</t>
  </si>
  <si>
    <t>舾装及其他设备重量（吨）</t>
  </si>
  <si>
    <t>人员数量</t>
  </si>
  <si>
    <t>人员及给养重量（吨）</t>
  </si>
  <si>
    <t>滑油及备用锅炉水重量（吨）</t>
  </si>
  <si>
    <t>舰载机架数</t>
  </si>
  <si>
    <t>舰载机及系统重量（吨）</t>
  </si>
  <si>
    <t>空船总重量（吨）</t>
  </si>
  <si>
    <t>剩余重量（吨）</t>
  </si>
  <si>
    <t>主装甲堡容积（立方米）</t>
  </si>
  <si>
    <t>对海雷达数量</t>
  </si>
  <si>
    <t>对海雷达效率</t>
  </si>
  <si>
    <t>对空雷达数量</t>
  </si>
  <si>
    <t>对空雷达效率</t>
  </si>
  <si>
    <t>火控雷达数量</t>
  </si>
  <si>
    <t>火控雷达效率</t>
  </si>
  <si>
    <t>光学瞄准镜数量</t>
  </si>
  <si>
    <t>光学瞄准镜基线长（米）</t>
  </si>
  <si>
    <t>注释</t>
  </si>
  <si>
    <t>*1</t>
  </si>
  <si>
    <t>吴式表面渗碳硬化钢</t>
  </si>
  <si>
    <t>*2</t>
  </si>
  <si>
    <t>吴式表面渗碳硬化钢二型</t>
  </si>
  <si>
    <t>*3</t>
  </si>
  <si>
    <t>吴式硬化钢</t>
  </si>
  <si>
    <t>*4</t>
  </si>
  <si>
    <t>吴式表面渗碳硬化钢四型</t>
  </si>
  <si>
    <t>*5</t>
  </si>
  <si>
    <t>吴式硬化钢二型</t>
  </si>
  <si>
    <t>*6</t>
  </si>
  <si>
    <t>维氏硬化钢-沈国生产</t>
  </si>
  <si>
    <t>*7</t>
  </si>
  <si>
    <t>吴式高韧性钢</t>
  </si>
  <si>
    <t>*8</t>
  </si>
  <si>
    <t>吴式高韧性钢二型</t>
  </si>
  <si>
    <t>舰名</t>
  </si>
  <si>
    <t>风</t>
  </si>
  <si>
    <t>火</t>
  </si>
  <si>
    <t>林</t>
  </si>
  <si>
    <t>山</t>
  </si>
  <si>
    <t>海啸</t>
  </si>
  <si>
    <t>海神</t>
  </si>
  <si>
    <t>舰型编号</t>
  </si>
  <si>
    <t>主炮门数</t>
  </si>
  <si>
    <t>耐久度</t>
  </si>
  <si>
    <t>火力</t>
  </si>
  <si>
    <t>对空</t>
  </si>
  <si>
    <t>装甲</t>
  </si>
  <si>
    <t>鱼雷</t>
  </si>
  <si>
    <t>速度</t>
  </si>
  <si>
    <t>回避</t>
  </si>
  <si>
    <t>命中</t>
  </si>
  <si>
    <t>索敌</t>
  </si>
  <si>
    <t>幸运</t>
  </si>
  <si>
    <t>挑战方/主战方</t>
  </si>
  <si>
    <t>炮击命中率</t>
  </si>
  <si>
    <t>最大伤害</t>
  </si>
  <si>
    <t>最小伤害</t>
  </si>
  <si>
    <t>浮动</t>
  </si>
  <si>
    <t>平均伤害</t>
  </si>
  <si>
    <t>实际平均伤害</t>
  </si>
  <si>
    <t>击沉次数</t>
  </si>
  <si>
    <t>主装甲带自身主炮防御距离（米）</t>
    <phoneticPr fontId="1" type="noConversion"/>
  </si>
  <si>
    <t>弹药库处自身主炮防御距离（米）</t>
    <phoneticPr fontId="1" type="noConversion"/>
  </si>
  <si>
    <t>主机处自身主炮防御距离（米）</t>
    <phoneticPr fontId="1" type="noConversion"/>
  </si>
  <si>
    <t>压载重量（吨）</t>
    <phoneticPr fontId="1" type="noConversion"/>
  </si>
  <si>
    <t>结构重量（吨）</t>
    <phoneticPr fontId="1" type="noConversion"/>
  </si>
  <si>
    <t>船壳重量（吨）</t>
    <phoneticPr fontId="1" type="noConversion"/>
  </si>
  <si>
    <t>标准排水量下浮心位置与船底距离（米）</t>
    <phoneticPr fontId="1" type="noConversion"/>
  </si>
  <si>
    <t>上层建筑重量（吨）</t>
    <phoneticPr fontId="1" type="noConversion"/>
  </si>
  <si>
    <t>水上二层甲板主炮台数量</t>
    <phoneticPr fontId="1" type="noConversion"/>
  </si>
  <si>
    <t>水上三层甲板主炮台数量</t>
    <phoneticPr fontId="1" type="noConversion"/>
  </si>
  <si>
    <t>主炮台中心与甲板平均距离（米）</t>
    <phoneticPr fontId="1" type="noConversion"/>
  </si>
  <si>
    <t>标准排水量下浮心以下截面重量</t>
    <phoneticPr fontId="1" type="noConversion"/>
  </si>
  <si>
    <t>标准排水量下浮心以上截面重量</t>
    <phoneticPr fontId="1" type="noConversion"/>
  </si>
  <si>
    <t>稳定性</t>
    <phoneticPr fontId="1" type="noConversion"/>
  </si>
  <si>
    <t>最大横摆回复角度</t>
    <phoneticPr fontId="1" type="noConversion"/>
  </si>
  <si>
    <t>横摆频率</t>
    <phoneticPr fontId="1" type="noConversion"/>
  </si>
  <si>
    <t>穿甲弹落角（炮口）（度）</t>
    <phoneticPr fontId="1" type="noConversion"/>
  </si>
  <si>
    <r>
      <t>穿甲弹落角（5000米）（</t>
    </r>
    <r>
      <rPr>
        <sz val="12"/>
        <rFont val="宋体"/>
        <family val="3"/>
        <charset val="134"/>
      </rPr>
      <t>度</t>
    </r>
    <r>
      <rPr>
        <sz val="12"/>
        <rFont val="宋体"/>
        <family val="3"/>
        <charset val="134"/>
      </rPr>
      <t>）</t>
    </r>
    <phoneticPr fontId="1" type="noConversion"/>
  </si>
  <si>
    <r>
      <t>穿甲弹落角（10000米）（</t>
    </r>
    <r>
      <rPr>
        <sz val="12"/>
        <rFont val="宋体"/>
        <family val="3"/>
        <charset val="134"/>
      </rPr>
      <t>度</t>
    </r>
    <r>
      <rPr>
        <sz val="12"/>
        <rFont val="宋体"/>
        <family val="3"/>
        <charset val="134"/>
      </rPr>
      <t>）</t>
    </r>
    <phoneticPr fontId="1" type="noConversion"/>
  </si>
  <si>
    <r>
      <t>穿甲弹落角（15000米）（度）</t>
    </r>
    <r>
      <rPr>
        <sz val="12"/>
        <rFont val="宋体"/>
        <family val="3"/>
        <charset val="134"/>
      </rPr>
      <t/>
    </r>
    <phoneticPr fontId="1" type="noConversion"/>
  </si>
  <si>
    <r>
      <t>穿甲弹落角（20000米）（度）</t>
    </r>
    <r>
      <rPr>
        <sz val="12"/>
        <rFont val="宋体"/>
        <family val="3"/>
        <charset val="134"/>
      </rPr>
      <t/>
    </r>
    <phoneticPr fontId="1" type="noConversion"/>
  </si>
  <si>
    <r>
      <t>穿甲弹落角（25000米）（度）</t>
    </r>
    <r>
      <rPr>
        <sz val="12"/>
        <rFont val="宋体"/>
        <family val="3"/>
        <charset val="134"/>
      </rPr>
      <t/>
    </r>
    <phoneticPr fontId="1" type="noConversion"/>
  </si>
  <si>
    <r>
      <t>穿甲弹落角（30000米）（度）</t>
    </r>
    <r>
      <rPr>
        <sz val="12"/>
        <rFont val="宋体"/>
        <family val="3"/>
        <charset val="134"/>
      </rPr>
      <t/>
    </r>
    <phoneticPr fontId="1" type="noConversion"/>
  </si>
  <si>
    <r>
      <t>穿甲弹落角（35000米）（度）</t>
    </r>
    <r>
      <rPr>
        <sz val="12"/>
        <rFont val="宋体"/>
        <family val="3"/>
        <charset val="134"/>
      </rPr>
      <t/>
    </r>
    <phoneticPr fontId="1" type="noConversion"/>
  </si>
  <si>
    <r>
      <t>穿甲弹落角（40000米）（度）</t>
    </r>
    <r>
      <rPr>
        <sz val="12"/>
        <rFont val="宋体"/>
        <family val="3"/>
        <charset val="134"/>
      </rPr>
      <t/>
    </r>
    <phoneticPr fontId="1" type="noConversion"/>
  </si>
  <si>
    <t>/</t>
    <phoneticPr fontId="1" type="noConversion"/>
  </si>
  <si>
    <t>核心部分自身主炮垂直防御距离（水上弹）（米）</t>
    <phoneticPr fontId="1" type="noConversion"/>
  </si>
  <si>
    <t>核心部分自身主炮水平防御距离（米）</t>
    <phoneticPr fontId="1" type="noConversion"/>
  </si>
  <si>
    <t>免疫区范围（米）</t>
    <phoneticPr fontId="1" type="noConversion"/>
  </si>
  <si>
    <t>攻击</t>
    <phoneticPr fontId="1" type="noConversion"/>
  </si>
  <si>
    <t>防御</t>
    <phoneticPr fontId="1" type="noConversion"/>
  </si>
  <si>
    <t>消耗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</si>
  <si>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</si>
  <si>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</si>
  <si>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</si>
  <si>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</si>
  <si>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</si>
  <si>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</si>
  <si>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</si>
  <si>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</si>
  <si>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</si>
  <si>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</si>
  <si>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A</t>
    <phoneticPr fontId="1" type="noConversion"/>
  </si>
  <si>
    <t>A</t>
    <phoneticPr fontId="1" type="noConversion"/>
  </si>
  <si>
    <t>S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</si>
  <si>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</si>
  <si>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</si>
  <si>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</si>
  <si>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S</t>
    <phoneticPr fontId="1" type="noConversion"/>
  </si>
  <si>
    <r>
      <t>S</t>
    </r>
    <r>
      <rPr>
        <sz val="12"/>
        <rFont val="宋体"/>
        <family val="3"/>
        <charset val="134"/>
      </rPr>
      <t>S</t>
    </r>
    <phoneticPr fontId="1" type="noConversion"/>
  </si>
  <si>
    <t>S</t>
    <phoneticPr fontId="1" type="noConversion"/>
  </si>
  <si>
    <t>S</t>
    <phoneticPr fontId="1" type="noConversion"/>
  </si>
  <si>
    <t>1层深度</t>
    <phoneticPr fontId="3" type="noConversion"/>
  </si>
  <si>
    <t>2层深度</t>
    <phoneticPr fontId="3" type="noConversion"/>
  </si>
  <si>
    <t>3层深度</t>
    <phoneticPr fontId="3" type="noConversion"/>
  </si>
  <si>
    <t>4层深度</t>
    <phoneticPr fontId="3" type="noConversion"/>
  </si>
  <si>
    <t>舰身舯部长</t>
    <phoneticPr fontId="3" type="noConversion"/>
  </si>
  <si>
    <t>水线宽度</t>
    <phoneticPr fontId="3" type="noConversion"/>
  </si>
  <si>
    <t>1/4宽度</t>
    <phoneticPr fontId="3" type="noConversion"/>
  </si>
  <si>
    <t>1/2宽度</t>
    <phoneticPr fontId="3" type="noConversion"/>
  </si>
  <si>
    <t>3/4宽度</t>
    <phoneticPr fontId="3" type="noConversion"/>
  </si>
  <si>
    <t>补正值</t>
    <phoneticPr fontId="3" type="noConversion"/>
  </si>
  <si>
    <t>舰身舯部满载排水量</t>
    <phoneticPr fontId="3" type="noConversion"/>
  </si>
  <si>
    <t>舰艏水线长</t>
    <phoneticPr fontId="3" type="noConversion"/>
  </si>
  <si>
    <t>舰艏中间长</t>
    <phoneticPr fontId="3" type="noConversion"/>
  </si>
  <si>
    <t>舰艏船底长</t>
    <phoneticPr fontId="3" type="noConversion"/>
  </si>
  <si>
    <t>舰艏3/4中间宽度</t>
    <phoneticPr fontId="3" type="noConversion"/>
  </si>
  <si>
    <t>舰艏底部中间宽度</t>
    <phoneticPr fontId="3" type="noConversion"/>
  </si>
  <si>
    <t>舰艏满载排水量</t>
    <phoneticPr fontId="3" type="noConversion"/>
  </si>
  <si>
    <t>舰艉1/4长</t>
    <phoneticPr fontId="3" type="noConversion"/>
  </si>
  <si>
    <t>舰艉3/4长</t>
    <phoneticPr fontId="3" type="noConversion"/>
  </si>
  <si>
    <t>舰艉底部长</t>
    <phoneticPr fontId="3" type="noConversion"/>
  </si>
  <si>
    <t>舰艉水线中间宽度</t>
    <phoneticPr fontId="3" type="noConversion"/>
  </si>
  <si>
    <t>舰艉1/2中间宽度</t>
    <phoneticPr fontId="3" type="noConversion"/>
  </si>
  <si>
    <t>舰艉底部中间宽度</t>
    <phoneticPr fontId="3" type="noConversion"/>
  </si>
  <si>
    <t>舰艉满载排水量</t>
    <phoneticPr fontId="3" type="noConversion"/>
  </si>
  <si>
    <t>附加部分长度</t>
    <phoneticPr fontId="3" type="noConversion"/>
  </si>
  <si>
    <t>附加部分宽度</t>
    <phoneticPr fontId="3" type="noConversion"/>
  </si>
  <si>
    <t>附加部分排水量</t>
    <phoneticPr fontId="3" type="noConversion"/>
  </si>
  <si>
    <t>底部宽度</t>
    <phoneticPr fontId="3" type="noConversion"/>
  </si>
  <si>
    <t>舰艏水线中间宽度</t>
    <phoneticPr fontId="3" type="noConversion"/>
  </si>
  <si>
    <t>舰艏1/4中间宽度</t>
    <phoneticPr fontId="3" type="noConversion"/>
  </si>
  <si>
    <t>舰艏1/2中间宽度</t>
    <phoneticPr fontId="3" type="noConversion"/>
  </si>
  <si>
    <t>补正值</t>
    <phoneticPr fontId="3" type="noConversion"/>
  </si>
  <si>
    <t>舰艉水线长</t>
    <phoneticPr fontId="3" type="noConversion"/>
  </si>
  <si>
    <t>舰艉1/2长</t>
    <phoneticPr fontId="3" type="noConversion"/>
  </si>
  <si>
    <t>舰艉1/4中间宽度</t>
    <phoneticPr fontId="3" type="noConversion"/>
  </si>
  <si>
    <t>舰艉3/4中间宽度</t>
    <phoneticPr fontId="3" type="noConversion"/>
  </si>
  <si>
    <t>附加部分深度</t>
    <phoneticPr fontId="3" type="noConversion"/>
  </si>
  <si>
    <t>身管材料耐久度</t>
    <phoneticPr fontId="3" type="noConversion"/>
  </si>
  <si>
    <t>身管寿命</t>
    <phoneticPr fontId="3" type="noConversion"/>
  </si>
  <si>
    <t>身管阻力值</t>
    <phoneticPr fontId="3" type="noConversion"/>
  </si>
  <si>
    <t>穿甲弹垂直存速（炮口）（米/秒）</t>
    <phoneticPr fontId="1" type="noConversion"/>
  </si>
  <si>
    <t>穿甲弹垂直存速（5000米）（米/秒）</t>
    <phoneticPr fontId="1" type="noConversion"/>
  </si>
  <si>
    <t>穿甲弹垂直存速（10000米）（米/秒）</t>
    <phoneticPr fontId="1" type="noConversion"/>
  </si>
  <si>
    <t>穿甲弹垂直存速（15000米）（米/秒）</t>
    <phoneticPr fontId="1" type="noConversion"/>
  </si>
  <si>
    <t>穿甲弹垂直存速（20000米）（米/秒）</t>
    <phoneticPr fontId="1" type="noConversion"/>
  </si>
  <si>
    <t>穿甲弹垂直存速（25000米）（米/秒）</t>
    <phoneticPr fontId="1" type="noConversion"/>
  </si>
  <si>
    <t>穿甲弹垂直存速（30000米）（米/秒）</t>
    <phoneticPr fontId="1" type="noConversion"/>
  </si>
  <si>
    <t>穿甲弹垂直存速（35000米）（米/秒）</t>
    <phoneticPr fontId="1" type="noConversion"/>
  </si>
  <si>
    <t>穿甲弹垂直存速（40000米）（米/秒）</t>
    <phoneticPr fontId="1" type="noConversion"/>
  </si>
  <si>
    <t>防鱼雷空舱厚度（毫米）</t>
    <phoneticPr fontId="1" type="noConversion"/>
  </si>
  <si>
    <t>防雷隔舱钢板厚度（毫米）</t>
    <phoneticPr fontId="1" type="noConversion"/>
  </si>
  <si>
    <t>防鱼雷隔舱层数</t>
    <phoneticPr fontId="1" type="noConversion"/>
  </si>
  <si>
    <t>最大储备浮力</t>
    <phoneticPr fontId="1" type="noConversion"/>
  </si>
  <si>
    <t>火力评分</t>
    <phoneticPr fontId="1" type="noConversion"/>
  </si>
  <si>
    <t>主机重量比</t>
    <phoneticPr fontId="1" type="noConversion"/>
  </si>
  <si>
    <t>横向最大水密舱数量</t>
    <phoneticPr fontId="1" type="noConversion"/>
  </si>
  <si>
    <t>纵向最大水密舱数量</t>
    <phoneticPr fontId="1" type="noConversion"/>
  </si>
  <si>
    <t>水密舱数量</t>
    <phoneticPr fontId="1" type="noConversion"/>
  </si>
  <si>
    <t>平均耗油量（海里/吨/16节）</t>
    <phoneticPr fontId="1" type="noConversion"/>
  </si>
  <si>
    <t>方形系数</t>
    <phoneticPr fontId="1" type="noConversion"/>
  </si>
  <si>
    <t>弹药库区长度（米）</t>
    <phoneticPr fontId="1" type="noConversion"/>
  </si>
  <si>
    <t>主机区长度（米）</t>
    <phoneticPr fontId="1" type="noConversion"/>
  </si>
  <si>
    <t>弹药库区水平装甲重量（吨）</t>
    <phoneticPr fontId="1" type="noConversion"/>
  </si>
  <si>
    <t>主机区水平装甲重量（吨）</t>
    <phoneticPr fontId="1" type="noConversion"/>
  </si>
  <si>
    <t>弹药库区主装甲带重量（吨）</t>
    <phoneticPr fontId="1" type="noConversion"/>
  </si>
  <si>
    <t>主机区主装甲带重量（吨）</t>
    <phoneticPr fontId="1" type="noConversion"/>
  </si>
  <si>
    <t>弹药库区水下装甲重量（吨）</t>
    <phoneticPr fontId="1" type="noConversion"/>
  </si>
  <si>
    <t>主机区水下装甲重量（吨）</t>
    <phoneticPr fontId="1" type="noConversion"/>
  </si>
  <si>
    <t>水平装甲总重（吨）</t>
    <phoneticPr fontId="1" type="noConversion"/>
  </si>
  <si>
    <t>主装甲带总重（吨）</t>
    <phoneticPr fontId="1" type="noConversion"/>
  </si>
  <si>
    <t>水下装甲总重（吨）</t>
    <phoneticPr fontId="1" type="noConversion"/>
  </si>
  <si>
    <t>侧舷水线主装甲带厚度（主机区）（毫米）</t>
    <phoneticPr fontId="1" type="noConversion"/>
  </si>
  <si>
    <t>侧舷水线主装甲带厚度（弹药库区）（毫米）</t>
    <phoneticPr fontId="1" type="noConversion"/>
  </si>
  <si>
    <t>主水平装甲厚度（主机区）（毫米）</t>
    <phoneticPr fontId="1" type="noConversion"/>
  </si>
  <si>
    <t>主水平装甲厚度（弹药库区）（毫米）</t>
    <phoneticPr fontId="1" type="noConversion"/>
  </si>
  <si>
    <t>Type</t>
    <phoneticPr fontId="1" type="noConversion"/>
  </si>
  <si>
    <t>Class</t>
    <phoneticPr fontId="1" type="noConversion"/>
  </si>
  <si>
    <t>Number</t>
    <phoneticPr fontId="1" type="noConversion"/>
  </si>
  <si>
    <t>Disp-design</t>
    <phoneticPr fontId="1" type="noConversion"/>
  </si>
  <si>
    <t>Disp-std</t>
    <phoneticPr fontId="1" type="noConversion"/>
  </si>
  <si>
    <t>Disp-full</t>
    <phoneticPr fontId="1" type="noConversion"/>
  </si>
  <si>
    <t>Disp-light</t>
    <phoneticPr fontId="1" type="noConversion"/>
  </si>
  <si>
    <t>Length</t>
    <phoneticPr fontId="1" type="noConversion"/>
  </si>
  <si>
    <t>Length-water</t>
    <phoneticPr fontId="1" type="noConversion"/>
  </si>
  <si>
    <t>Width</t>
    <phoneticPr fontId="1" type="noConversion"/>
  </si>
  <si>
    <t>Width-water</t>
    <phoneticPr fontId="1" type="noConversion"/>
  </si>
  <si>
    <t>水下装甲厚度（主机区）（毫米）</t>
    <phoneticPr fontId="1" type="noConversion"/>
  </si>
  <si>
    <t>水下装甲厚度（弹药库区）（毫米）</t>
    <phoneticPr fontId="1" type="noConversion"/>
  </si>
  <si>
    <t>主装甲带与上甲板距离（米）</t>
    <phoneticPr fontId="1" type="noConversion"/>
  </si>
  <si>
    <t>主炮组数</t>
    <phoneticPr fontId="1" type="noConversion"/>
  </si>
  <si>
    <t>纵向隔断装甲重量（吨）</t>
    <phoneticPr fontId="1" type="noConversion"/>
  </si>
  <si>
    <t>纵向隔断装甲厚度（毫米）</t>
    <phoneticPr fontId="1" type="noConversion"/>
  </si>
  <si>
    <t>穹甲角度</t>
    <phoneticPr fontId="1" type="noConversion"/>
  </si>
  <si>
    <t>倾斜穹甲厚度（主机区）（毫米）</t>
    <phoneticPr fontId="1" type="noConversion"/>
  </si>
  <si>
    <t>倾斜穹甲厚度（弹药库区）（毫米）</t>
    <phoneticPr fontId="1" type="noConversion"/>
  </si>
  <si>
    <t>弹药库区倾斜穹甲重量（吨）</t>
    <phoneticPr fontId="1" type="noConversion"/>
  </si>
  <si>
    <t>主机区倾斜穹甲重量（吨）</t>
    <phoneticPr fontId="1" type="noConversion"/>
  </si>
  <si>
    <t>穹甲顶与主装甲带顶距离（米）</t>
    <phoneticPr fontId="1" type="noConversion"/>
  </si>
  <si>
    <t>倾斜穹甲占用宽度（米）</t>
    <phoneticPr fontId="1" type="noConversion"/>
  </si>
  <si>
    <t>倾斜穹甲钢材宽度（米）</t>
    <phoneticPr fontId="1" type="noConversion"/>
  </si>
  <si>
    <t>水平装甲宽度（米）</t>
    <phoneticPr fontId="1" type="noConversion"/>
  </si>
  <si>
    <t>倾斜穹甲总重（吨）</t>
    <phoneticPr fontId="1" type="noConversion"/>
  </si>
  <si>
    <t>其他装甲总重（吨）</t>
    <phoneticPr fontId="1" type="noConversion"/>
  </si>
  <si>
    <t>上部装甲总重（吨）</t>
    <phoneticPr fontId="1" type="noConversion"/>
  </si>
  <si>
    <t>舵机舱垂直装甲厚度（毫米）</t>
    <phoneticPr fontId="1" type="noConversion"/>
  </si>
  <si>
    <t>舵机舱水平装甲厚度（毫米）</t>
    <phoneticPr fontId="1" type="noConversion"/>
  </si>
  <si>
    <t>装甲区高度（米）</t>
    <phoneticPr fontId="1" type="noConversion"/>
  </si>
  <si>
    <t>主机排数</t>
    <phoneticPr fontId="1" type="noConversion"/>
  </si>
  <si>
    <t>每排主机数量</t>
    <phoneticPr fontId="1" type="noConversion"/>
  </si>
  <si>
    <t>单台主机长度（米）</t>
    <phoneticPr fontId="1" type="noConversion"/>
  </si>
  <si>
    <t>单台主机宽度（米）</t>
    <phoneticPr fontId="1" type="noConversion"/>
  </si>
  <si>
    <t>单台主机高度（米）</t>
    <phoneticPr fontId="1" type="noConversion"/>
  </si>
  <si>
    <t>主机区实际宽度（米）</t>
    <phoneticPr fontId="1" type="noConversion"/>
  </si>
  <si>
    <t>主机区剩余长度（米）</t>
    <phoneticPr fontId="1" type="noConversion"/>
  </si>
  <si>
    <t>主机区总长（米）</t>
    <phoneticPr fontId="1" type="noConversion"/>
  </si>
  <si>
    <t>Draft-full</t>
    <phoneticPr fontId="1" type="noConversion"/>
  </si>
  <si>
    <t>Moduled-depth</t>
    <phoneticPr fontId="1" type="noConversion"/>
  </si>
  <si>
    <t>满载干舷高（米）</t>
    <phoneticPr fontId="1" type="noConversion"/>
  </si>
  <si>
    <t>Freeboard</t>
    <phoneticPr fontId="1" type="noConversion"/>
  </si>
  <si>
    <t>Speed</t>
    <phoneticPr fontId="1" type="noConversion"/>
  </si>
  <si>
    <t>Turrets</t>
    <phoneticPr fontId="1" type="noConversion"/>
  </si>
  <si>
    <t>Turrets-group</t>
    <phoneticPr fontId="1" type="noConversion"/>
  </si>
  <si>
    <t>Mount</t>
    <phoneticPr fontId="1" type="noConversion"/>
  </si>
  <si>
    <t>AP-mass</t>
    <phoneticPr fontId="1" type="noConversion"/>
  </si>
  <si>
    <t>AP-resist</t>
    <phoneticPr fontId="1" type="noConversion"/>
  </si>
  <si>
    <t>Elevation</t>
    <phoneticPr fontId="1" type="noConversion"/>
  </si>
  <si>
    <t>Firing-rate</t>
    <phoneticPr fontId="1" type="noConversion"/>
  </si>
  <si>
    <t>Caliber</t>
    <phoneticPr fontId="1" type="noConversion"/>
  </si>
  <si>
    <t>Belt-engine</t>
    <phoneticPr fontId="1" type="noConversion"/>
  </si>
  <si>
    <t>Belt-magazine</t>
    <phoneticPr fontId="1" type="noConversion"/>
  </si>
  <si>
    <t>Belt-angle</t>
    <phoneticPr fontId="1" type="noConversion"/>
  </si>
  <si>
    <t>Belt-steel</t>
    <phoneticPr fontId="1" type="noConversion"/>
  </si>
  <si>
    <t>Belt-outer</t>
    <phoneticPr fontId="1" type="noConversion"/>
  </si>
  <si>
    <t>Belt-inner</t>
    <phoneticPr fontId="1" type="noConversion"/>
  </si>
  <si>
    <t>Tower</t>
    <phoneticPr fontId="1" type="noConversion"/>
  </si>
  <si>
    <t>Deck-outer</t>
    <phoneticPr fontId="1" type="noConversion"/>
  </si>
  <si>
    <t>Deck-engine</t>
    <phoneticPr fontId="1" type="noConversion"/>
  </si>
  <si>
    <t>Deck-magazine</t>
    <phoneticPr fontId="1" type="noConversion"/>
  </si>
  <si>
    <t>Deck-inner</t>
    <phoneticPr fontId="1" type="noConversion"/>
  </si>
  <si>
    <t>Dome-angle</t>
    <phoneticPr fontId="1" type="noConversion"/>
  </si>
  <si>
    <t>Dome-engine</t>
    <phoneticPr fontId="1" type="noConversion"/>
  </si>
  <si>
    <t>Dome-magazine</t>
    <phoneticPr fontId="1" type="noConversion"/>
  </si>
  <si>
    <t>Dome-height</t>
    <phoneticPr fontId="1" type="noConversion"/>
  </si>
  <si>
    <t>Deck-width</t>
    <phoneticPr fontId="1" type="noConversion"/>
  </si>
  <si>
    <t>Deck-steel</t>
    <phoneticPr fontId="1" type="noConversion"/>
  </si>
  <si>
    <t>Belt-upper</t>
    <phoneticPr fontId="1" type="noConversion"/>
  </si>
  <si>
    <t>Underwater-engine</t>
    <phoneticPr fontId="1" type="noConversion"/>
  </si>
  <si>
    <t>Underwater-magazine</t>
    <phoneticPr fontId="1" type="noConversion"/>
  </si>
  <si>
    <t>Underwater-steel</t>
    <phoneticPr fontId="1" type="noConversion"/>
  </si>
  <si>
    <t>TDS-layers</t>
    <phoneticPr fontId="1" type="noConversion"/>
  </si>
  <si>
    <t>TDS-space</t>
    <phoneticPr fontId="1" type="noConversion"/>
  </si>
  <si>
    <t>Hull-layers</t>
    <phoneticPr fontId="1" type="noConversion"/>
  </si>
  <si>
    <t>Belt-length</t>
    <phoneticPr fontId="1" type="noConversion"/>
  </si>
  <si>
    <t>艏艉装甲长度（米）</t>
    <phoneticPr fontId="1" type="noConversion"/>
  </si>
  <si>
    <t>艏艉装甲厚度（毫米）</t>
    <phoneticPr fontId="1" type="noConversion"/>
  </si>
  <si>
    <t>艏艉装甲重量（吨）</t>
    <phoneticPr fontId="1" type="noConversion"/>
  </si>
  <si>
    <t>Belt-width</t>
    <phoneticPr fontId="1" type="noConversion"/>
  </si>
  <si>
    <t>Upper-width</t>
    <phoneticPr fontId="1" type="noConversion"/>
  </si>
  <si>
    <t>Underwater-width</t>
    <phoneticPr fontId="1" type="noConversion"/>
  </si>
  <si>
    <t>Belt-below</t>
    <phoneticPr fontId="1" type="noConversion"/>
  </si>
  <si>
    <t>Magazine-length</t>
    <phoneticPr fontId="1" type="noConversion"/>
  </si>
  <si>
    <t>Engine-length</t>
    <phoneticPr fontId="1" type="noConversion"/>
  </si>
  <si>
    <t>Aft</t>
    <phoneticPr fontId="1" type="noConversion"/>
  </si>
  <si>
    <t>Turret-front</t>
    <phoneticPr fontId="1" type="noConversion"/>
  </si>
  <si>
    <t>Turret-side</t>
    <phoneticPr fontId="1" type="noConversion"/>
  </si>
  <si>
    <t>Turret-top</t>
    <phoneticPr fontId="1" type="noConversion"/>
  </si>
  <si>
    <t>Armored-vol</t>
    <phoneticPr fontId="1" type="noConversion"/>
  </si>
  <si>
    <t>Iowa</t>
    <phoneticPr fontId="1" type="noConversion"/>
  </si>
  <si>
    <t>AP-velocity</t>
    <phoneticPr fontId="1" type="noConversion"/>
  </si>
  <si>
    <t>AP-ef</t>
    <phoneticPr fontId="1" type="noConversion"/>
  </si>
  <si>
    <t>Atago</t>
    <phoneticPr fontId="1" type="noConversion"/>
  </si>
  <si>
    <t>战列舰</t>
    <phoneticPr fontId="1" type="noConversion"/>
  </si>
  <si>
    <t>GLBS-26</t>
    <phoneticPr fontId="1" type="noConversion"/>
  </si>
  <si>
    <t>GL</t>
    <phoneticPr fontId="1" type="noConversion"/>
  </si>
  <si>
    <t>长艏楼</t>
    <phoneticPr fontId="1" type="noConversion"/>
  </si>
  <si>
    <t>楼长度（米）</t>
    <phoneticPr fontId="1" type="noConversion"/>
  </si>
  <si>
    <t>穿甲弹质量（磅）</t>
    <phoneticPr fontId="1" type="noConversion"/>
  </si>
  <si>
    <t>76X2</t>
    <phoneticPr fontId="1" type="noConversion"/>
  </si>
  <si>
    <t>单门主炮工时（万）</t>
    <phoneticPr fontId="1" type="noConversion"/>
  </si>
  <si>
    <t>主炮总工时（万）</t>
    <phoneticPr fontId="1" type="noConversion"/>
  </si>
  <si>
    <t>单台主机工时（万）</t>
    <phoneticPr fontId="1" type="noConversion"/>
  </si>
  <si>
    <t>主机总工时（万）</t>
    <phoneticPr fontId="1" type="noConversion"/>
  </si>
  <si>
    <t>主装甲带工时（万）</t>
    <phoneticPr fontId="1" type="noConversion"/>
  </si>
  <si>
    <t>水平装甲工时（万）</t>
    <phoneticPr fontId="1" type="noConversion"/>
  </si>
  <si>
    <t>其他装甲工时（万）</t>
    <phoneticPr fontId="1" type="noConversion"/>
  </si>
  <si>
    <t>船壳工时（万）</t>
    <phoneticPr fontId="1" type="noConversion"/>
  </si>
  <si>
    <t>设备工时（万）</t>
    <phoneticPr fontId="1" type="noConversion"/>
  </si>
  <si>
    <t>/</t>
    <phoneticPr fontId="1" type="noConversion"/>
  </si>
  <si>
    <t>XBC1</t>
    <phoneticPr fontId="1" type="noConversion"/>
  </si>
  <si>
    <t>平甲板</t>
    <phoneticPr fontId="1" type="noConversion"/>
  </si>
  <si>
    <t>主装甲带水线下延申（米）</t>
    <phoneticPr fontId="1" type="noConversion"/>
  </si>
  <si>
    <t>副炮总工时（万）</t>
    <phoneticPr fontId="1" type="noConversion"/>
  </si>
  <si>
    <t>防空炮总工时（万）</t>
    <phoneticPr fontId="1" type="noConversion"/>
  </si>
  <si>
    <t>防鱼雷系统总厚度（毫米）</t>
    <phoneticPr fontId="1" type="noConversion"/>
  </si>
  <si>
    <t>菱形系数</t>
    <phoneticPr fontId="1" type="noConversion"/>
  </si>
  <si>
    <t>中横剖面面积（平方米）</t>
    <phoneticPr fontId="1" type="noConversion"/>
  </si>
  <si>
    <t>总阻力值（标准排水量）</t>
    <phoneticPr fontId="1" type="noConversion"/>
  </si>
  <si>
    <t>总阻力值（满载排水量）</t>
    <phoneticPr fontId="1" type="noConversion"/>
  </si>
  <si>
    <t>建造阻力系数</t>
    <phoneticPr fontId="1" type="noConversion"/>
  </si>
  <si>
    <t>船型阻力系数</t>
    <phoneticPr fontId="1" type="noConversion"/>
  </si>
  <si>
    <t>满载最大航速（节）</t>
    <phoneticPr fontId="1" type="noConversion"/>
  </si>
  <si>
    <t>舷侧远程对空投弹量（千克/分钟）</t>
    <phoneticPr fontId="1" type="noConversion"/>
  </si>
  <si>
    <t>舷侧中程对空投弹量（千克/分钟）</t>
    <phoneticPr fontId="1" type="noConversion"/>
  </si>
  <si>
    <t>舷侧近程对空投弹量（千克/分钟）</t>
    <phoneticPr fontId="1" type="noConversion"/>
  </si>
  <si>
    <t>FBC7</t>
    <phoneticPr fontId="1" type="noConversion"/>
  </si>
  <si>
    <t>楼水密性</t>
    <phoneticPr fontId="1" type="noConversion"/>
  </si>
  <si>
    <t>楼高度（米）</t>
    <phoneticPr fontId="1" type="noConversion"/>
  </si>
  <si>
    <t>楼体积系数</t>
    <phoneticPr fontId="1" type="noConversion"/>
  </si>
  <si>
    <t>艏艉楼</t>
    <phoneticPr fontId="1" type="noConversion"/>
  </si>
  <si>
    <t>主炮总重（吨）</t>
    <phoneticPr fontId="1" type="noConversion"/>
  </si>
  <si>
    <t>副炮总重（吨）</t>
    <phoneticPr fontId="1" type="noConversion"/>
  </si>
  <si>
    <t>防空炮总重（吨）</t>
    <phoneticPr fontId="1" type="noConversion"/>
  </si>
  <si>
    <t>炮盾角度</t>
    <phoneticPr fontId="1" type="noConversion"/>
  </si>
  <si>
    <t>Turret-angle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</si>
</sst>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0.00_ "/>
    <numFmt numFmtId="178" formatCode="0.0_ "/>
    <numFmt numFmtId="179" formatCode="0.00_);[Red]\(0.00\)"/>
    <numFmt numFmtId="180" formatCode="0.0_);[Red]\(0.0\)"/>
    <numFmt numFmtId="181" formatCode="0_);[Red]\(0\)"/>
    <numFmt numFmtId="182" formatCode="0.000_);[Red]\(0.000\)"/>
  </numFmts>
  <fonts count="4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4" borderId="0" xfId="0" applyNumberFormat="1" applyFill="1">
      <alignment vertical="center"/>
    </xf>
    <xf numFmtId="176" fontId="0" fillId="0" borderId="0" xfId="0" applyNumberFormat="1" applyFill="1">
      <alignment vertical="center"/>
    </xf>
    <xf numFmtId="10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0" fontId="2" fillId="4" borderId="0" xfId="0" applyFont="1" applyFill="1">
      <alignment vertical="center"/>
    </xf>
    <xf numFmtId="0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2" fillId="0" borderId="0" xfId="0" applyFont="1" applyFill="1">
      <alignment vertical="center"/>
    </xf>
    <xf numFmtId="177" fontId="2" fillId="0" borderId="0" xfId="0" applyNumberFormat="1" applyFont="1">
      <alignment vertical="center"/>
    </xf>
    <xf numFmtId="0" fontId="0" fillId="0" borderId="0" xfId="0" applyAlignment="1"/>
    <xf numFmtId="176" fontId="0" fillId="0" borderId="0" xfId="0" applyNumberFormat="1" applyAlignment="1"/>
    <xf numFmtId="0" fontId="0" fillId="0" borderId="0" xfId="0" applyFill="1" applyAlignment="1"/>
    <xf numFmtId="177" fontId="0" fillId="0" borderId="0" xfId="0" applyNumberFormat="1" applyFill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NumberFormat="1" applyFont="1" applyFill="1">
      <alignment vertical="center"/>
    </xf>
    <xf numFmtId="0" fontId="0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81" fontId="0" fillId="0" borderId="0" xfId="0" applyNumberFormat="1">
      <alignment vertical="center"/>
    </xf>
    <xf numFmtId="181" fontId="2" fillId="0" borderId="0" xfId="0" applyNumberFormat="1" applyFont="1">
      <alignment vertical="center"/>
    </xf>
    <xf numFmtId="0" fontId="0" fillId="0" borderId="0" xfId="0" applyFont="1" applyAlignment="1"/>
    <xf numFmtId="0" fontId="0" fillId="0" borderId="0" xfId="0" applyNumberFormat="1" applyFont="1">
      <alignment vertical="center"/>
    </xf>
    <xf numFmtId="177" fontId="2" fillId="0" borderId="0" xfId="0" applyNumberFormat="1" applyFont="1" applyAlignment="1"/>
    <xf numFmtId="177" fontId="0" fillId="0" borderId="0" xfId="0" applyNumberFormat="1" applyAlignment="1"/>
    <xf numFmtId="179" fontId="0" fillId="5" borderId="0" xfId="0" applyNumberFormat="1" applyFill="1">
      <alignment vertical="center"/>
    </xf>
    <xf numFmtId="179" fontId="2" fillId="5" borderId="0" xfId="0" applyNumberFormat="1" applyFont="1" applyFill="1">
      <alignment vertical="center"/>
    </xf>
    <xf numFmtId="0" fontId="0" fillId="5" borderId="0" xfId="0" applyFill="1">
      <alignment vertical="center"/>
    </xf>
    <xf numFmtId="0" fontId="2" fillId="5" borderId="0" xfId="0" applyNumberFormat="1" applyFont="1" applyFill="1">
      <alignment vertical="center"/>
    </xf>
    <xf numFmtId="176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77" fontId="2" fillId="5" borderId="0" xfId="0" applyNumberFormat="1" applyFont="1" applyFill="1" applyAlignment="1"/>
    <xf numFmtId="177" fontId="0" fillId="5" borderId="0" xfId="0" applyNumberFormat="1" applyFill="1" applyAlignment="1"/>
    <xf numFmtId="176" fontId="2" fillId="5" borderId="0" xfId="0" applyNumberFormat="1" applyFont="1" applyFill="1">
      <alignment vertical="center"/>
    </xf>
    <xf numFmtId="176" fontId="2" fillId="3" borderId="0" xfId="0" applyNumberFormat="1" applyFont="1" applyFill="1">
      <alignment vertical="center"/>
    </xf>
    <xf numFmtId="182" fontId="0" fillId="0" borderId="0" xfId="0" applyNumberFormat="1" applyFill="1">
      <alignment vertical="center"/>
    </xf>
    <xf numFmtId="182" fontId="2" fillId="0" borderId="0" xfId="0" applyNumberFormat="1" applyFont="1" applyFill="1">
      <alignment vertical="center"/>
    </xf>
    <xf numFmtId="177" fontId="2" fillId="2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8"/>
  <sheetViews>
    <sheetView tabSelected="1" zoomScaleSheetLayoutView="100" workbookViewId="0">
      <pane ySplit="4" topLeftCell="A290" activePane="bottomLeft" state="frozen"/>
      <selection pane="bottomLeft" activeCell="C295" sqref="C295"/>
    </sheetView>
  </sheetViews>
  <sheetFormatPr defaultColWidth="9" defaultRowHeight="15.6" x14ac:dyDescent="0.25"/>
  <cols>
    <col min="1" max="1" width="20.796875" customWidth="1"/>
    <col min="2" max="2" width="45.69921875" customWidth="1"/>
    <col min="3" max="7" width="11.59765625" customWidth="1"/>
  </cols>
  <sheetData>
    <row r="1" spans="1:8" x14ac:dyDescent="0.25">
      <c r="A1" s="18"/>
      <c r="B1" t="s">
        <v>0</v>
      </c>
    </row>
    <row r="2" spans="1:8" x14ac:dyDescent="0.25">
      <c r="A2" s="18" t="s">
        <v>367</v>
      </c>
      <c r="B2" t="s">
        <v>1</v>
      </c>
      <c r="C2" t="s">
        <v>2</v>
      </c>
      <c r="D2" s="18" t="s">
        <v>463</v>
      </c>
      <c r="E2" s="18"/>
      <c r="F2" s="18"/>
      <c r="G2" s="18"/>
    </row>
    <row r="3" spans="1:8" x14ac:dyDescent="0.25">
      <c r="A3" s="18" t="s">
        <v>369</v>
      </c>
      <c r="B3" t="s">
        <v>3</v>
      </c>
      <c r="C3" t="s">
        <v>7</v>
      </c>
      <c r="D3" s="18" t="s">
        <v>464</v>
      </c>
      <c r="E3" s="18" t="s">
        <v>480</v>
      </c>
      <c r="F3" s="18" t="s">
        <v>496</v>
      </c>
      <c r="G3" s="18" t="s">
        <v>459</v>
      </c>
      <c r="H3" s="18" t="s">
        <v>462</v>
      </c>
    </row>
    <row r="4" spans="1:8" x14ac:dyDescent="0.25">
      <c r="A4" s="18" t="s">
        <v>368</v>
      </c>
      <c r="B4" t="s">
        <v>8</v>
      </c>
      <c r="C4" t="s">
        <v>7</v>
      </c>
      <c r="E4" s="18" t="s">
        <v>480</v>
      </c>
      <c r="F4" s="18" t="s">
        <v>496</v>
      </c>
      <c r="G4" s="18"/>
    </row>
    <row r="5" spans="1:8" x14ac:dyDescent="0.25">
      <c r="B5" t="s">
        <v>9</v>
      </c>
      <c r="C5" t="s">
        <v>10</v>
      </c>
      <c r="D5" s="18" t="s">
        <v>465</v>
      </c>
      <c r="E5" s="18"/>
      <c r="F5" s="18"/>
      <c r="G5" s="18"/>
    </row>
    <row r="6" spans="1:8" x14ac:dyDescent="0.25">
      <c r="B6" t="s">
        <v>11</v>
      </c>
    </row>
    <row r="7" spans="1:8" x14ac:dyDescent="0.25">
      <c r="B7" t="s">
        <v>12</v>
      </c>
    </row>
    <row r="8" spans="1:8" s="3" customFormat="1" x14ac:dyDescent="0.25">
      <c r="B8" s="3" t="s">
        <v>13</v>
      </c>
      <c r="C8" s="1">
        <f>SUM(C87,C127,C223,C224,C305:C307,C330,C331)</f>
        <v>815.70756654338948</v>
      </c>
      <c r="D8" s="1">
        <f>SUM(D87,D127,D223,D224,D305:D307,D330,D331)</f>
        <v>1367.2117677555996</v>
      </c>
      <c r="E8" s="1">
        <f>SUM(E87,E127,E223,E224,E305:E307,E330,E331)</f>
        <v>908.70116743811309</v>
      </c>
      <c r="F8" s="1">
        <f>SUM(F87,F127,F223,F224,F305:F307,F330,F331)</f>
        <v>1486.0963252271742</v>
      </c>
    </row>
    <row r="9" spans="1:8" s="3" customFormat="1" x14ac:dyDescent="0.25">
      <c r="B9" s="3" t="s">
        <v>14</v>
      </c>
      <c r="C9" s="3">
        <v>10.8</v>
      </c>
      <c r="D9" s="3">
        <v>9.1999999999999993</v>
      </c>
      <c r="E9" s="3">
        <v>10.199999999999999</v>
      </c>
      <c r="F9" s="3">
        <v>12.5</v>
      </c>
    </row>
    <row r="10" spans="1:8" s="3" customFormat="1" x14ac:dyDescent="0.25">
      <c r="B10" s="3" t="s">
        <v>15</v>
      </c>
      <c r="C10" s="1">
        <f t="shared" ref="C10:D10" si="0">C8*C9</f>
        <v>8809.6417186686067</v>
      </c>
      <c r="D10" s="1">
        <f t="shared" si="0"/>
        <v>12578.348263351516</v>
      </c>
      <c r="E10" s="1">
        <f t="shared" ref="E10:F10" si="1">E8*E9</f>
        <v>9268.7519078687528</v>
      </c>
      <c r="F10" s="1">
        <f t="shared" si="1"/>
        <v>18576.20406533968</v>
      </c>
      <c r="G10" s="1"/>
    </row>
    <row r="11" spans="1:8" s="3" customFormat="1" x14ac:dyDescent="0.25">
      <c r="B11" s="3" t="s">
        <v>16</v>
      </c>
      <c r="C11" s="1">
        <f t="shared" ref="C11:D11" si="2">C10/C13*10000</f>
        <v>2336.2754595569868</v>
      </c>
      <c r="D11" s="1">
        <f t="shared" si="2"/>
        <v>2593.1976807059809</v>
      </c>
      <c r="E11" s="1">
        <f t="shared" ref="E11:F11" si="3">E10/E13*10000</f>
        <v>2899.4533231553287</v>
      </c>
      <c r="F11" s="1">
        <f t="shared" si="3"/>
        <v>3766.796975449744</v>
      </c>
      <c r="G11" s="1"/>
    </row>
    <row r="12" spans="1:8" x14ac:dyDescent="0.25">
      <c r="A12" s="18" t="s">
        <v>370</v>
      </c>
      <c r="B12" t="s">
        <v>17</v>
      </c>
      <c r="C12">
        <v>38600</v>
      </c>
      <c r="D12">
        <v>48000</v>
      </c>
      <c r="E12">
        <v>31000</v>
      </c>
      <c r="F12">
        <v>50000</v>
      </c>
    </row>
    <row r="13" spans="1:8" x14ac:dyDescent="0.25">
      <c r="A13" s="18" t="s">
        <v>371</v>
      </c>
      <c r="B13" t="s">
        <v>18</v>
      </c>
      <c r="C13" s="1">
        <f>C348+C347+C344+C339</f>
        <v>37708.060848009438</v>
      </c>
      <c r="D13" s="1">
        <f>D348+D347+D344+D339</f>
        <v>48505.165483285273</v>
      </c>
      <c r="E13" s="1">
        <f>E348+E347+E344+E339</f>
        <v>31967.239595987143</v>
      </c>
      <c r="F13" s="1">
        <f>F348+F347+F344+F339</f>
        <v>49315.649838339748</v>
      </c>
      <c r="G13" s="1"/>
    </row>
    <row r="14" spans="1:8" x14ac:dyDescent="0.25">
      <c r="A14" s="18" t="s">
        <v>372</v>
      </c>
      <c r="B14" t="s">
        <v>19</v>
      </c>
      <c r="C14" s="1">
        <f>C44+C54+C66+C70</f>
        <v>43688.558125000003</v>
      </c>
      <c r="D14" s="1">
        <f>D44+D54+D66+D70</f>
        <v>64126.295562500003</v>
      </c>
      <c r="E14" s="1">
        <f>E44+E54+E66+E70</f>
        <v>34825.265625</v>
      </c>
      <c r="F14" s="1">
        <f>F44+F54+F66+F70</f>
        <v>59200.875</v>
      </c>
      <c r="G14" s="1"/>
    </row>
    <row r="15" spans="1:8" x14ac:dyDescent="0.25">
      <c r="A15" s="18" t="s">
        <v>373</v>
      </c>
      <c r="B15" t="s">
        <v>20</v>
      </c>
      <c r="C15" s="1">
        <f>C348</f>
        <v>35776.156848009436</v>
      </c>
      <c r="D15" s="1">
        <f>D348</f>
        <v>46013.97548328527</v>
      </c>
      <c r="E15" s="1">
        <f>E348</f>
        <v>30427.639595987144</v>
      </c>
      <c r="F15" s="1">
        <f>F348</f>
        <v>45460.074338339742</v>
      </c>
      <c r="G15" s="1"/>
    </row>
    <row r="16" spans="1:8" x14ac:dyDescent="0.25">
      <c r="A16" s="18" t="s">
        <v>374</v>
      </c>
      <c r="B16" t="s">
        <v>21</v>
      </c>
      <c r="C16">
        <v>242.5</v>
      </c>
      <c r="D16">
        <v>262.39999999999998</v>
      </c>
      <c r="E16">
        <v>252</v>
      </c>
      <c r="F16">
        <v>411</v>
      </c>
    </row>
    <row r="17" spans="1:7" x14ac:dyDescent="0.25">
      <c r="A17" s="18" t="s">
        <v>375</v>
      </c>
      <c r="B17" t="s">
        <v>22</v>
      </c>
      <c r="C17">
        <f>C37+C45+C55</f>
        <v>239.9</v>
      </c>
      <c r="D17">
        <f>D37+D45+D55</f>
        <v>255.75</v>
      </c>
      <c r="E17">
        <f>E37+E45+E55</f>
        <v>250.75</v>
      </c>
      <c r="F17">
        <f>F37+F45+F55</f>
        <v>405</v>
      </c>
    </row>
    <row r="18" spans="1:7" x14ac:dyDescent="0.25">
      <c r="A18" s="18" t="s">
        <v>376</v>
      </c>
      <c r="B18" t="s">
        <v>23</v>
      </c>
      <c r="C18">
        <v>33</v>
      </c>
      <c r="D18">
        <v>33.5</v>
      </c>
      <c r="E18">
        <v>27.5</v>
      </c>
      <c r="F18">
        <v>28</v>
      </c>
    </row>
    <row r="19" spans="1:7" x14ac:dyDescent="0.25">
      <c r="A19" s="18" t="s">
        <v>377</v>
      </c>
      <c r="B19" t="s">
        <v>24</v>
      </c>
      <c r="C19">
        <f>C38</f>
        <v>32.299999999999997</v>
      </c>
      <c r="D19">
        <f>D38</f>
        <v>32.1</v>
      </c>
      <c r="E19">
        <f>E38</f>
        <v>27</v>
      </c>
      <c r="F19">
        <f>F38</f>
        <v>27</v>
      </c>
    </row>
    <row r="20" spans="1:7" x14ac:dyDescent="0.25">
      <c r="A20" s="18" t="s">
        <v>408</v>
      </c>
      <c r="B20" t="s">
        <v>25</v>
      </c>
      <c r="C20">
        <v>14.9</v>
      </c>
      <c r="D20">
        <v>14.9</v>
      </c>
      <c r="E20">
        <v>12</v>
      </c>
      <c r="F20">
        <v>9</v>
      </c>
    </row>
    <row r="21" spans="1:7" x14ac:dyDescent="0.25">
      <c r="B21" t="s">
        <v>26</v>
      </c>
      <c r="C21" s="5">
        <f>(C13/C14)^C90*C23</f>
        <v>8.1075247582400625</v>
      </c>
      <c r="D21" s="5">
        <f>(D13/D14)^D90*D23</f>
        <v>9.9073995617887931</v>
      </c>
      <c r="E21" s="5">
        <f>(E13/E14)^E90*E23</f>
        <v>7.0722079247936911</v>
      </c>
      <c r="F21" s="5">
        <f>(F13/F14)^F90*F23</f>
        <v>6.2758407962202911</v>
      </c>
      <c r="G21" s="5"/>
    </row>
    <row r="22" spans="1:7" x14ac:dyDescent="0.25">
      <c r="B22" t="s">
        <v>27</v>
      </c>
      <c r="C22" s="5">
        <f t="shared" ref="C22:D22" si="4">C20-C21</f>
        <v>6.7924752417599379</v>
      </c>
      <c r="D22" s="5">
        <f t="shared" si="4"/>
        <v>4.9926004382112072</v>
      </c>
      <c r="E22" s="5">
        <f t="shared" ref="E22:F22" si="5">E20-E21</f>
        <v>4.9277920752063089</v>
      </c>
      <c r="F22" s="5">
        <f t="shared" si="5"/>
        <v>2.7241592037797089</v>
      </c>
      <c r="G22" s="5"/>
    </row>
    <row r="23" spans="1:7" x14ac:dyDescent="0.25">
      <c r="A23" s="18" t="s">
        <v>407</v>
      </c>
      <c r="B23" t="s">
        <v>28</v>
      </c>
      <c r="C23">
        <f>SUM(C33:C36,C69)</f>
        <v>8.9</v>
      </c>
      <c r="D23">
        <f t="shared" ref="D23:F23" si="6">SUM(D33:D36,D69)</f>
        <v>11.9</v>
      </c>
      <c r="E23">
        <f t="shared" si="6"/>
        <v>7.5</v>
      </c>
      <c r="F23">
        <f t="shared" si="6"/>
        <v>7.2</v>
      </c>
    </row>
    <row r="24" spans="1:7" x14ac:dyDescent="0.25">
      <c r="A24" s="18" t="s">
        <v>410</v>
      </c>
      <c r="B24" s="18" t="s">
        <v>409</v>
      </c>
      <c r="C24">
        <f>C20-C23</f>
        <v>6</v>
      </c>
      <c r="D24">
        <f>D20-D23</f>
        <v>3</v>
      </c>
      <c r="E24">
        <f>E20-E23</f>
        <v>4.5</v>
      </c>
      <c r="F24">
        <f>F20-F23</f>
        <v>1.7999999999999998</v>
      </c>
    </row>
    <row r="25" spans="1:7" x14ac:dyDescent="0.25">
      <c r="B25" t="s">
        <v>29</v>
      </c>
      <c r="C25">
        <v>53.9</v>
      </c>
      <c r="D25">
        <v>50.26</v>
      </c>
      <c r="E25">
        <v>50</v>
      </c>
      <c r="F25">
        <v>48</v>
      </c>
    </row>
    <row r="26" spans="1:7" x14ac:dyDescent="0.25">
      <c r="B26" t="s">
        <v>30</v>
      </c>
      <c r="C26">
        <v>52.7</v>
      </c>
      <c r="D26">
        <v>41.4</v>
      </c>
      <c r="E26">
        <v>40</v>
      </c>
      <c r="F26">
        <v>39</v>
      </c>
    </row>
    <row r="27" spans="1:7" x14ac:dyDescent="0.25">
      <c r="B27" t="s">
        <v>31</v>
      </c>
      <c r="C27" s="18" t="s">
        <v>481</v>
      </c>
      <c r="D27" s="18" t="s">
        <v>466</v>
      </c>
      <c r="E27" s="18" t="s">
        <v>481</v>
      </c>
      <c r="F27" s="18" t="s">
        <v>500</v>
      </c>
      <c r="G27" s="18"/>
    </row>
    <row r="28" spans="1:7" x14ac:dyDescent="0.25">
      <c r="B28" s="18" t="s">
        <v>467</v>
      </c>
      <c r="C28">
        <v>0</v>
      </c>
      <c r="D28">
        <v>197</v>
      </c>
      <c r="E28">
        <v>0</v>
      </c>
      <c r="F28">
        <v>387</v>
      </c>
      <c r="G28" s="18"/>
    </row>
    <row r="29" spans="1:7" x14ac:dyDescent="0.25">
      <c r="B29" s="18" t="s">
        <v>498</v>
      </c>
      <c r="C29">
        <v>0</v>
      </c>
      <c r="D29">
        <v>3</v>
      </c>
      <c r="E29">
        <v>0</v>
      </c>
      <c r="F29">
        <v>3</v>
      </c>
      <c r="G29" s="18"/>
    </row>
    <row r="30" spans="1:7" x14ac:dyDescent="0.25">
      <c r="B30" s="18" t="s">
        <v>499</v>
      </c>
      <c r="C30">
        <v>0</v>
      </c>
      <c r="D30">
        <v>0.8</v>
      </c>
      <c r="E30">
        <v>0</v>
      </c>
      <c r="F30">
        <v>0.8</v>
      </c>
      <c r="G30" s="18"/>
    </row>
    <row r="31" spans="1:7" x14ac:dyDescent="0.25">
      <c r="B31" s="18" t="s">
        <v>497</v>
      </c>
      <c r="C31">
        <v>0</v>
      </c>
      <c r="D31">
        <v>1</v>
      </c>
      <c r="E31">
        <v>0</v>
      </c>
      <c r="F31">
        <v>1</v>
      </c>
      <c r="G31" s="18"/>
    </row>
    <row r="32" spans="1:7" x14ac:dyDescent="0.25">
      <c r="B32" t="s">
        <v>32</v>
      </c>
      <c r="C32" s="4">
        <f>C17/C19</f>
        <v>7.4272445820433441</v>
      </c>
      <c r="D32" s="4">
        <f>D17/D19</f>
        <v>7.9672897196261676</v>
      </c>
      <c r="E32" s="4">
        <f>E17/E19</f>
        <v>9.2870370370370363</v>
      </c>
      <c r="F32" s="4">
        <f>F17/F19</f>
        <v>15</v>
      </c>
      <c r="G32" s="4"/>
    </row>
    <row r="33" spans="2:7" x14ac:dyDescent="0.25">
      <c r="B33" s="29" t="s">
        <v>292</v>
      </c>
      <c r="C33" s="29">
        <v>1</v>
      </c>
      <c r="D33" s="29">
        <v>3</v>
      </c>
      <c r="E33" s="29">
        <v>1.5</v>
      </c>
      <c r="F33" s="29">
        <v>1.8</v>
      </c>
      <c r="G33" s="33"/>
    </row>
    <row r="34" spans="2:7" x14ac:dyDescent="0.25">
      <c r="B34" s="29" t="s">
        <v>293</v>
      </c>
      <c r="C34" s="29">
        <v>2.5</v>
      </c>
      <c r="D34" s="29">
        <v>2.5</v>
      </c>
      <c r="E34" s="29">
        <v>2</v>
      </c>
      <c r="F34" s="29">
        <v>1.8</v>
      </c>
      <c r="G34" s="33"/>
    </row>
    <row r="35" spans="2:7" x14ac:dyDescent="0.25">
      <c r="B35" s="29" t="s">
        <v>294</v>
      </c>
      <c r="C35" s="29">
        <v>2.5</v>
      </c>
      <c r="D35" s="29">
        <v>2.5</v>
      </c>
      <c r="E35" s="29">
        <v>2</v>
      </c>
      <c r="F35" s="29">
        <v>1.8</v>
      </c>
      <c r="G35" s="33"/>
    </row>
    <row r="36" spans="2:7" x14ac:dyDescent="0.25">
      <c r="B36" s="29" t="s">
        <v>295</v>
      </c>
      <c r="C36" s="29">
        <v>2.5</v>
      </c>
      <c r="D36" s="29">
        <v>2.5</v>
      </c>
      <c r="E36" s="29">
        <v>2</v>
      </c>
      <c r="F36" s="29">
        <v>1.8</v>
      </c>
      <c r="G36" s="33"/>
    </row>
    <row r="37" spans="2:7" x14ac:dyDescent="0.25">
      <c r="B37" s="29" t="s">
        <v>296</v>
      </c>
      <c r="C37" s="29">
        <v>65</v>
      </c>
      <c r="D37" s="29">
        <v>56.6</v>
      </c>
      <c r="E37" s="29">
        <v>72</v>
      </c>
      <c r="F37" s="29">
        <v>162</v>
      </c>
      <c r="G37" s="33"/>
    </row>
    <row r="38" spans="2:7" x14ac:dyDescent="0.25">
      <c r="B38" s="29" t="s">
        <v>297</v>
      </c>
      <c r="C38" s="29">
        <v>32.299999999999997</v>
      </c>
      <c r="D38" s="29">
        <v>32.1</v>
      </c>
      <c r="E38" s="29">
        <v>27</v>
      </c>
      <c r="F38" s="29">
        <v>27</v>
      </c>
      <c r="G38" s="33"/>
    </row>
    <row r="39" spans="2:7" x14ac:dyDescent="0.25">
      <c r="B39" s="29" t="s">
        <v>298</v>
      </c>
      <c r="C39" s="29">
        <v>32.6</v>
      </c>
      <c r="D39" s="29">
        <v>30.5</v>
      </c>
      <c r="E39" s="29">
        <v>27</v>
      </c>
      <c r="F39" s="29">
        <v>27</v>
      </c>
      <c r="G39" s="33"/>
    </row>
    <row r="40" spans="2:7" x14ac:dyDescent="0.25">
      <c r="B40" s="29" t="s">
        <v>299</v>
      </c>
      <c r="C40" s="29">
        <v>32.6</v>
      </c>
      <c r="D40" s="29">
        <v>32</v>
      </c>
      <c r="E40" s="29">
        <v>27</v>
      </c>
      <c r="F40" s="29">
        <v>27</v>
      </c>
      <c r="G40" s="33"/>
    </row>
    <row r="41" spans="2:7" x14ac:dyDescent="0.25">
      <c r="B41" s="29" t="s">
        <v>300</v>
      </c>
      <c r="C41" s="29">
        <v>30.4</v>
      </c>
      <c r="D41" s="29">
        <v>31.5</v>
      </c>
      <c r="E41" s="29">
        <v>27</v>
      </c>
      <c r="F41" s="29">
        <v>27</v>
      </c>
      <c r="G41" s="33"/>
    </row>
    <row r="42" spans="2:7" x14ac:dyDescent="0.25">
      <c r="B42" s="29" t="s">
        <v>319</v>
      </c>
      <c r="C42" s="29">
        <v>24.8</v>
      </c>
      <c r="D42" s="29">
        <v>28</v>
      </c>
      <c r="E42" s="29">
        <v>21</v>
      </c>
      <c r="F42" s="29">
        <v>21</v>
      </c>
      <c r="G42" s="33"/>
    </row>
    <row r="43" spans="2:7" x14ac:dyDescent="0.25">
      <c r="B43" s="29" t="s">
        <v>301</v>
      </c>
      <c r="C43" s="29">
        <v>0</v>
      </c>
      <c r="D43" s="29">
        <v>0</v>
      </c>
      <c r="E43" s="29">
        <v>0</v>
      </c>
      <c r="F43" s="29">
        <v>0</v>
      </c>
      <c r="G43" s="33"/>
    </row>
    <row r="44" spans="2:7" x14ac:dyDescent="0.25">
      <c r="B44" s="30" t="s">
        <v>302</v>
      </c>
      <c r="C44" s="30">
        <f>((C38+C39)/2*C33+(C39+C40)/2*C34+(C40+C41)/2*C35+(C41+C42)/2*C36)*C37*(1+C43)</f>
        <v>17010.5</v>
      </c>
      <c r="D44" s="30">
        <f>((D38+D39)/2*D33+(D39+D40)/2*D34+(D40+D41)/2*D35+(D41+D42)/2*D36)*D37*(1+D43)</f>
        <v>18438.864999999998</v>
      </c>
      <c r="E44" s="30">
        <f>((E38+E39)/2*E33+(E39+E40)/2*E34+(E40+E41)/2*E35+(E41+E42)/2*E36)*E37*(1+E43)</f>
        <v>14148</v>
      </c>
      <c r="F44" s="30">
        <f>((F38+F39)/2*F33+(F39+F40)/2*F34+(F40+F41)/2*F35+(F41+F42)/2*F36)*F37*(1+F43)</f>
        <v>30618</v>
      </c>
      <c r="G44" s="30"/>
    </row>
    <row r="45" spans="2:7" x14ac:dyDescent="0.25">
      <c r="B45" s="29" t="s">
        <v>303</v>
      </c>
      <c r="C45" s="29">
        <v>100</v>
      </c>
      <c r="D45" s="29">
        <v>108.8</v>
      </c>
      <c r="E45" s="29">
        <v>103.75</v>
      </c>
      <c r="F45" s="29">
        <v>162</v>
      </c>
      <c r="G45" s="33"/>
    </row>
    <row r="46" spans="2:7" x14ac:dyDescent="0.25">
      <c r="B46" s="29" t="s">
        <v>304</v>
      </c>
      <c r="C46" s="29">
        <v>100.8</v>
      </c>
      <c r="D46" s="29">
        <v>107.8</v>
      </c>
      <c r="E46" s="29">
        <v>103</v>
      </c>
      <c r="F46" s="29">
        <v>162</v>
      </c>
      <c r="G46" s="33"/>
    </row>
    <row r="47" spans="2:7" s="26" customFormat="1" x14ac:dyDescent="0.25">
      <c r="B47" s="29" t="s">
        <v>305</v>
      </c>
      <c r="C47" s="29">
        <v>102.25</v>
      </c>
      <c r="D47" s="29">
        <v>107</v>
      </c>
      <c r="E47" s="29">
        <v>103</v>
      </c>
      <c r="F47" s="29">
        <v>162</v>
      </c>
      <c r="G47" s="33"/>
    </row>
    <row r="48" spans="2:7" s="32" customFormat="1" x14ac:dyDescent="0.25">
      <c r="B48" s="31" t="s">
        <v>320</v>
      </c>
      <c r="C48" s="31">
        <v>18.34</v>
      </c>
      <c r="D48" s="31">
        <v>20.95</v>
      </c>
      <c r="E48" s="31">
        <v>16.5</v>
      </c>
      <c r="F48" s="31">
        <v>15</v>
      </c>
      <c r="G48" s="34"/>
    </row>
    <row r="49" spans="2:7" x14ac:dyDescent="0.25">
      <c r="B49" s="29" t="s">
        <v>321</v>
      </c>
      <c r="C49" s="29">
        <v>17.54</v>
      </c>
      <c r="D49" s="31">
        <v>18.59</v>
      </c>
      <c r="E49" s="31">
        <v>15</v>
      </c>
      <c r="F49" s="31">
        <v>13.5</v>
      </c>
      <c r="G49" s="34"/>
    </row>
    <row r="50" spans="2:7" x14ac:dyDescent="0.25">
      <c r="B50" s="29" t="s">
        <v>322</v>
      </c>
      <c r="C50" s="29">
        <v>16.54</v>
      </c>
      <c r="D50" s="31">
        <v>18.09</v>
      </c>
      <c r="E50" s="31">
        <v>13.5</v>
      </c>
      <c r="F50" s="31">
        <v>12</v>
      </c>
      <c r="G50" s="34"/>
    </row>
    <row r="51" spans="2:7" s="4" customFormat="1" x14ac:dyDescent="0.25">
      <c r="B51" s="29" t="s">
        <v>306</v>
      </c>
      <c r="C51" s="29">
        <v>15.54</v>
      </c>
      <c r="D51" s="31">
        <v>16.29</v>
      </c>
      <c r="E51" s="31">
        <v>12</v>
      </c>
      <c r="F51" s="31">
        <v>10.5</v>
      </c>
      <c r="G51" s="34"/>
    </row>
    <row r="52" spans="2:7" s="4" customFormat="1" x14ac:dyDescent="0.25">
      <c r="B52" s="29" t="s">
        <v>307</v>
      </c>
      <c r="C52" s="29">
        <v>12.44</v>
      </c>
      <c r="D52" s="31">
        <v>13.09</v>
      </c>
      <c r="E52" s="31">
        <v>10.5</v>
      </c>
      <c r="F52" s="31">
        <v>9</v>
      </c>
      <c r="G52" s="34"/>
    </row>
    <row r="53" spans="2:7" s="11" customFormat="1" x14ac:dyDescent="0.25">
      <c r="B53" s="31" t="s">
        <v>301</v>
      </c>
      <c r="C53" s="31">
        <v>0</v>
      </c>
      <c r="D53" s="31">
        <v>0</v>
      </c>
      <c r="E53" s="31">
        <v>0</v>
      </c>
      <c r="F53" s="31">
        <v>0</v>
      </c>
      <c r="G53" s="34"/>
    </row>
    <row r="54" spans="2:7" x14ac:dyDescent="0.25">
      <c r="B54" s="30" t="s">
        <v>308</v>
      </c>
      <c r="C54" s="30">
        <f>((((C38+C39)/2+(C48+C49)/2)*C45/4+(C48+C49)/2*C45/4)*C33+(((C39+C40)/2+(C49+C50)/2)*C46/4+(C49+C50)/2*C46/4)*C34+(((C40+C41)/2+(C50+C51)/2)*C46/4+(C50+C51)/2*C46/4)*C35+(((C41+C42)/2+(C51+C52)/2)*C47/4+(C51+C52)/2*C47/4)*C36)*(1+C53)</f>
        <v>13466.539375</v>
      </c>
      <c r="D54" s="30">
        <f>((((D38+D39)/2+(D48+D49)/2)*D45/4+(D48+D49)/2*D45/4)*D33+(((D39+D40)/2+(D49+D50)/2)*D46/4+(D49+D50)/2*D46/4)*D34+(((D40+D41)/2+(D50+D51)/2)*D46/4+(D50+D51)/2*D46/4)*D35+(((D41+D42)/2+(D51+D52)/2)*D47/4+(D51+D52)/2*D47/4)*D36)*(1+D53)</f>
        <v>18767.15525</v>
      </c>
      <c r="E54" s="30">
        <f>((((E38+E39)/2+(E48+E49)/2)*E45/4+(E48+E49)/2*E45/4)*E33+(((E39+E40)/2+(E49+E50)/2)*E46/4+(E49+E50)/2*E46/4)*E34+(((E40+E41)/2+(E50+E51)/2)*E46/4+(E50+E51)/2*E46/4)*E35+(((E41+E42)/2+(E51+E52)/2)*E47/4+(E51+E52)/2*E47/4)*E36)*(1+E53)</f>
        <v>10232.765625</v>
      </c>
      <c r="F54" s="30">
        <f>((((F38+F39)/2+(F48+F49)/2)*F45/4+(F48+F49)/2*F45/4)*F33+(((F39+F40)/2+(F49+F50)/2)*F46/4+(F49+F50)/2*F46/4)*F34+(((F40+F41)/2+(F50+F51)/2)*F46/4+(F50+F51)/2*F46/4)*F35+(((F41+F42)/2+(F51+F52)/2)*F47/4+(F51+F52)/2*F47/4)*F36)*(1+F53)</f>
        <v>14652.9</v>
      </c>
      <c r="G54" s="30"/>
    </row>
    <row r="55" spans="2:7" x14ac:dyDescent="0.25">
      <c r="B55" s="29" t="s">
        <v>324</v>
      </c>
      <c r="C55" s="29">
        <v>74.900000000000006</v>
      </c>
      <c r="D55" s="31">
        <v>90.35</v>
      </c>
      <c r="E55" s="31">
        <v>75</v>
      </c>
      <c r="F55" s="31">
        <v>81</v>
      </c>
      <c r="G55" s="34"/>
    </row>
    <row r="56" spans="2:7" x14ac:dyDescent="0.25">
      <c r="B56" s="29" t="s">
        <v>309</v>
      </c>
      <c r="C56" s="29">
        <v>74.8</v>
      </c>
      <c r="D56" s="31">
        <v>87.85</v>
      </c>
      <c r="E56" s="31">
        <v>75</v>
      </c>
      <c r="F56" s="31">
        <v>81</v>
      </c>
      <c r="G56" s="34"/>
    </row>
    <row r="57" spans="2:7" x14ac:dyDescent="0.25">
      <c r="B57" s="29" t="s">
        <v>325</v>
      </c>
      <c r="C57" s="29">
        <v>49.16</v>
      </c>
      <c r="D57" s="31">
        <v>57.6</v>
      </c>
      <c r="E57" s="31">
        <v>64.5</v>
      </c>
      <c r="F57" s="31">
        <v>75</v>
      </c>
      <c r="G57" s="34"/>
    </row>
    <row r="58" spans="2:7" x14ac:dyDescent="0.25">
      <c r="B58" s="29" t="s">
        <v>310</v>
      </c>
      <c r="C58" s="29">
        <v>44.12</v>
      </c>
      <c r="D58" s="31">
        <v>52.76</v>
      </c>
      <c r="E58" s="31">
        <v>54</v>
      </c>
      <c r="F58" s="31">
        <v>67.5</v>
      </c>
      <c r="G58" s="34"/>
    </row>
    <row r="59" spans="2:7" x14ac:dyDescent="0.25">
      <c r="B59" s="29" t="s">
        <v>311</v>
      </c>
      <c r="C59" s="29">
        <v>40.08</v>
      </c>
      <c r="D59" s="31">
        <v>49.25</v>
      </c>
      <c r="E59" s="31">
        <v>51</v>
      </c>
      <c r="F59" s="31">
        <v>60</v>
      </c>
      <c r="G59" s="34"/>
    </row>
    <row r="60" spans="2:7" x14ac:dyDescent="0.25">
      <c r="B60" s="29" t="s">
        <v>312</v>
      </c>
      <c r="C60" s="29">
        <v>23.9</v>
      </c>
      <c r="D60" s="31">
        <v>24.8</v>
      </c>
      <c r="E60" s="31">
        <v>16.5</v>
      </c>
      <c r="F60" s="31">
        <v>21</v>
      </c>
      <c r="G60" s="34"/>
    </row>
    <row r="61" spans="2:7" x14ac:dyDescent="0.25">
      <c r="B61" s="29" t="s">
        <v>326</v>
      </c>
      <c r="C61" s="29">
        <v>23.4</v>
      </c>
      <c r="D61" s="31">
        <v>23.8</v>
      </c>
      <c r="E61" s="31">
        <v>15</v>
      </c>
      <c r="F61" s="31">
        <v>18</v>
      </c>
      <c r="G61" s="34"/>
    </row>
    <row r="62" spans="2:7" x14ac:dyDescent="0.25">
      <c r="B62" s="29" t="s">
        <v>313</v>
      </c>
      <c r="C62" s="29">
        <v>16.399999999999999</v>
      </c>
      <c r="D62" s="31">
        <v>17.8</v>
      </c>
      <c r="E62" s="31">
        <v>12</v>
      </c>
      <c r="F62" s="31">
        <v>15</v>
      </c>
      <c r="G62" s="34"/>
    </row>
    <row r="63" spans="2:7" x14ac:dyDescent="0.25">
      <c r="B63" s="29" t="s">
        <v>327</v>
      </c>
      <c r="C63" s="29">
        <v>14.2</v>
      </c>
      <c r="D63" s="31">
        <v>15.8</v>
      </c>
      <c r="E63" s="31">
        <v>10.5</v>
      </c>
      <c r="F63" s="31">
        <v>15</v>
      </c>
      <c r="G63" s="34"/>
    </row>
    <row r="64" spans="2:7" x14ac:dyDescent="0.25">
      <c r="B64" s="29" t="s">
        <v>314</v>
      </c>
      <c r="C64" s="29">
        <v>9.4</v>
      </c>
      <c r="D64" s="31">
        <v>12.3</v>
      </c>
      <c r="E64" s="31">
        <v>9</v>
      </c>
      <c r="F64" s="31">
        <v>15</v>
      </c>
      <c r="G64" s="34"/>
    </row>
    <row r="65" spans="2:7" x14ac:dyDescent="0.25">
      <c r="B65" s="29" t="s">
        <v>323</v>
      </c>
      <c r="C65" s="29">
        <v>0</v>
      </c>
      <c r="D65" s="31">
        <v>0</v>
      </c>
      <c r="E65" s="31">
        <v>0</v>
      </c>
      <c r="F65" s="31">
        <v>0</v>
      </c>
      <c r="G65" s="34"/>
    </row>
    <row r="66" spans="2:7" x14ac:dyDescent="0.25">
      <c r="B66" s="30" t="s">
        <v>315</v>
      </c>
      <c r="C66" s="30">
        <f>((((C38+C39)/2+(C60+C61)/2)*(C55+C56)/4+(C60+C61)/2*(C55+C56)/4)*C33+((C39+C40)/2+((C61+C62)/2)*(C56+C57)/4+(C61+C62)/2*(C56+C57)/4)*C34+(((C40+C41)/2+(C62+C63)/2)*(C57+C58)/4+(C62+C63)/2*(C57+C58)/4)*C35+(((C41+C42)/2+(C63+C64)/2)*(C58+C59)/4+(C63+C64)/2*(C58+C59)/4)*C36)*(1+C65)</f>
        <v>12464.47875</v>
      </c>
      <c r="D66" s="30">
        <f>((((D38+D39)/2+(D60+D61)/2)*(D55+D56)/4+(D60+D61)/2*(D55+D56)/4)*D33+((D39+D40)/2+((D61+D62)/2)*(D56+D57)/4+(D61+D62)/2*(D56+D57)/4)*D34+(((D40+D41)/2+(D62+D63)/2)*(D57+D58)/4+(D62+D63)/2*(D57+D58)/4)*D35+(((D41+D42)/2+(D63+D64)/2)*(D58+D59)/4+(D63+D64)/2*(D58+D59)/4)*D36)*(1+D65)</f>
        <v>22734.275312499998</v>
      </c>
      <c r="E66" s="30">
        <f>((((E38+E39)/2+(E60+E61)/2)*(E55+E56)/4+(E60+E61)/2*(E55+E56)/4)*E33+((E39+E40)/2+((E61+E62)/2)*(E56+E57)/4+(E61+E62)/2*(E56+E57)/4)*E34+(((E40+E41)/2+(E62+E63)/2)*(E57+E58)/4+(E62+E63)/2*(E57+E58)/4)*E35+(((E41+E42)/2+(E63+E64)/2)*(E58+E59)/4+(E63+E64)/2*(E58+E59)/4)*E36)*(1+E65)</f>
        <v>10444.5</v>
      </c>
      <c r="F66" s="30">
        <f>((((F38+F39)/2+(F60+F61)/2)*(F55+F56)/4+(F60+F61)/2*(F55+F56)/4)*F33+((F39+F40)/2+((F61+F62)/2)*(F56+F57)/4+(F61+F62)/2*(F56+F57)/4)*F34+(((F40+F41)/2+(F62+F63)/2)*(F57+F58)/4+(F62+F63)/2*(F57+F58)/4)*F35+(((F41+F42)/2+(F63+F64)/2)*(F58+F59)/4+(F63+F64)/2*(F58+F59)/4)*F36)*(1+F65)</f>
        <v>13929.975</v>
      </c>
      <c r="G66" s="30"/>
    </row>
    <row r="67" spans="2:7" x14ac:dyDescent="0.25">
      <c r="B67" s="29" t="s">
        <v>316</v>
      </c>
      <c r="C67" s="29">
        <v>80.5</v>
      </c>
      <c r="D67" s="29">
        <v>130</v>
      </c>
      <c r="E67" s="31">
        <v>0</v>
      </c>
      <c r="F67" s="31">
        <v>0</v>
      </c>
      <c r="G67" s="29"/>
    </row>
    <row r="68" spans="2:7" x14ac:dyDescent="0.25">
      <c r="B68" s="29" t="s">
        <v>317</v>
      </c>
      <c r="C68" s="29">
        <v>23.2</v>
      </c>
      <c r="D68" s="29">
        <v>23</v>
      </c>
      <c r="E68" s="31">
        <v>0</v>
      </c>
      <c r="F68" s="31">
        <v>0</v>
      </c>
      <c r="G68" s="29"/>
    </row>
    <row r="69" spans="2:7" x14ac:dyDescent="0.25">
      <c r="B69" s="29" t="s">
        <v>328</v>
      </c>
      <c r="C69" s="29">
        <v>0.4</v>
      </c>
      <c r="D69" s="29">
        <v>1.4</v>
      </c>
      <c r="E69" s="31">
        <v>0</v>
      </c>
      <c r="F69" s="31">
        <v>0</v>
      </c>
      <c r="G69" s="29"/>
    </row>
    <row r="70" spans="2:7" x14ac:dyDescent="0.25">
      <c r="B70" s="30" t="s">
        <v>318</v>
      </c>
      <c r="C70" s="30">
        <f>C67*C68*C69</f>
        <v>747.04</v>
      </c>
      <c r="D70" s="30">
        <f>D67*D68*D69</f>
        <v>4186</v>
      </c>
      <c r="E70" s="30">
        <f>E67*E68*E69</f>
        <v>0</v>
      </c>
      <c r="F70" s="30">
        <f>F67*F68*F69</f>
        <v>0</v>
      </c>
      <c r="G70" s="30"/>
    </row>
    <row r="71" spans="2:7" x14ac:dyDescent="0.25">
      <c r="B71" t="s">
        <v>33</v>
      </c>
      <c r="C71" t="s">
        <v>34</v>
      </c>
      <c r="G71" s="18"/>
    </row>
    <row r="72" spans="2:7" x14ac:dyDescent="0.25">
      <c r="B72" s="40" t="s">
        <v>399</v>
      </c>
      <c r="C72" s="29">
        <v>4</v>
      </c>
      <c r="D72" s="29">
        <v>6</v>
      </c>
      <c r="E72" s="31">
        <v>8</v>
      </c>
      <c r="F72" s="31">
        <v>10</v>
      </c>
      <c r="G72" s="18"/>
    </row>
    <row r="73" spans="2:7" x14ac:dyDescent="0.25">
      <c r="B73" s="40" t="s">
        <v>400</v>
      </c>
      <c r="C73" s="29">
        <v>2</v>
      </c>
      <c r="D73" s="29">
        <v>2</v>
      </c>
      <c r="E73" s="29">
        <v>2</v>
      </c>
      <c r="F73" s="29">
        <v>2</v>
      </c>
      <c r="G73" s="18"/>
    </row>
    <row r="74" spans="2:7" x14ac:dyDescent="0.25">
      <c r="B74" t="s">
        <v>36</v>
      </c>
      <c r="C74">
        <f>C72*C73</f>
        <v>8</v>
      </c>
      <c r="D74">
        <f>D72*D73</f>
        <v>12</v>
      </c>
      <c r="E74">
        <f>E72*E73</f>
        <v>16</v>
      </c>
      <c r="F74">
        <f>F72*F73</f>
        <v>20</v>
      </c>
    </row>
    <row r="75" spans="2:7" x14ac:dyDescent="0.25">
      <c r="B75" s="18" t="s">
        <v>398</v>
      </c>
      <c r="C75">
        <f>C20-C272-C244-C260*0.3</f>
        <v>9</v>
      </c>
      <c r="D75">
        <f>D20-D272-D244-D260*0.3</f>
        <v>13.5</v>
      </c>
      <c r="E75">
        <f>E20-E272-E244-E260*0.3</f>
        <v>8.9</v>
      </c>
      <c r="F75">
        <f>F20-F272-F244-F260*0.3</f>
        <v>8.4</v>
      </c>
    </row>
    <row r="76" spans="2:7" s="4" customFormat="1" x14ac:dyDescent="0.25">
      <c r="B76" s="28" t="s">
        <v>404</v>
      </c>
      <c r="C76" s="4">
        <f>C40-C262/500</f>
        <v>29.0732</v>
      </c>
      <c r="D76" s="4">
        <f t="shared" ref="D76:E76" si="7">D40-D262/500</f>
        <v>22.771799999999999</v>
      </c>
      <c r="E76" s="4">
        <f t="shared" si="7"/>
        <v>22.7714</v>
      </c>
      <c r="F76" s="4">
        <f t="shared" ref="F76" si="8">F40-F262/500</f>
        <v>24.273199999999999</v>
      </c>
    </row>
    <row r="77" spans="2:7" x14ac:dyDescent="0.25">
      <c r="B77" s="18" t="s">
        <v>401</v>
      </c>
      <c r="C77">
        <v>10.5</v>
      </c>
      <c r="D77">
        <v>12</v>
      </c>
      <c r="E77">
        <v>13.5</v>
      </c>
      <c r="F77">
        <v>10.199999999999999</v>
      </c>
    </row>
    <row r="78" spans="2:7" x14ac:dyDescent="0.25">
      <c r="B78" s="18" t="s">
        <v>402</v>
      </c>
      <c r="C78">
        <v>12.5</v>
      </c>
      <c r="D78">
        <v>10.5</v>
      </c>
      <c r="E78">
        <v>10.5</v>
      </c>
      <c r="F78">
        <v>11.8</v>
      </c>
    </row>
    <row r="79" spans="2:7" x14ac:dyDescent="0.25">
      <c r="B79" s="18" t="s">
        <v>403</v>
      </c>
      <c r="C79">
        <v>8.5</v>
      </c>
      <c r="D79">
        <v>12.5</v>
      </c>
      <c r="E79">
        <v>8</v>
      </c>
      <c r="F79">
        <v>8</v>
      </c>
    </row>
    <row r="80" spans="2:7" s="1" customFormat="1" x14ac:dyDescent="0.25">
      <c r="B80" s="1" t="s">
        <v>37</v>
      </c>
      <c r="C80" s="1">
        <f>C77*C78*C79/2.5</f>
        <v>446.25</v>
      </c>
      <c r="D80" s="1">
        <f>D77*D78*D79/2.5</f>
        <v>630</v>
      </c>
      <c r="E80" s="1">
        <f>E77*E78*E79/2.5</f>
        <v>453.6</v>
      </c>
      <c r="F80" s="1">
        <f>F77*F78*F79/2.5</f>
        <v>385.15199999999999</v>
      </c>
    </row>
    <row r="81" spans="2:7" x14ac:dyDescent="0.25">
      <c r="B81" s="18" t="s">
        <v>406</v>
      </c>
      <c r="C81">
        <f>C77*C72</f>
        <v>42</v>
      </c>
      <c r="D81">
        <f>D77*D72</f>
        <v>72</v>
      </c>
      <c r="E81">
        <f>E77*E72</f>
        <v>108</v>
      </c>
      <c r="F81">
        <f>F77*F72</f>
        <v>102</v>
      </c>
    </row>
    <row r="82" spans="2:7" s="24" customFormat="1" x14ac:dyDescent="0.25">
      <c r="B82" s="23" t="s">
        <v>405</v>
      </c>
      <c r="C82" s="24">
        <f>C276-C81</f>
        <v>4.7000000000000028</v>
      </c>
      <c r="D82" s="24">
        <f>D276-D81</f>
        <v>4</v>
      </c>
      <c r="E82" s="24">
        <f>E276-E81</f>
        <v>7.8000000000000114</v>
      </c>
      <c r="F82" s="24">
        <f>F276-F81</f>
        <v>4.7999999999999972</v>
      </c>
    </row>
    <row r="83" spans="2:7" x14ac:dyDescent="0.25">
      <c r="B83" s="18" t="s">
        <v>346</v>
      </c>
      <c r="C83">
        <v>22.5</v>
      </c>
      <c r="D83">
        <v>25</v>
      </c>
      <c r="E83">
        <v>25.5</v>
      </c>
      <c r="F83">
        <v>25.5</v>
      </c>
    </row>
    <row r="84" spans="2:7" s="1" customFormat="1" x14ac:dyDescent="0.25">
      <c r="B84" s="1" t="s">
        <v>35</v>
      </c>
      <c r="C84" s="1">
        <f>C80*C83</f>
        <v>10040.625</v>
      </c>
      <c r="D84" s="1">
        <f>D80*D83</f>
        <v>15750</v>
      </c>
      <c r="E84" s="1">
        <f>E80*E83</f>
        <v>11566.800000000001</v>
      </c>
      <c r="F84" s="1">
        <f>F80*F83</f>
        <v>9821.3760000000002</v>
      </c>
    </row>
    <row r="85" spans="2:7" s="1" customFormat="1" x14ac:dyDescent="0.25">
      <c r="B85" s="1" t="s">
        <v>38</v>
      </c>
      <c r="C85" s="1">
        <f>C84*C74</f>
        <v>80325</v>
      </c>
      <c r="D85" s="1">
        <f>D84*D74</f>
        <v>189000</v>
      </c>
      <c r="E85" s="1">
        <f>E84*E74</f>
        <v>185068.80000000002</v>
      </c>
      <c r="F85" s="1">
        <f>F84*F74</f>
        <v>196427.52000000002</v>
      </c>
    </row>
    <row r="86" spans="2:7" s="1" customFormat="1" x14ac:dyDescent="0.25">
      <c r="B86" s="19" t="s">
        <v>472</v>
      </c>
      <c r="C86" s="1">
        <f>C80*C83/600</f>
        <v>16.734375</v>
      </c>
      <c r="D86" s="1">
        <f>D80*D83/600</f>
        <v>26.25</v>
      </c>
      <c r="E86" s="1">
        <f>E80*E83/600</f>
        <v>19.278000000000002</v>
      </c>
      <c r="F86" s="1">
        <f>F80*F83/600</f>
        <v>16.368960000000001</v>
      </c>
    </row>
    <row r="87" spans="2:7" s="48" customFormat="1" x14ac:dyDescent="0.25">
      <c r="B87" s="52" t="s">
        <v>473</v>
      </c>
      <c r="C87" s="48">
        <f>C86*C74</f>
        <v>133.875</v>
      </c>
      <c r="D87" s="48">
        <f>D86*D74</f>
        <v>315</v>
      </c>
      <c r="E87" s="48">
        <f>E86*E74</f>
        <v>308.44800000000004</v>
      </c>
      <c r="F87" s="48">
        <f>F86*F74</f>
        <v>327.37920000000003</v>
      </c>
    </row>
    <row r="88" spans="2:7" x14ac:dyDescent="0.25">
      <c r="B88" s="18" t="s">
        <v>490</v>
      </c>
      <c r="C88">
        <v>1</v>
      </c>
      <c r="D88">
        <v>1</v>
      </c>
      <c r="E88">
        <v>0.96</v>
      </c>
      <c r="F88">
        <v>0.96</v>
      </c>
    </row>
    <row r="89" spans="2:7" x14ac:dyDescent="0.25">
      <c r="B89" s="19" t="s">
        <v>487</v>
      </c>
      <c r="C89">
        <f>(C38+C39)/2*C33+(C39+C40)/2*C34+(C40+C41)/2*C35+(C41+C42)/2*C36+(C42+C68)/2*C69</f>
        <v>271.3</v>
      </c>
      <c r="D89">
        <f t="shared" ref="D89:E89" si="9">(D38+D39)/2*D33+(D39+D40)/2*D34+(D40+D41)/2*D35+(D41+D42)/2*D36+(D42+D68)/2*D69</f>
        <v>361.47499999999997</v>
      </c>
      <c r="E89">
        <f t="shared" si="9"/>
        <v>196.5</v>
      </c>
      <c r="F89">
        <f t="shared" ref="F89" si="10">(F38+F39)/2*F33+(F39+F40)/2*F34+(F40+F41)/2*F35+(F41+F42)/2*F36+(F42+F68)/2*F69</f>
        <v>189</v>
      </c>
    </row>
    <row r="90" spans="2:7" s="54" customFormat="1" x14ac:dyDescent="0.25">
      <c r="B90" s="54" t="s">
        <v>351</v>
      </c>
      <c r="C90" s="54">
        <f>C14/(C17*C19*C23)</f>
        <v>0.63349754291558247</v>
      </c>
      <c r="D90" s="54">
        <f>D14/(D17*D19*D23)</f>
        <v>0.65639991509709006</v>
      </c>
      <c r="E90" s="54">
        <f>E14/(E17*E19*E23)</f>
        <v>0.68584893467744912</v>
      </c>
      <c r="F90" s="54">
        <f>F14/(F17*F19*F23)</f>
        <v>0.75192901234567899</v>
      </c>
    </row>
    <row r="91" spans="2:7" s="54" customFormat="1" x14ac:dyDescent="0.25">
      <c r="B91" s="55" t="s">
        <v>486</v>
      </c>
      <c r="C91" s="54">
        <f>C14/(C17*C89)</f>
        <v>0.67125521069643379</v>
      </c>
      <c r="D91" s="54">
        <f>D14/(D17*D89)</f>
        <v>0.69365295959039341</v>
      </c>
      <c r="E91" s="54">
        <f>E14/(E17*E89)</f>
        <v>0.70679088688134073</v>
      </c>
      <c r="F91" s="54">
        <f>F14/(F17*F89)</f>
        <v>0.77341269841269844</v>
      </c>
    </row>
    <row r="92" spans="2:7" s="54" customFormat="1" x14ac:dyDescent="0.25">
      <c r="B92" s="55" t="s">
        <v>491</v>
      </c>
      <c r="C92" s="54">
        <f>C88^2*C90*C91/C32^0.8*10</f>
        <v>0.85500848422256304</v>
      </c>
      <c r="D92" s="54">
        <f t="shared" ref="D92:F92" si="11">D88^2*D90*D91/D32^0.8*10</f>
        <v>0.86549043343691501</v>
      </c>
      <c r="E92" s="54">
        <f t="shared" si="11"/>
        <v>0.75120787781180931</v>
      </c>
      <c r="F92" s="54">
        <f t="shared" si="11"/>
        <v>0.61412616229565886</v>
      </c>
    </row>
    <row r="93" spans="2:7" s="1" customFormat="1" x14ac:dyDescent="0.25">
      <c r="B93" s="18" t="s">
        <v>488</v>
      </c>
      <c r="C93" s="4">
        <f>C92*C13^0.5*0.55</f>
        <v>91.316701000800677</v>
      </c>
      <c r="D93" s="4">
        <f>D92*D13^0.5*0.55</f>
        <v>104.8380553590158</v>
      </c>
      <c r="E93" s="4">
        <f>E92*E13^0.5*0.55</f>
        <v>73.871240354740834</v>
      </c>
      <c r="F93" s="4">
        <f>F92*F13^0.5*0.55</f>
        <v>75.008877909094551</v>
      </c>
      <c r="G93" s="4"/>
    </row>
    <row r="94" spans="2:7" s="1" customFormat="1" x14ac:dyDescent="0.25">
      <c r="B94" s="18" t="s">
        <v>489</v>
      </c>
      <c r="C94" s="4">
        <f>C92*C14^0.5*0.6</f>
        <v>107.22733949301566</v>
      </c>
      <c r="D94" s="4">
        <f>D92*D14^0.5*0.6</f>
        <v>131.50176999589104</v>
      </c>
      <c r="E94" s="4">
        <f>E92*E14^0.5*0.6</f>
        <v>84.112124570354993</v>
      </c>
      <c r="F94" s="4">
        <f>F92*F14^0.5*0.6</f>
        <v>89.654669172142818</v>
      </c>
      <c r="G94" s="4"/>
    </row>
    <row r="95" spans="2:7" x14ac:dyDescent="0.25">
      <c r="B95" s="18" t="s">
        <v>246</v>
      </c>
      <c r="C95" s="4">
        <f>(1.05-C90^2)*C23</f>
        <v>5.7732596817672865</v>
      </c>
      <c r="D95" s="4">
        <f>(1.05-D90^2)*D23</f>
        <v>7.3677559023803427</v>
      </c>
      <c r="E95" s="4">
        <f>(1.05-E90^2)*E23</f>
        <v>4.3470842910135614</v>
      </c>
      <c r="F95" s="4">
        <f>(1.05-F90^2)*F23</f>
        <v>3.4891398748285329</v>
      </c>
      <c r="G95" s="4"/>
    </row>
    <row r="96" spans="2:7" x14ac:dyDescent="0.25">
      <c r="B96" s="18" t="s">
        <v>251</v>
      </c>
      <c r="C96" s="4" t="e">
        <f>C254*C271*0.00785*(C95/2)+C328/C16*C95*2+C326/C16*C95/C20*2+(C339+C340)/C16*(C95-C260/3)/2+(#REF!/1000*((C295*3.14*C118/20)*C108+#REF!/1000*C74*C80/100*3)*7.85)*C95/3/C16</f>
        <v>#REF!</v>
      </c>
      <c r="D96" s="4" t="e">
        <f>D254*D271*0.00785*(D95/2)+D328/D16*D95*2+D326/D16*D95/D20*2+(D339+D340)/D16*(D95-D260/3)/2+(#REF!/1000*((D295*3.14*D118/20)*D108+#REF!/1000*D74*D80/100*3)*7.85)*D95/3/D16</f>
        <v>#REF!</v>
      </c>
      <c r="E96" s="4" t="e">
        <f>E254*E271*0.00785*(E95/2)+E328/E16*E95*2+E326/E16*E95/E20*2+(E339+E340)/E16*(E95-E260/3)/2+(#REF!/1000*((E295*3.14*E118/20)*E108+#REF!/1000*E74*E80/100*3)*7.85)*E95/3/E16</f>
        <v>#REF!</v>
      </c>
      <c r="F96" s="4" t="e">
        <f>F254*F271*0.00785*(F95/2)+F328/F16*F95*2+F326/F16*F95/F20*2+(F339+F340)/F16*(F95-F260/3)/2+(#REF!/1000*((F295*3.14*F118/20)*F108+#REF!/1000*F74*F80/100*3)*7.85)*F95/3/F16</f>
        <v>#REF!</v>
      </c>
      <c r="G96" s="4"/>
    </row>
    <row r="97" spans="1:7" x14ac:dyDescent="0.25">
      <c r="B97" s="18" t="s">
        <v>252</v>
      </c>
      <c r="C97" s="4">
        <f>(C327+C234*180*0.00785)/C16*(C26-C95)/3+C302*(C334+C20-C95)/C16+C338/C16*(C20-C95)/10+(C238+C237)*C19/C16*0.00785*(C21-C95)</f>
        <v>175.21062149374993</v>
      </c>
      <c r="D97" s="4">
        <f>(D327+D234*180*0.00785)/D16*(D26-D95)/3+D302*(D334+D20-D95)/D16+D338/D16*(D20-D95)/10+(D238+D237)*D19/D16*0.00785*(D21-D95)</f>
        <v>127.24597717298028</v>
      </c>
      <c r="E97" s="4">
        <f>(E327+E234*180*0.00785)/E16*(E26-E95)/3+E302*(E334+E20-E95)/E16+E338/E16*(E20-E95)/10+(E238+E237)*E19/E16*0.00785*(E21-E95)</f>
        <v>61.399638733799804</v>
      </c>
      <c r="F97" s="4">
        <f>(F327+F234*180*0.00785)/F16*(F26-F95)/3+F302*(F334+F20-F95)/F16+F338/F16*(F20-F95)/10+(F238+F237)*F19/F16*0.00785*(F21-F95)</f>
        <v>76.429492028648042</v>
      </c>
      <c r="G97" s="4"/>
    </row>
    <row r="98" spans="1:7" x14ac:dyDescent="0.25">
      <c r="B98" s="18" t="s">
        <v>253</v>
      </c>
      <c r="C98" s="4" t="e">
        <f>(C96-C97)/C13*50000</f>
        <v>#REF!</v>
      </c>
      <c r="D98" s="4" t="e">
        <f>(D96-D97)/D13*50000</f>
        <v>#REF!</v>
      </c>
      <c r="E98" s="4" t="e">
        <f>(E96-E97)/E13*50000</f>
        <v>#REF!</v>
      </c>
      <c r="F98" s="4" t="e">
        <f>(F96-F97)/F13*50000</f>
        <v>#REF!</v>
      </c>
      <c r="G98" s="4"/>
    </row>
    <row r="99" spans="1:7" x14ac:dyDescent="0.25">
      <c r="B99" s="18" t="s">
        <v>254</v>
      </c>
      <c r="C99" s="4" t="e">
        <f t="shared" ref="C99:D99" si="12">C98/2</f>
        <v>#REF!</v>
      </c>
      <c r="D99" s="4" t="e">
        <f t="shared" si="12"/>
        <v>#REF!</v>
      </c>
      <c r="E99" s="4" t="e">
        <f t="shared" ref="E99:F99" si="13">E98/2</f>
        <v>#REF!</v>
      </c>
      <c r="F99" s="4" t="e">
        <f t="shared" si="13"/>
        <v>#REF!</v>
      </c>
      <c r="G99" s="4"/>
    </row>
    <row r="100" spans="1:7" x14ac:dyDescent="0.25">
      <c r="B100" s="25" t="s">
        <v>255</v>
      </c>
      <c r="C100" s="26" t="e">
        <f>C98*C19/200</f>
        <v>#REF!</v>
      </c>
      <c r="D100" s="26" t="e">
        <f>D98*D19/200</f>
        <v>#REF!</v>
      </c>
      <c r="E100" s="26" t="e">
        <f>E98*E19/200</f>
        <v>#REF!</v>
      </c>
      <c r="F100" s="26" t="e">
        <f>F98*F19/200</f>
        <v>#REF!</v>
      </c>
      <c r="G100" s="26"/>
    </row>
    <row r="101" spans="1:7" x14ac:dyDescent="0.25">
      <c r="A101" s="18" t="s">
        <v>411</v>
      </c>
      <c r="B101" s="6" t="s">
        <v>39</v>
      </c>
      <c r="C101" s="6">
        <f>(C85/C93)^0.36*2.15</f>
        <v>24.682358015812859</v>
      </c>
      <c r="D101" s="6">
        <f>(D85/D93)^0.36*2.15</f>
        <v>31.957874360925313</v>
      </c>
      <c r="E101" s="6">
        <f>(E85/E93)^0.36*2.15</f>
        <v>35.977192863209176</v>
      </c>
      <c r="F101" s="6">
        <f>(F85/F93)^0.36*2.15</f>
        <v>36.55533256071454</v>
      </c>
      <c r="G101" s="6"/>
    </row>
    <row r="102" spans="1:7" x14ac:dyDescent="0.25">
      <c r="A102" s="18"/>
      <c r="B102" s="56" t="s">
        <v>492</v>
      </c>
      <c r="C102" s="6">
        <f>(C85/C94)^0.36*2.15</f>
        <v>23.29564466475847</v>
      </c>
      <c r="D102" s="6">
        <f t="shared" ref="D102:E102" si="14">(D85/D94)^0.36*2.15</f>
        <v>29.454342596921258</v>
      </c>
      <c r="E102" s="6">
        <f t="shared" si="14"/>
        <v>34.334388591519463</v>
      </c>
      <c r="F102" s="6">
        <f t="shared" ref="F102" si="15">(F85/F94)^0.36*2.15</f>
        <v>34.281913244152719</v>
      </c>
      <c r="G102" s="6"/>
    </row>
    <row r="103" spans="1:7" x14ac:dyDescent="0.25">
      <c r="B103" t="s">
        <v>40</v>
      </c>
      <c r="C103" s="1">
        <f>C349</f>
        <v>5730.4972769905671</v>
      </c>
      <c r="D103" s="1">
        <f>D349</f>
        <v>15271.130079214732</v>
      </c>
      <c r="E103" s="1">
        <f>E349</f>
        <v>2508.0260290128558</v>
      </c>
      <c r="F103" s="1">
        <f>F349</f>
        <v>9485.2251616602589</v>
      </c>
      <c r="G103" s="1"/>
    </row>
    <row r="104" spans="1:7" x14ac:dyDescent="0.25">
      <c r="B104" t="s">
        <v>41</v>
      </c>
      <c r="C104" s="1">
        <f>(16/2.15)^(1/0.36)*(C13^0.5*C88/C32^0.3)</f>
        <v>28074.132486170231</v>
      </c>
      <c r="D104" s="1">
        <f>(16/2.15)^(1/0.36)*(D13^0.5*D88/D32^0.3)</f>
        <v>31177.290920790627</v>
      </c>
      <c r="E104" s="1">
        <f>(16/2.15)^(1/0.36)*(E13^0.5*E88/E32^0.3)</f>
        <v>23205.88902346143</v>
      </c>
      <c r="F104" s="1">
        <f>(16/2.15)^(1/0.36)*(F13^0.5*F88/F32^0.3)</f>
        <v>24961.679265954866</v>
      </c>
      <c r="G104" s="1"/>
    </row>
    <row r="105" spans="1:7" x14ac:dyDescent="0.25">
      <c r="B105" s="4" t="s">
        <v>42</v>
      </c>
      <c r="C105" s="4">
        <v>0.88</v>
      </c>
      <c r="D105" s="4">
        <v>0.65</v>
      </c>
      <c r="E105" s="4">
        <v>0.9</v>
      </c>
      <c r="F105" s="4">
        <v>0.75</v>
      </c>
      <c r="G105" s="4"/>
    </row>
    <row r="106" spans="1:7" x14ac:dyDescent="0.25">
      <c r="B106" s="28" t="s">
        <v>350</v>
      </c>
      <c r="C106" s="4">
        <f>C103/C107</f>
        <v>0.63804846559477801</v>
      </c>
      <c r="D106" s="4">
        <f t="shared" ref="D106:F106" si="16">D103/D107</f>
        <v>0.95930125910125008</v>
      </c>
      <c r="E106" s="4">
        <f t="shared" si="16"/>
        <v>0.51568642274358734</v>
      </c>
      <c r="F106" s="4">
        <f t="shared" si="16"/>
        <v>0.66564478042546305</v>
      </c>
      <c r="G106" s="4"/>
    </row>
    <row r="107" spans="1:7" x14ac:dyDescent="0.25">
      <c r="B107" s="7" t="s">
        <v>43</v>
      </c>
      <c r="C107" s="13">
        <f t="shared" ref="C107:E107" si="17">C103/C104*50000*C105</f>
        <v>8981.2883910765213</v>
      </c>
      <c r="D107" s="13">
        <f t="shared" si="17"/>
        <v>15919.013901349348</v>
      </c>
      <c r="E107" s="13">
        <f t="shared" si="17"/>
        <v>4863.4711297410122</v>
      </c>
      <c r="F107" s="13">
        <f t="shared" ref="F107" si="18">F103/F104*50000*F105</f>
        <v>14249.680070498784</v>
      </c>
      <c r="G107" s="13"/>
    </row>
    <row r="108" spans="1:7" x14ac:dyDescent="0.25">
      <c r="A108" s="18" t="s">
        <v>412</v>
      </c>
      <c r="B108" t="s">
        <v>44</v>
      </c>
      <c r="C108">
        <v>6</v>
      </c>
      <c r="D108">
        <v>3</v>
      </c>
      <c r="E108">
        <v>3</v>
      </c>
      <c r="F108">
        <v>6</v>
      </c>
    </row>
    <row r="109" spans="1:7" x14ac:dyDescent="0.25">
      <c r="A109" s="18" t="s">
        <v>413</v>
      </c>
      <c r="B109" s="18" t="s">
        <v>381</v>
      </c>
      <c r="C109">
        <v>3</v>
      </c>
      <c r="D109">
        <v>2</v>
      </c>
      <c r="E109">
        <v>2</v>
      </c>
      <c r="F109">
        <v>3</v>
      </c>
    </row>
    <row r="110" spans="1:7" x14ac:dyDescent="0.25">
      <c r="B110" t="s">
        <v>45</v>
      </c>
      <c r="C110" t="s">
        <v>46</v>
      </c>
    </row>
    <row r="111" spans="1:7" x14ac:dyDescent="0.25">
      <c r="A111" s="18" t="s">
        <v>414</v>
      </c>
      <c r="B111" t="s">
        <v>47</v>
      </c>
      <c r="C111">
        <v>2</v>
      </c>
      <c r="D111">
        <v>3</v>
      </c>
      <c r="E111">
        <v>3</v>
      </c>
      <c r="F111">
        <v>3</v>
      </c>
      <c r="G111" s="3"/>
    </row>
    <row r="112" spans="1:7" x14ac:dyDescent="0.25">
      <c r="B112" t="s">
        <v>48</v>
      </c>
      <c r="C112">
        <f>C108*C111</f>
        <v>12</v>
      </c>
      <c r="D112">
        <f>D108*D111</f>
        <v>9</v>
      </c>
      <c r="E112">
        <f>E108*E111</f>
        <v>9</v>
      </c>
      <c r="F112">
        <f>F108*F111</f>
        <v>18</v>
      </c>
    </row>
    <row r="113" spans="1:8" x14ac:dyDescent="0.25">
      <c r="A113" s="18" t="s">
        <v>419</v>
      </c>
      <c r="B113" t="s">
        <v>49</v>
      </c>
      <c r="C113">
        <v>356</v>
      </c>
      <c r="D113">
        <v>406</v>
      </c>
      <c r="E113">
        <v>305</v>
      </c>
      <c r="F113">
        <v>406</v>
      </c>
      <c r="G113">
        <v>406</v>
      </c>
      <c r="H113">
        <v>203</v>
      </c>
    </row>
    <row r="114" spans="1:8" x14ac:dyDescent="0.25">
      <c r="B114" t="s">
        <v>50</v>
      </c>
      <c r="C114">
        <v>50</v>
      </c>
      <c r="D114">
        <v>50</v>
      </c>
      <c r="E114">
        <v>55</v>
      </c>
      <c r="F114">
        <v>50</v>
      </c>
      <c r="G114">
        <v>50</v>
      </c>
      <c r="H114">
        <v>50</v>
      </c>
    </row>
    <row r="115" spans="1:8" x14ac:dyDescent="0.25">
      <c r="B115" t="s">
        <v>51</v>
      </c>
      <c r="C115" s="17" t="s">
        <v>52</v>
      </c>
      <c r="D115" s="17"/>
      <c r="E115" s="17"/>
      <c r="F115" s="17"/>
      <c r="G115" s="20"/>
    </row>
    <row r="116" spans="1:8" x14ac:dyDescent="0.25">
      <c r="A116" s="18" t="s">
        <v>417</v>
      </c>
      <c r="B116" t="s">
        <v>53</v>
      </c>
      <c r="C116">
        <v>30</v>
      </c>
      <c r="D116">
        <v>40</v>
      </c>
      <c r="E116">
        <v>40</v>
      </c>
      <c r="F116">
        <v>40</v>
      </c>
      <c r="G116">
        <v>40</v>
      </c>
      <c r="H116">
        <v>40</v>
      </c>
    </row>
    <row r="117" spans="1:8" s="24" customFormat="1" x14ac:dyDescent="0.25">
      <c r="A117" s="23" t="s">
        <v>418</v>
      </c>
      <c r="B117" t="s">
        <v>54</v>
      </c>
      <c r="C117">
        <v>2</v>
      </c>
      <c r="D117">
        <v>2</v>
      </c>
      <c r="E117">
        <v>3</v>
      </c>
      <c r="F117">
        <v>2</v>
      </c>
      <c r="G117"/>
    </row>
    <row r="118" spans="1:8" s="24" customFormat="1" x14ac:dyDescent="0.25">
      <c r="B118" t="s">
        <v>55</v>
      </c>
      <c r="C118">
        <v>120</v>
      </c>
      <c r="D118">
        <v>120</v>
      </c>
      <c r="E118">
        <v>150</v>
      </c>
      <c r="F118">
        <v>120</v>
      </c>
      <c r="G118"/>
    </row>
    <row r="119" spans="1:8" s="24" customFormat="1" x14ac:dyDescent="0.25">
      <c r="B119" t="s">
        <v>56</v>
      </c>
      <c r="C119" t="s">
        <v>57</v>
      </c>
      <c r="D119"/>
      <c r="E119"/>
      <c r="F119"/>
      <c r="G119" s="18"/>
    </row>
    <row r="120" spans="1:8" s="24" customFormat="1" x14ac:dyDescent="0.25">
      <c r="A120" s="23" t="s">
        <v>415</v>
      </c>
      <c r="B120" t="s">
        <v>58</v>
      </c>
      <c r="C120">
        <v>693</v>
      </c>
      <c r="D120">
        <v>1135</v>
      </c>
      <c r="E120">
        <v>500</v>
      </c>
      <c r="F120">
        <v>1089</v>
      </c>
      <c r="G120">
        <v>1225</v>
      </c>
      <c r="H120" s="24">
        <v>126</v>
      </c>
    </row>
    <row r="121" spans="1:8" s="38" customFormat="1" x14ac:dyDescent="0.25">
      <c r="A121" s="39"/>
      <c r="B121" s="39" t="s">
        <v>468</v>
      </c>
      <c r="C121" s="38">
        <f>C120/0.454</f>
        <v>1526.431718061674</v>
      </c>
      <c r="D121" s="38">
        <f t="shared" ref="D121:H121" si="19">D120/0.454</f>
        <v>2500</v>
      </c>
      <c r="E121" s="38">
        <f t="shared" si="19"/>
        <v>1101.3215859030836</v>
      </c>
      <c r="F121" s="38">
        <f t="shared" si="19"/>
        <v>2398.6784140969162</v>
      </c>
      <c r="G121" s="38">
        <f t="shared" si="19"/>
        <v>2698.2378854625549</v>
      </c>
      <c r="H121" s="38">
        <f t="shared" si="19"/>
        <v>277.53303964757708</v>
      </c>
    </row>
    <row r="122" spans="1:8" s="24" customFormat="1" x14ac:dyDescent="0.25">
      <c r="B122" t="s">
        <v>59</v>
      </c>
      <c r="C122">
        <v>170</v>
      </c>
      <c r="D122">
        <v>300</v>
      </c>
      <c r="E122">
        <v>125</v>
      </c>
      <c r="F122">
        <v>300</v>
      </c>
      <c r="G122">
        <v>300</v>
      </c>
      <c r="H122" s="24">
        <v>33.799999999999997</v>
      </c>
    </row>
    <row r="123" spans="1:8" s="24" customFormat="1" x14ac:dyDescent="0.25">
      <c r="B123" s="29" t="s">
        <v>331</v>
      </c>
      <c r="C123" s="29">
        <v>1</v>
      </c>
      <c r="D123" s="29">
        <v>1</v>
      </c>
      <c r="E123" s="29">
        <v>1</v>
      </c>
      <c r="F123" s="29">
        <v>1</v>
      </c>
      <c r="G123" s="29">
        <v>1</v>
      </c>
      <c r="H123" s="24">
        <v>1</v>
      </c>
    </row>
    <row r="124" spans="1:8" s="24" customFormat="1" x14ac:dyDescent="0.25">
      <c r="B124" s="29" t="s">
        <v>329</v>
      </c>
      <c r="C124" s="29">
        <v>1</v>
      </c>
      <c r="D124" s="29">
        <v>1</v>
      </c>
      <c r="E124" s="29">
        <v>1</v>
      </c>
      <c r="F124" s="29">
        <v>1</v>
      </c>
      <c r="G124" s="29">
        <v>1</v>
      </c>
      <c r="H124" s="24">
        <v>1</v>
      </c>
    </row>
    <row r="125" spans="1:8" x14ac:dyDescent="0.25">
      <c r="B125" s="29" t="s">
        <v>330</v>
      </c>
      <c r="C125" s="29"/>
      <c r="D125" s="29"/>
      <c r="E125" s="29"/>
      <c r="F125" s="29"/>
      <c r="G125" s="29"/>
    </row>
    <row r="126" spans="1:8" s="4" customFormat="1" x14ac:dyDescent="0.25">
      <c r="B126" s="42" t="s">
        <v>470</v>
      </c>
      <c r="C126" s="43">
        <f>C124*C113^3*C114^1.2*C116/10000000000</f>
        <v>14.799098263789801</v>
      </c>
      <c r="D126" s="43">
        <f t="shared" ref="D126:E126" si="20">D124*D113^3*D114^1.2*D116/10000000000</f>
        <v>29.268609965251507</v>
      </c>
      <c r="E126" s="43">
        <f t="shared" si="20"/>
        <v>13.912165542971088</v>
      </c>
      <c r="F126" s="43">
        <f t="shared" ref="F126" si="21">F124*F113^3*F114^1.2*F116/10000000000</f>
        <v>29.268609965251507</v>
      </c>
      <c r="G126" s="43"/>
    </row>
    <row r="127" spans="1:8" s="49" customFormat="1" x14ac:dyDescent="0.25">
      <c r="B127" s="50" t="s">
        <v>471</v>
      </c>
      <c r="C127" s="51">
        <f>C126*C112</f>
        <v>177.58917916547762</v>
      </c>
      <c r="D127" s="51">
        <f>D126*D112</f>
        <v>263.41748968726358</v>
      </c>
      <c r="E127" s="51">
        <f>E126*E112</f>
        <v>125.20948988673979</v>
      </c>
      <c r="F127" s="51">
        <f>F126*F112</f>
        <v>526.83497937452717</v>
      </c>
      <c r="G127" s="51"/>
    </row>
    <row r="128" spans="1:8" x14ac:dyDescent="0.25">
      <c r="A128" s="18" t="s">
        <v>460</v>
      </c>
      <c r="B128" t="s">
        <v>60</v>
      </c>
      <c r="C128" s="1">
        <f t="shared" ref="C128:H128" si="22">C122/C120*(C114/C123)^0.8*136</f>
        <v>762.83497839536699</v>
      </c>
      <c r="D128" s="1">
        <f t="shared" si="22"/>
        <v>821.94035764911541</v>
      </c>
      <c r="E128" s="1">
        <f t="shared" si="22"/>
        <v>839.01373146737467</v>
      </c>
      <c r="F128" s="1">
        <f t="shared" si="22"/>
        <v>856.65960140656193</v>
      </c>
      <c r="G128" s="1">
        <f t="shared" si="22"/>
        <v>761.55290280142515</v>
      </c>
      <c r="H128" s="1">
        <f t="shared" si="22"/>
        <v>834.18248519822782</v>
      </c>
    </row>
    <row r="129" spans="1:8" x14ac:dyDescent="0.25">
      <c r="B129" t="s">
        <v>61</v>
      </c>
      <c r="C129" s="1">
        <v>1650</v>
      </c>
      <c r="D129" s="1">
        <v>2000</v>
      </c>
      <c r="E129" s="1">
        <v>1500</v>
      </c>
      <c r="F129" s="1">
        <v>2000</v>
      </c>
      <c r="G129" s="1">
        <v>2050</v>
      </c>
      <c r="H129">
        <v>950</v>
      </c>
    </row>
    <row r="130" spans="1:8" x14ac:dyDescent="0.25">
      <c r="B130" t="s">
        <v>62</v>
      </c>
      <c r="C130" s="1">
        <f t="shared" ref="C130:H130" si="23">((C113/2)^2*PI()*(C129*2/3))/1000000</f>
        <v>109.4920437999729</v>
      </c>
      <c r="D130" s="1">
        <f t="shared" si="23"/>
        <v>172.61585554904238</v>
      </c>
      <c r="E130" s="1">
        <f t="shared" si="23"/>
        <v>73.061664150047633</v>
      </c>
      <c r="F130" s="1">
        <f t="shared" si="23"/>
        <v>172.61585554904238</v>
      </c>
      <c r="G130" s="1">
        <f t="shared" si="23"/>
        <v>176.93125193776845</v>
      </c>
      <c r="H130" s="1">
        <f t="shared" si="23"/>
        <v>20.498132846448783</v>
      </c>
    </row>
    <row r="131" spans="1:8" x14ac:dyDescent="0.25">
      <c r="B131" t="s">
        <v>63</v>
      </c>
      <c r="C131" s="4">
        <f t="shared" ref="C131:H131" si="24">C120/C130</f>
        <v>6.3292270008770402</v>
      </c>
      <c r="D131" s="4">
        <f t="shared" si="24"/>
        <v>6.5752940040756105</v>
      </c>
      <c r="E131" s="4">
        <f t="shared" si="24"/>
        <v>6.8435342366845608</v>
      </c>
      <c r="F131" s="4">
        <f t="shared" si="24"/>
        <v>6.3088063175668188</v>
      </c>
      <c r="G131" s="4">
        <f t="shared" si="24"/>
        <v>6.9235931277469618</v>
      </c>
      <c r="H131" s="4">
        <f t="shared" si="24"/>
        <v>6.1469013272508368</v>
      </c>
    </row>
    <row r="132" spans="1:8" x14ac:dyDescent="0.25">
      <c r="B132" t="s">
        <v>64</v>
      </c>
      <c r="C132" s="4">
        <f t="shared" ref="C132:H132" si="25">C120/(C113/2)^3*PI()*10000</f>
        <v>3.8603181645890219</v>
      </c>
      <c r="D132" s="4">
        <f t="shared" si="25"/>
        <v>4.2624335396440793</v>
      </c>
      <c r="E132" s="4">
        <f t="shared" si="25"/>
        <v>4.4290475817303374</v>
      </c>
      <c r="F132" s="4">
        <f t="shared" si="25"/>
        <v>4.0896829292267869</v>
      </c>
      <c r="G132" s="4">
        <f t="shared" si="25"/>
        <v>4.6004238643735658</v>
      </c>
      <c r="H132" s="4">
        <f t="shared" si="25"/>
        <v>3.7854916369702485</v>
      </c>
    </row>
    <row r="133" spans="1:8" x14ac:dyDescent="0.25">
      <c r="A133" s="18" t="s">
        <v>416</v>
      </c>
      <c r="B133" t="s">
        <v>65</v>
      </c>
      <c r="C133" s="4">
        <f t="shared" ref="C133:H133" si="26">(C113^2+C129*4)/10850</f>
        <v>12.289032258064516</v>
      </c>
      <c r="D133" s="4">
        <f t="shared" si="26"/>
        <v>15.929585253456221</v>
      </c>
      <c r="E133" s="4">
        <f t="shared" si="26"/>
        <v>9.1267281105990783</v>
      </c>
      <c r="F133" s="4">
        <f t="shared" si="26"/>
        <v>15.929585253456221</v>
      </c>
      <c r="G133" s="4">
        <f t="shared" si="26"/>
        <v>15.948018433179724</v>
      </c>
      <c r="H133" s="4">
        <f t="shared" si="26"/>
        <v>4.1482949308755757</v>
      </c>
    </row>
    <row r="134" spans="1:8" x14ac:dyDescent="0.25">
      <c r="B134" t="s">
        <v>66</v>
      </c>
      <c r="C134" s="1">
        <f t="shared" ref="C134:H134" si="27">C120*C128*C128/2000</f>
        <v>201634.31127728889</v>
      </c>
      <c r="D134" s="1">
        <f t="shared" si="27"/>
        <v>383395.02749461192</v>
      </c>
      <c r="E134" s="1">
        <f t="shared" si="27"/>
        <v>175986.01039770199</v>
      </c>
      <c r="F134" s="1">
        <f t="shared" si="27"/>
        <v>399589.85877537593</v>
      </c>
      <c r="G134" s="1">
        <f t="shared" si="27"/>
        <v>355227.22955623211</v>
      </c>
      <c r="H134" s="1">
        <f t="shared" si="27"/>
        <v>43839.206372523964</v>
      </c>
    </row>
    <row r="135" spans="1:8" x14ac:dyDescent="0.25">
      <c r="B135" s="8" t="s">
        <v>67</v>
      </c>
      <c r="C135" s="9">
        <f t="shared" ref="C135:H135" si="28">C138^2*SIN(C116*2*PI()/180)/9.8</f>
        <v>31168.174456938366</v>
      </c>
      <c r="D135" s="9">
        <f t="shared" si="28"/>
        <v>47597.847494279427</v>
      </c>
      <c r="E135" s="9">
        <f t="shared" si="28"/>
        <v>44453.820326520065</v>
      </c>
      <c r="F135" s="9">
        <f t="shared" si="28"/>
        <v>51703.896877041661</v>
      </c>
      <c r="G135" s="9">
        <f t="shared" si="28"/>
        <v>40842.428448728489</v>
      </c>
      <c r="H135" s="9">
        <f t="shared" si="28"/>
        <v>27226.535654569165</v>
      </c>
    </row>
    <row r="136" spans="1:8" x14ac:dyDescent="0.25">
      <c r="B136" s="19" t="s">
        <v>332</v>
      </c>
      <c r="C136" s="1">
        <f t="shared" ref="C136:H136" si="29">C128-(C133*0^0.82/C120*4.6)</f>
        <v>762.83497839536699</v>
      </c>
      <c r="D136" s="1">
        <f t="shared" si="29"/>
        <v>821.94035764911541</v>
      </c>
      <c r="E136" s="1">
        <f t="shared" si="29"/>
        <v>839.01373146737467</v>
      </c>
      <c r="F136" s="1">
        <f t="shared" si="29"/>
        <v>856.65960140656193</v>
      </c>
      <c r="G136" s="1">
        <f t="shared" si="29"/>
        <v>761.55290280142515</v>
      </c>
      <c r="H136" s="1">
        <f t="shared" si="29"/>
        <v>834.18248519822782</v>
      </c>
    </row>
    <row r="137" spans="1:8" x14ac:dyDescent="0.25">
      <c r="B137" s="18" t="s">
        <v>333</v>
      </c>
      <c r="C137" s="1">
        <f t="shared" ref="C137:H137" si="30">C128-(C133*5000^0.82/C120*5)</f>
        <v>667.1354367972682</v>
      </c>
      <c r="D137" s="1">
        <f t="shared" si="30"/>
        <v>746.1988379088973</v>
      </c>
      <c r="E137" s="1">
        <f t="shared" si="30"/>
        <v>740.50595494822073</v>
      </c>
      <c r="F137" s="1">
        <f t="shared" si="30"/>
        <v>777.7187153595944</v>
      </c>
      <c r="G137" s="1">
        <f t="shared" si="30"/>
        <v>691.29485987155977</v>
      </c>
      <c r="H137" s="1">
        <f t="shared" si="30"/>
        <v>656.50823613691989</v>
      </c>
    </row>
    <row r="138" spans="1:8" x14ac:dyDescent="0.25">
      <c r="B138" s="18" t="s">
        <v>334</v>
      </c>
      <c r="C138" s="1">
        <f t="shared" ref="C138:H138" si="31">C128-(C133*10000^0.82/C120*5)</f>
        <v>593.88643417079891</v>
      </c>
      <c r="D138" s="1">
        <f t="shared" si="31"/>
        <v>688.22582481251857</v>
      </c>
      <c r="E138" s="1">
        <f t="shared" si="31"/>
        <v>665.10751248459985</v>
      </c>
      <c r="F138" s="1">
        <f t="shared" si="31"/>
        <v>717.29688811956714</v>
      </c>
      <c r="G138" s="1">
        <f t="shared" si="31"/>
        <v>637.51893278600573</v>
      </c>
      <c r="H138" s="1">
        <f t="shared" si="31"/>
        <v>520.51530117801042</v>
      </c>
    </row>
    <row r="139" spans="1:8" x14ac:dyDescent="0.25">
      <c r="B139" s="18" t="s">
        <v>335</v>
      </c>
      <c r="C139" s="1">
        <f t="shared" ref="C139:H139" si="32">C128-(C133*15000^0.82/C120*5)</f>
        <v>527.24908254665115</v>
      </c>
      <c r="D139" s="1">
        <f t="shared" si="32"/>
        <v>635.48561102264921</v>
      </c>
      <c r="E139" s="1">
        <f t="shared" si="32"/>
        <v>596.51473521522337</v>
      </c>
      <c r="F139" s="1">
        <f t="shared" si="32"/>
        <v>662.32889670404654</v>
      </c>
      <c r="G139" s="1">
        <f t="shared" si="32"/>
        <v>588.59696479159561</v>
      </c>
      <c r="H139" s="1">
        <f t="shared" si="32"/>
        <v>396.79745246586998</v>
      </c>
    </row>
    <row r="140" spans="1:8" x14ac:dyDescent="0.25">
      <c r="B140" s="18" t="s">
        <v>336</v>
      </c>
      <c r="C140" s="1">
        <f t="shared" ref="C140:H140" si="33">C128-(C133*20000^0.82/C120*5)</f>
        <v>464.5722059834265</v>
      </c>
      <c r="D140" s="1">
        <f t="shared" si="33"/>
        <v>585.87992008417746</v>
      </c>
      <c r="E140" s="1">
        <f t="shared" si="33"/>
        <v>531.99865032802677</v>
      </c>
      <c r="F140" s="1">
        <f t="shared" si="33"/>
        <v>610.62783222731071</v>
      </c>
      <c r="G140" s="1">
        <f t="shared" si="33"/>
        <v>542.5825888525535</v>
      </c>
      <c r="H140" s="1">
        <f t="shared" si="33"/>
        <v>280.43255885283224</v>
      </c>
    </row>
    <row r="141" spans="1:8" x14ac:dyDescent="0.25">
      <c r="B141" s="18" t="s">
        <v>337</v>
      </c>
      <c r="C141" s="1">
        <f t="shared" ref="C141:H141" si="34">C128-(C133*25000^0.82/C120*5)</f>
        <v>404.68472640293714</v>
      </c>
      <c r="D141" s="1">
        <f t="shared" si="34"/>
        <v>538.4819008137523</v>
      </c>
      <c r="E141" s="1">
        <f t="shared" si="34"/>
        <v>470.3538152922921</v>
      </c>
      <c r="F141" s="1">
        <f t="shared" si="34"/>
        <v>561.22769276731754</v>
      </c>
      <c r="G141" s="1">
        <f t="shared" si="34"/>
        <v>498.6160552509856</v>
      </c>
      <c r="H141" s="1">
        <f t="shared" si="34"/>
        <v>169.24641537762432</v>
      </c>
    </row>
    <row r="142" spans="1:8" x14ac:dyDescent="0.25">
      <c r="B142" s="18" t="s">
        <v>338</v>
      </c>
      <c r="C142" s="1">
        <f t="shared" ref="C142:H142" si="35">C128-(C133*30000^0.82/C120*5)</f>
        <v>346.93022609640792</v>
      </c>
      <c r="D142" s="1">
        <f t="shared" si="35"/>
        <v>492.77203060952218</v>
      </c>
      <c r="E142" s="1">
        <f t="shared" si="35"/>
        <v>410.9045502888743</v>
      </c>
      <c r="F142" s="1">
        <f t="shared" si="35"/>
        <v>513.58701078219246</v>
      </c>
      <c r="G142" s="1">
        <f t="shared" si="35"/>
        <v>456.2154533863507</v>
      </c>
      <c r="H142" s="1">
        <f t="shared" si="35"/>
        <v>62.020327347151124</v>
      </c>
    </row>
    <row r="143" spans="1:8" s="3" customFormat="1" x14ac:dyDescent="0.25">
      <c r="B143" s="18" t="s">
        <v>339</v>
      </c>
      <c r="C143" s="1">
        <f t="shared" ref="C143:H143" si="36">C128-(C133*35000^0.82/C120*5)</f>
        <v>290.8912161582025</v>
      </c>
      <c r="D143" s="1">
        <f t="shared" si="36"/>
        <v>448.41988736434291</v>
      </c>
      <c r="E143" s="1">
        <f t="shared" si="36"/>
        <v>353.22111549740555</v>
      </c>
      <c r="F143" s="1">
        <f t="shared" si="36"/>
        <v>467.36140694079813</v>
      </c>
      <c r="G143" s="1">
        <f t="shared" si="36"/>
        <v>415.07428279934538</v>
      </c>
      <c r="H143" s="1">
        <f t="shared" si="36"/>
        <v>-42.020808510364986</v>
      </c>
    </row>
    <row r="144" spans="1:8" x14ac:dyDescent="0.25">
      <c r="B144" s="18" t="s">
        <v>340</v>
      </c>
      <c r="C144" s="1">
        <f t="shared" ref="C144:H144" si="37">C128-(C133*40000^0.82/C120*5)</f>
        <v>236.28009261541251</v>
      </c>
      <c r="D144" s="1">
        <f t="shared" si="37"/>
        <v>405.1978465606083</v>
      </c>
      <c r="E144" s="1">
        <f t="shared" si="37"/>
        <v>297.00746741113358</v>
      </c>
      <c r="F144" s="1">
        <f t="shared" si="37"/>
        <v>422.3136417321308</v>
      </c>
      <c r="G144" s="1">
        <f t="shared" si="37"/>
        <v>374.98139835867676</v>
      </c>
      <c r="H144" s="1">
        <f t="shared" si="37"/>
        <v>-143.41095316339124</v>
      </c>
    </row>
    <row r="145" spans="1:8" x14ac:dyDescent="0.25">
      <c r="B145" t="s">
        <v>68</v>
      </c>
      <c r="C145">
        <v>1.25</v>
      </c>
      <c r="D145">
        <v>1</v>
      </c>
      <c r="E145">
        <v>1.4</v>
      </c>
      <c r="F145">
        <v>1.25</v>
      </c>
    </row>
    <row r="146" spans="1:8" x14ac:dyDescent="0.25">
      <c r="A146" s="18" t="s">
        <v>461</v>
      </c>
      <c r="B146" t="s">
        <v>69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</row>
    <row r="147" spans="1:8" x14ac:dyDescent="0.25">
      <c r="B147" t="s">
        <v>70</v>
      </c>
      <c r="C147" s="1">
        <f>C136^1.45*C120/22400*C145*C146</f>
        <v>584.68182955506495</v>
      </c>
      <c r="D147" s="1">
        <f>D136^1.45*D120/22400*D145*D146</f>
        <v>853.62334847543104</v>
      </c>
      <c r="E147" s="1">
        <f>E136^1.45*E120/22400*E145*E146</f>
        <v>542.39436782205269</v>
      </c>
      <c r="F147" s="1">
        <f>F136^1.45*F120/22400*F145*F146</f>
        <v>1087.0809626613645</v>
      </c>
      <c r="G147" s="1"/>
    </row>
    <row r="148" spans="1:8" x14ac:dyDescent="0.25">
      <c r="B148" t="s">
        <v>71</v>
      </c>
      <c r="C148" s="1">
        <f>C137^1.45*C120/22400*C145*C146</f>
        <v>481.39939912726135</v>
      </c>
      <c r="D148" s="1">
        <f>D137^1.45*D120/22400*D145*D146</f>
        <v>741.97106174344469</v>
      </c>
      <c r="E148" s="1">
        <f>E137^1.45*E120/22400*E145*E146</f>
        <v>452.54985172538011</v>
      </c>
      <c r="F148" s="1">
        <f>F137^1.45*F120/22400*F145*F146</f>
        <v>944.89287050019357</v>
      </c>
      <c r="G148" s="1"/>
    </row>
    <row r="149" spans="1:8" x14ac:dyDescent="0.25">
      <c r="B149" t="s">
        <v>72</v>
      </c>
      <c r="C149" s="1">
        <f>C138^1.45*C120/22400*C145*C146</f>
        <v>406.69156648604212</v>
      </c>
      <c r="D149" s="1">
        <f>D138^1.45*D120/22400*D145*D146</f>
        <v>659.86902470132031</v>
      </c>
      <c r="E149" s="1">
        <f>E138^1.45*E120/22400*E145*E146</f>
        <v>387.29617597389006</v>
      </c>
      <c r="F149" s="1">
        <f>F138^1.45*F120/22400*F145*F146</f>
        <v>840.33673151499227</v>
      </c>
      <c r="G149" s="1"/>
    </row>
    <row r="150" spans="1:8" x14ac:dyDescent="0.25">
      <c r="B150" t="s">
        <v>73</v>
      </c>
      <c r="C150" s="1">
        <f>C139^1.45*C120/22400*C145*C146</f>
        <v>342.23008623438545</v>
      </c>
      <c r="D150" s="1">
        <f>D139^1.45*D120/22400*D145*D146</f>
        <v>587.82917809327978</v>
      </c>
      <c r="E150" s="1">
        <f>E139^1.45*E120/22400*E145*E146</f>
        <v>330.75066581390161</v>
      </c>
      <c r="F150" s="1">
        <f>F139^1.45*F120/22400*F145*F146</f>
        <v>748.59469336606912</v>
      </c>
      <c r="G150" s="1"/>
    </row>
    <row r="151" spans="1:8" x14ac:dyDescent="0.25">
      <c r="B151" t="s">
        <v>74</v>
      </c>
      <c r="C151" s="1">
        <f>C140^1.45*C120/22400*C145*C146</f>
        <v>284.85405330043073</v>
      </c>
      <c r="D151" s="1">
        <f>D140^1.45*D120/22400*D145*D146</f>
        <v>522.4807967022391</v>
      </c>
      <c r="E151" s="1">
        <f>E140^1.45*E120/22400*E145*E146</f>
        <v>280.16913605063854</v>
      </c>
      <c r="F151" s="1">
        <f>F140^1.45*F120/22400*F145*F146</f>
        <v>665.37417054671187</v>
      </c>
      <c r="G151" s="1"/>
    </row>
    <row r="152" spans="1:8" x14ac:dyDescent="0.25">
      <c r="B152" t="s">
        <v>75</v>
      </c>
      <c r="C152" s="1">
        <f>C141^1.45*C120/22400*C145*C146</f>
        <v>233.19251640460297</v>
      </c>
      <c r="D152" s="1">
        <f>D141^1.45*D120/22400*D145*D146</f>
        <v>462.32348325533934</v>
      </c>
      <c r="E152" s="1">
        <f>E141^1.45*E120/22400*E145*E146</f>
        <v>234.35045166639981</v>
      </c>
      <c r="F152" s="1">
        <f>F141^1.45*F120/22400*F145*F146</f>
        <v>588.76442184457858</v>
      </c>
      <c r="G152" s="1"/>
    </row>
    <row r="153" spans="1:8" x14ac:dyDescent="0.25">
      <c r="B153" t="s">
        <v>76</v>
      </c>
      <c r="C153" s="1">
        <f>C142^1.45*C120/22400*C145*C146</f>
        <v>186.52898673240645</v>
      </c>
      <c r="D153" s="1">
        <f>D142^1.45*D120/22400*D145*D146</f>
        <v>406.52252567035077</v>
      </c>
      <c r="E153" s="1">
        <f>E142^1.45*E120/22400*E145*E146</f>
        <v>192.65238951368983</v>
      </c>
      <c r="F153" s="1">
        <f>F142^1.45*F120/22400*F145*F146</f>
        <v>517.70244960910134</v>
      </c>
      <c r="G153" s="1"/>
    </row>
    <row r="154" spans="1:8" x14ac:dyDescent="0.25">
      <c r="B154" t="s">
        <v>77</v>
      </c>
      <c r="C154" s="1">
        <f>C143^1.45*C120/22400*C145*C146</f>
        <v>144.47896104491346</v>
      </c>
      <c r="D154" s="1">
        <f>D143^1.45*D120/22400*D145*D146</f>
        <v>354.56094629715972</v>
      </c>
      <c r="E154" s="1">
        <f>E143^1.45*E120/22400*E145*E146</f>
        <v>154.70974681243183</v>
      </c>
      <c r="F154" s="1">
        <f>F143^1.45*F120/22400*F145*F146</f>
        <v>451.52988787294589</v>
      </c>
      <c r="G154" s="1"/>
    </row>
    <row r="155" spans="1:8" x14ac:dyDescent="0.25">
      <c r="B155" t="s">
        <v>79</v>
      </c>
      <c r="C155" s="1">
        <f>C144^1.45*C120/22400*C145*C146</f>
        <v>106.87215612632015</v>
      </c>
      <c r="D155" s="1">
        <f>D144^1.45*D120/22400*D145*D146</f>
        <v>306.10130399009654</v>
      </c>
      <c r="E155" s="1">
        <f>E144^1.45*E120/22400*E145*E146</f>
        <v>120.3268939152956</v>
      </c>
      <c r="F155" s="1">
        <f>F144^1.45*F120/22400*F145*F146</f>
        <v>389.81700864644347</v>
      </c>
      <c r="G155" s="1"/>
    </row>
    <row r="156" spans="1:8" x14ac:dyDescent="0.25">
      <c r="B156" s="18" t="s">
        <v>256</v>
      </c>
      <c r="C156" s="1">
        <v>0</v>
      </c>
      <c r="D156" s="1">
        <v>0</v>
      </c>
      <c r="E156" s="1">
        <v>0</v>
      </c>
      <c r="F156" s="1">
        <v>0</v>
      </c>
      <c r="G156" s="1"/>
    </row>
    <row r="157" spans="1:8" x14ac:dyDescent="0.25">
      <c r="B157" s="23" t="s">
        <v>257</v>
      </c>
      <c r="C157" s="24">
        <f t="shared" ref="C157:D157" si="38">ASIN(5000/((C136+C137)^2)*9.8*PI())*45</f>
        <v>3.3909035482625871</v>
      </c>
      <c r="D157" s="24">
        <f t="shared" si="38"/>
        <v>2.8188587030984755</v>
      </c>
      <c r="E157" s="24">
        <f t="shared" ref="E157:F157" si="39">ASIN(5000/((E136+E137)^2)*9.8*PI())*45</f>
        <v>2.7783332165989054</v>
      </c>
      <c r="F157" s="24">
        <f t="shared" si="39"/>
        <v>2.594740705621835</v>
      </c>
      <c r="G157" s="24"/>
    </row>
    <row r="158" spans="1:8" x14ac:dyDescent="0.25">
      <c r="B158" s="23" t="s">
        <v>258</v>
      </c>
      <c r="C158" s="24">
        <f t="shared" ref="C158:D158" si="40">ASIN(10000/((C136+C138)^2)*9.8*PI())*45</f>
        <v>7.5622875842093684</v>
      </c>
      <c r="D158" s="24">
        <f t="shared" si="40"/>
        <v>6.0935027311943077</v>
      </c>
      <c r="E158" s="24">
        <f t="shared" ref="E158:F158" si="41">ASIN(10000/((E136+E138)^2)*9.8*PI())*45</f>
        <v>6.1428855953235351</v>
      </c>
      <c r="F158" s="24">
        <f t="shared" si="41"/>
        <v>5.6069583626616177</v>
      </c>
      <c r="G158" s="24"/>
    </row>
    <row r="159" spans="1:8" x14ac:dyDescent="0.25">
      <c r="B159" s="23" t="s">
        <v>259</v>
      </c>
      <c r="C159" s="24">
        <f t="shared" ref="C159:D159" si="42">ASIN(15000/((C136+C139)^2)*9.8*PI())*45</f>
        <v>12.652640076948668</v>
      </c>
      <c r="D159" s="24">
        <f t="shared" si="42"/>
        <v>9.8625484813406246</v>
      </c>
      <c r="E159" s="24">
        <f t="shared" ref="E159:F159" si="43">ASIN(15000/((E136+E139)^2)*9.8*PI())*45</f>
        <v>10.170916543589163</v>
      </c>
      <c r="F159" s="24">
        <f t="shared" si="43"/>
        <v>9.0680516625276031</v>
      </c>
      <c r="G159" s="24"/>
    </row>
    <row r="160" spans="1:8" x14ac:dyDescent="0.25">
      <c r="B160" s="23" t="s">
        <v>260</v>
      </c>
      <c r="C160" s="24">
        <f t="shared" ref="C160:D160" si="44">ASIN(20000/((C136+C140)^2)*9.8*PI())*45</f>
        <v>18.947427501762931</v>
      </c>
      <c r="D160" s="24">
        <f t="shared" si="44"/>
        <v>14.215815332004583</v>
      </c>
      <c r="E160" s="24">
        <f t="shared" ref="E160:F160" si="45">ASIN(20000/((E136+E140)^2)*9.8*PI())*45</f>
        <v>15.018558683017083</v>
      </c>
      <c r="F160" s="24">
        <f t="shared" si="45"/>
        <v>13.052537825045478</v>
      </c>
      <c r="G160" s="24"/>
    </row>
    <row r="161" spans="2:7" x14ac:dyDescent="0.25">
      <c r="B161" s="23" t="s">
        <v>261</v>
      </c>
      <c r="C161" s="24">
        <f t="shared" ref="C161:D161" si="46">ASIN(25000/((C136+C141)^2)*9.8*PI())*45</f>
        <v>27.000990710067477</v>
      </c>
      <c r="D161" s="24">
        <f t="shared" si="46"/>
        <v>19.300982746168788</v>
      </c>
      <c r="E161" s="24">
        <f t="shared" ref="E161:F161" si="47">ASIN(25000/((E136+E141)^2)*9.8*PI())*45</f>
        <v>20.951277235582747</v>
      </c>
      <c r="F161" s="24">
        <f t="shared" si="47"/>
        <v>17.679738885228204</v>
      </c>
      <c r="G161" s="24"/>
    </row>
    <row r="162" spans="2:7" x14ac:dyDescent="0.25">
      <c r="B162" s="23" t="s">
        <v>262</v>
      </c>
      <c r="C162" s="24">
        <v>0</v>
      </c>
      <c r="D162" s="24">
        <v>0</v>
      </c>
      <c r="E162" s="24">
        <v>0</v>
      </c>
      <c r="F162" s="24">
        <v>0</v>
      </c>
      <c r="G162" s="24"/>
    </row>
    <row r="163" spans="2:7" x14ac:dyDescent="0.25">
      <c r="B163" s="23" t="s">
        <v>263</v>
      </c>
      <c r="C163" s="24">
        <v>0</v>
      </c>
      <c r="D163" s="24">
        <v>0</v>
      </c>
      <c r="E163" s="24">
        <v>0</v>
      </c>
      <c r="F163" s="24">
        <v>0</v>
      </c>
      <c r="G163" s="24"/>
    </row>
    <row r="164" spans="2:7" x14ac:dyDescent="0.25">
      <c r="B164" s="23" t="s">
        <v>264</v>
      </c>
      <c r="C164" s="24">
        <v>0</v>
      </c>
      <c r="D164" s="24">
        <v>0</v>
      </c>
      <c r="E164" s="24">
        <v>0</v>
      </c>
      <c r="F164" s="24">
        <v>0</v>
      </c>
      <c r="G164" s="24"/>
    </row>
    <row r="165" spans="2:7" x14ac:dyDescent="0.25">
      <c r="B165" t="s">
        <v>80</v>
      </c>
      <c r="C165" s="19" t="s">
        <v>265</v>
      </c>
      <c r="D165" s="19" t="s">
        <v>265</v>
      </c>
      <c r="E165" s="19" t="s">
        <v>479</v>
      </c>
      <c r="F165" s="19" t="s">
        <v>479</v>
      </c>
      <c r="G165" s="19"/>
    </row>
    <row r="166" spans="2:7" x14ac:dyDescent="0.25">
      <c r="B166" t="s">
        <v>81</v>
      </c>
      <c r="C166" s="1">
        <f>C157^1.02*C120/C133/12</f>
        <v>16.328866930680395</v>
      </c>
      <c r="D166" s="1">
        <f>D157^1.02*D120/D133/12</f>
        <v>17.087751523575754</v>
      </c>
      <c r="E166" s="1">
        <f>E157^1.02*E120/E133/12</f>
        <v>12.945942186120369</v>
      </c>
      <c r="F166" s="1">
        <f>F157^1.02*F120/F133/12</f>
        <v>15.066695438555918</v>
      </c>
      <c r="G166" s="1"/>
    </row>
    <row r="167" spans="2:7" x14ac:dyDescent="0.25">
      <c r="B167" t="s">
        <v>82</v>
      </c>
      <c r="C167" s="1">
        <f>C158^1.02*C120/C133/12</f>
        <v>37.005012660212003</v>
      </c>
      <c r="D167" s="1">
        <f>D158^1.02*D120/D133/12</f>
        <v>37.512369471288828</v>
      </c>
      <c r="E167" s="1">
        <f>E158^1.02*E120/E133/12</f>
        <v>29.081280212372842</v>
      </c>
      <c r="F167" s="1">
        <f>F158^1.02*F120/F133/12</f>
        <v>33.063135946393963</v>
      </c>
      <c r="G167" s="1"/>
    </row>
    <row r="168" spans="2:7" x14ac:dyDescent="0.25">
      <c r="B168" t="s">
        <v>83</v>
      </c>
      <c r="C168" s="1">
        <f>C159^1.02*C120/C133/12</f>
        <v>62.554575529184611</v>
      </c>
      <c r="D168" s="1">
        <f>D159^1.02*D120/D133/12</f>
        <v>61.302626337664059</v>
      </c>
      <c r="E168" s="1">
        <f>E159^1.02*E120/E133/12</f>
        <v>48.638585681245324</v>
      </c>
      <c r="F168" s="1">
        <f>F159^1.02*F120/F133/12</f>
        <v>53.989142610931502</v>
      </c>
      <c r="G168" s="1"/>
    </row>
    <row r="169" spans="2:7" x14ac:dyDescent="0.25">
      <c r="B169" t="s">
        <v>84</v>
      </c>
      <c r="C169" s="1">
        <f>C160^1.02*C120/C133/12</f>
        <v>94.435560741272525</v>
      </c>
      <c r="D169" s="1">
        <f>D160^1.02*D120/D133/12</f>
        <v>89.009703754465036</v>
      </c>
      <c r="E169" s="1">
        <f>E160^1.02*E120/E133/12</f>
        <v>72.382647889335786</v>
      </c>
      <c r="F169" s="1">
        <f>F160^1.02*F120/F133/12</f>
        <v>78.280037456758507</v>
      </c>
      <c r="G169" s="1"/>
    </row>
    <row r="170" spans="2:7" x14ac:dyDescent="0.25">
      <c r="B170" t="s">
        <v>85</v>
      </c>
      <c r="C170" s="1">
        <f>C161^1.02*C120/C133/12</f>
        <v>135.53192217912164</v>
      </c>
      <c r="D170" s="1">
        <f>D161^1.02*D120/D133/12</f>
        <v>121.59092374558946</v>
      </c>
      <c r="E170" s="1">
        <f>E161^1.02*E120/E133/12</f>
        <v>101.65022847441178</v>
      </c>
      <c r="F170" s="1">
        <f>F161^1.02*F120/F133/12</f>
        <v>106.67619796496452</v>
      </c>
      <c r="G170" s="1"/>
    </row>
    <row r="171" spans="2:7" x14ac:dyDescent="0.25">
      <c r="B171" t="s">
        <v>86</v>
      </c>
      <c r="C171" s="1">
        <f>C162^1.02*C120/C133/12</f>
        <v>0</v>
      </c>
      <c r="D171" s="1">
        <f>D162^1.02*D120/D133/12</f>
        <v>0</v>
      </c>
      <c r="E171" s="1">
        <f>E162^1.02*E120/E133/12</f>
        <v>0</v>
      </c>
      <c r="F171" s="1">
        <f>F162^1.02*F120/F133/12</f>
        <v>0</v>
      </c>
      <c r="G171" s="1"/>
    </row>
    <row r="172" spans="2:7" x14ac:dyDescent="0.25">
      <c r="B172" t="s">
        <v>87</v>
      </c>
      <c r="C172" s="1">
        <f>C163^1.02*C120/C133/12</f>
        <v>0</v>
      </c>
      <c r="D172" s="1">
        <f>D163^1.02*D120/D133/12</f>
        <v>0</v>
      </c>
      <c r="E172" s="1">
        <f>E163^1.02*E120/E133/12</f>
        <v>0</v>
      </c>
      <c r="F172" s="1">
        <f>F163^1.02*F120/F133/12</f>
        <v>0</v>
      </c>
      <c r="G172" s="1"/>
    </row>
    <row r="173" spans="2:7" x14ac:dyDescent="0.25">
      <c r="B173" t="s">
        <v>88</v>
      </c>
      <c r="C173" s="1">
        <f>C164^1.02*C120/C133/12</f>
        <v>0</v>
      </c>
      <c r="D173" s="1">
        <f>D164^1.02*D120/D133/12</f>
        <v>0</v>
      </c>
      <c r="E173" s="1">
        <f>E164^1.02*E120/E133/12</f>
        <v>0</v>
      </c>
      <c r="F173" s="1">
        <f>F164^1.02*F120/F133/12</f>
        <v>0</v>
      </c>
      <c r="G173" s="1"/>
    </row>
    <row r="174" spans="2:7" x14ac:dyDescent="0.25">
      <c r="B174" t="s">
        <v>80</v>
      </c>
      <c r="C174" s="1" t="s">
        <v>78</v>
      </c>
      <c r="D174" s="1" t="s">
        <v>78</v>
      </c>
      <c r="E174" s="19" t="s">
        <v>479</v>
      </c>
      <c r="F174" s="19" t="s">
        <v>479</v>
      </c>
      <c r="G174" s="19"/>
    </row>
    <row r="175" spans="2:7" x14ac:dyDescent="0.25">
      <c r="B175" t="s">
        <v>81</v>
      </c>
      <c r="C175" s="1">
        <f>(C120*5+C120/C133*10)/336</f>
        <v>11.99082580848383</v>
      </c>
      <c r="D175" s="1">
        <f>(D120*5+D120/D133*10)/336</f>
        <v>19.010448523180248</v>
      </c>
      <c r="E175" s="1">
        <f>(E120*5+E120/E133*10)/336</f>
        <v>9.0709567088638021</v>
      </c>
      <c r="F175" s="1">
        <f>(F120*5+F120/F133*10)/336</f>
        <v>18.239981005941225</v>
      </c>
      <c r="G175" s="1"/>
    </row>
    <row r="176" spans="2:7" x14ac:dyDescent="0.25">
      <c r="B176" t="s">
        <v>82</v>
      </c>
      <c r="C176" s="1">
        <f>(C120*10+C120/C133*200)/540</f>
        <v>33.719165616687668</v>
      </c>
      <c r="D176" s="1">
        <f>(D120*10+D120/D133*200)/540</f>
        <v>47.407803844020833</v>
      </c>
      <c r="E176" s="1">
        <f>(E120*10+E120/E133*200)/540</f>
        <v>29.549683488082884</v>
      </c>
      <c r="F176" s="1">
        <f>(F120*10+F120/F133*200)/540</f>
        <v>45.486430296157444</v>
      </c>
      <c r="G176" s="1"/>
    </row>
    <row r="177" spans="2:7" x14ac:dyDescent="0.25">
      <c r="B177" t="s">
        <v>83</v>
      </c>
      <c r="C177" s="1">
        <f>(C120*15+C120/C133*500)/690</f>
        <v>55.928802293519347</v>
      </c>
      <c r="D177" s="1">
        <f>(D120*15+D120/D133*500)/690</f>
        <v>76.305123462939321</v>
      </c>
      <c r="E177" s="1">
        <f>(E120*15+E120/E133*500)/690</f>
        <v>50.568221317263607</v>
      </c>
      <c r="F177" s="1">
        <f>(F120*15+F120/F133*500)/690</f>
        <v>73.212581014221072</v>
      </c>
      <c r="G177" s="1"/>
    </row>
    <row r="178" spans="2:7" x14ac:dyDescent="0.25">
      <c r="B178" t="s">
        <v>84</v>
      </c>
      <c r="C178" s="1">
        <f>(C120*20+C120/C133*1000)/900</f>
        <v>78.057496850063004</v>
      </c>
      <c r="D178" s="1">
        <f>(D120*20+D120/D133*1000)/900</f>
        <v>104.39007819872917</v>
      </c>
      <c r="E178" s="1">
        <f>(E120*20+E120/E133*1000)/900</f>
        <v>71.982383797581974</v>
      </c>
      <c r="F178" s="1">
        <f>(F120*20+F120/F133*1000)/900</f>
        <v>100.15929088847231</v>
      </c>
      <c r="G178" s="1"/>
    </row>
    <row r="179" spans="2:7" x14ac:dyDescent="0.25">
      <c r="B179" t="s">
        <v>85</v>
      </c>
      <c r="C179" s="1">
        <f>(C120*25+C120/C133*2000)/1220</f>
        <v>106.64630682796181</v>
      </c>
      <c r="D179" s="1">
        <f>(D120*25+D120/D133*2000)/1220</f>
        <v>140.06323012927254</v>
      </c>
      <c r="E179" s="1">
        <f>(E120*25+E120/E133*2000)/1220</f>
        <v>100.05597609479308</v>
      </c>
      <c r="F179" s="1">
        <f>(F120*25+F120/F133*2000)/1220</f>
        <v>134.38665868790997</v>
      </c>
      <c r="G179" s="1"/>
    </row>
    <row r="180" spans="2:7" x14ac:dyDescent="0.25">
      <c r="B180" t="s">
        <v>86</v>
      </c>
      <c r="C180" s="1">
        <v>0</v>
      </c>
      <c r="D180" s="1">
        <v>0</v>
      </c>
      <c r="E180" s="1">
        <v>0</v>
      </c>
      <c r="F180" s="1">
        <v>0</v>
      </c>
      <c r="G180" s="1"/>
    </row>
    <row r="181" spans="2:7" x14ac:dyDescent="0.25">
      <c r="B181" t="s">
        <v>87</v>
      </c>
      <c r="C181" s="1">
        <v>0</v>
      </c>
      <c r="D181" s="1">
        <v>0</v>
      </c>
      <c r="E181" s="1">
        <v>0</v>
      </c>
      <c r="F181" s="1">
        <v>0</v>
      </c>
      <c r="G181" s="1"/>
    </row>
    <row r="182" spans="2:7" x14ac:dyDescent="0.25">
      <c r="B182" t="s">
        <v>88</v>
      </c>
      <c r="C182" s="1">
        <v>0</v>
      </c>
      <c r="D182" s="1">
        <v>0</v>
      </c>
      <c r="E182" s="1">
        <v>0</v>
      </c>
      <c r="F182" s="1">
        <v>0</v>
      </c>
      <c r="G182" s="1"/>
    </row>
    <row r="183" spans="2:7" x14ac:dyDescent="0.25">
      <c r="B183" t="s">
        <v>89</v>
      </c>
      <c r="C183" s="4">
        <f>(C151+C178)*330/C113^2</f>
        <v>0.94496284835928968</v>
      </c>
      <c r="D183" s="4">
        <f>(D151+D178)*330/D113^2</f>
        <v>1.2549891329401315</v>
      </c>
      <c r="E183" s="4">
        <f>(E151+E178)*330/E113^2</f>
        <v>1.2492340935223087</v>
      </c>
      <c r="F183" s="4">
        <f>(F151+F178)*330/F113^2</f>
        <v>1.5325902246694338</v>
      </c>
      <c r="G183" s="4"/>
    </row>
    <row r="184" spans="2:7" x14ac:dyDescent="0.25">
      <c r="B184" t="s">
        <v>90</v>
      </c>
      <c r="C184" s="1">
        <f t="shared" ref="C184:E184" si="48">C151+C178</f>
        <v>362.91155015049372</v>
      </c>
      <c r="D184" s="1">
        <f t="shared" si="48"/>
        <v>626.87087490096826</v>
      </c>
      <c r="E184" s="1">
        <f t="shared" si="48"/>
        <v>352.15151984822052</v>
      </c>
      <c r="F184" s="1">
        <f t="shared" ref="F184" si="49">F151+F178</f>
        <v>765.53346143518422</v>
      </c>
      <c r="G184" s="1"/>
    </row>
    <row r="185" spans="2:7" s="3" customFormat="1" x14ac:dyDescent="0.25">
      <c r="B185" s="3" t="s">
        <v>91</v>
      </c>
      <c r="C185" s="3">
        <v>0</v>
      </c>
      <c r="D185" s="3">
        <v>0</v>
      </c>
      <c r="E185" s="3">
        <v>0.05</v>
      </c>
      <c r="F185" s="3">
        <v>0</v>
      </c>
    </row>
    <row r="186" spans="2:7" s="11" customFormat="1" x14ac:dyDescent="0.25">
      <c r="B186" s="11" t="s">
        <v>93</v>
      </c>
      <c r="C186" s="11" t="s">
        <v>94</v>
      </c>
    </row>
    <row r="187" spans="2:7" x14ac:dyDescent="0.25">
      <c r="B187" t="s">
        <v>95</v>
      </c>
      <c r="C187">
        <v>6</v>
      </c>
      <c r="D187">
        <v>5</v>
      </c>
      <c r="E187">
        <v>8</v>
      </c>
      <c r="F187">
        <v>10</v>
      </c>
    </row>
    <row r="188" spans="2:7" x14ac:dyDescent="0.25">
      <c r="B188" t="s">
        <v>96</v>
      </c>
      <c r="C188">
        <v>2</v>
      </c>
      <c r="D188">
        <v>3</v>
      </c>
      <c r="E188">
        <v>2</v>
      </c>
      <c r="F188">
        <v>4</v>
      </c>
    </row>
    <row r="189" spans="2:7" x14ac:dyDescent="0.25">
      <c r="B189" t="s">
        <v>97</v>
      </c>
      <c r="C189">
        <f t="shared" ref="C189:F189" si="50">C187*C188</f>
        <v>12</v>
      </c>
      <c r="D189">
        <f t="shared" si="50"/>
        <v>15</v>
      </c>
      <c r="E189">
        <f t="shared" si="50"/>
        <v>16</v>
      </c>
      <c r="F189">
        <f t="shared" si="50"/>
        <v>40</v>
      </c>
    </row>
    <row r="190" spans="2:7" s="1" customFormat="1" x14ac:dyDescent="0.25">
      <c r="B190" t="s">
        <v>98</v>
      </c>
      <c r="C190">
        <v>127</v>
      </c>
      <c r="D190">
        <v>152</v>
      </c>
      <c r="E190">
        <v>127</v>
      </c>
      <c r="F190">
        <v>127</v>
      </c>
      <c r="G190"/>
    </row>
    <row r="191" spans="2:7" x14ac:dyDescent="0.25">
      <c r="B191" t="s">
        <v>99</v>
      </c>
      <c r="C191">
        <v>38</v>
      </c>
      <c r="D191">
        <v>45</v>
      </c>
      <c r="E191">
        <v>45</v>
      </c>
      <c r="F191">
        <v>58</v>
      </c>
    </row>
    <row r="192" spans="2:7" x14ac:dyDescent="0.25">
      <c r="B192" t="s">
        <v>100</v>
      </c>
      <c r="C192">
        <v>12</v>
      </c>
      <c r="D192">
        <v>10</v>
      </c>
      <c r="E192">
        <v>15</v>
      </c>
      <c r="F192">
        <v>15</v>
      </c>
    </row>
    <row r="193" spans="2:7" x14ac:dyDescent="0.25">
      <c r="B193" t="s">
        <v>92</v>
      </c>
      <c r="C193">
        <v>27</v>
      </c>
      <c r="D193">
        <v>45</v>
      </c>
      <c r="E193">
        <v>26</v>
      </c>
      <c r="F193">
        <v>25</v>
      </c>
    </row>
    <row r="194" spans="2:7" x14ac:dyDescent="0.25">
      <c r="B194" t="s">
        <v>101</v>
      </c>
      <c r="C194">
        <v>400</v>
      </c>
      <c r="D194">
        <v>300</v>
      </c>
      <c r="E194">
        <v>400</v>
      </c>
      <c r="F194">
        <v>300</v>
      </c>
    </row>
    <row r="195" spans="2:7" x14ac:dyDescent="0.25">
      <c r="B195" t="s">
        <v>102</v>
      </c>
      <c r="C195">
        <v>0.25</v>
      </c>
      <c r="D195">
        <v>0.1</v>
      </c>
      <c r="E195">
        <v>0.4</v>
      </c>
      <c r="F195">
        <v>0.4</v>
      </c>
    </row>
    <row r="196" spans="2:7" x14ac:dyDescent="0.25">
      <c r="B196" t="s">
        <v>103</v>
      </c>
      <c r="C196" t="s">
        <v>78</v>
      </c>
      <c r="D196" s="18" t="s">
        <v>469</v>
      </c>
      <c r="E196" s="18"/>
      <c r="F196" s="18"/>
    </row>
    <row r="197" spans="2:7" x14ac:dyDescent="0.25">
      <c r="B197" t="s">
        <v>104</v>
      </c>
      <c r="C197">
        <v>0</v>
      </c>
      <c r="D197">
        <v>24</v>
      </c>
      <c r="F197" s="18">
        <v>0</v>
      </c>
    </row>
    <row r="198" spans="2:7" s="11" customFormat="1" x14ac:dyDescent="0.25">
      <c r="B198" t="s">
        <v>105</v>
      </c>
      <c r="C198">
        <v>0</v>
      </c>
      <c r="D198">
        <v>76</v>
      </c>
      <c r="E198"/>
      <c r="F198"/>
      <c r="G198"/>
    </row>
    <row r="199" spans="2:7" s="11" customFormat="1" x14ac:dyDescent="0.25">
      <c r="B199" s="11" t="s">
        <v>106</v>
      </c>
      <c r="C199" s="11">
        <v>0</v>
      </c>
      <c r="D199" s="11">
        <v>30</v>
      </c>
    </row>
    <row r="200" spans="2:7" s="12" customFormat="1" x14ac:dyDescent="0.25">
      <c r="B200" t="s">
        <v>107</v>
      </c>
      <c r="C200">
        <v>0</v>
      </c>
      <c r="D200" s="11">
        <v>2800</v>
      </c>
      <c r="E200" s="11"/>
      <c r="F200" s="11"/>
      <c r="G200"/>
    </row>
    <row r="201" spans="2:7" x14ac:dyDescent="0.25">
      <c r="B201" t="s">
        <v>108</v>
      </c>
      <c r="C201">
        <v>0</v>
      </c>
      <c r="D201" s="11">
        <v>300</v>
      </c>
      <c r="E201" s="11"/>
      <c r="F201" s="11"/>
    </row>
    <row r="202" spans="2:7" x14ac:dyDescent="0.25">
      <c r="B202" t="s">
        <v>109</v>
      </c>
      <c r="C202" t="s">
        <v>78</v>
      </c>
    </row>
    <row r="203" spans="2:7" x14ac:dyDescent="0.25">
      <c r="B203" t="s">
        <v>110</v>
      </c>
      <c r="C203">
        <v>0</v>
      </c>
      <c r="D203">
        <v>64</v>
      </c>
      <c r="F203">
        <v>294</v>
      </c>
    </row>
    <row r="204" spans="2:7" x14ac:dyDescent="0.25">
      <c r="B204" t="s">
        <v>111</v>
      </c>
      <c r="C204">
        <v>0</v>
      </c>
      <c r="D204">
        <v>40</v>
      </c>
      <c r="F204">
        <v>25</v>
      </c>
      <c r="G204" s="18"/>
    </row>
    <row r="205" spans="2:7" s="1" customFormat="1" x14ac:dyDescent="0.25">
      <c r="B205" t="s">
        <v>112</v>
      </c>
      <c r="C205">
        <v>0</v>
      </c>
      <c r="D205">
        <v>120</v>
      </c>
      <c r="E205"/>
      <c r="F205">
        <v>120</v>
      </c>
      <c r="G205"/>
    </row>
    <row r="206" spans="2:7" x14ac:dyDescent="0.25">
      <c r="B206" t="s">
        <v>113</v>
      </c>
      <c r="C206">
        <v>0</v>
      </c>
      <c r="D206">
        <v>440</v>
      </c>
      <c r="F206">
        <v>105</v>
      </c>
    </row>
    <row r="207" spans="2:7" x14ac:dyDescent="0.25">
      <c r="B207" t="s">
        <v>114</v>
      </c>
      <c r="C207">
        <v>0</v>
      </c>
      <c r="D207">
        <v>400</v>
      </c>
      <c r="F207">
        <v>500</v>
      </c>
    </row>
    <row r="208" spans="2:7" x14ac:dyDescent="0.25">
      <c r="B208" t="s">
        <v>115</v>
      </c>
      <c r="C208" t="s">
        <v>78</v>
      </c>
      <c r="G208" s="18"/>
    </row>
    <row r="209" spans="2:7" x14ac:dyDescent="0.25">
      <c r="B209" t="s">
        <v>116</v>
      </c>
      <c r="C209">
        <v>0</v>
      </c>
      <c r="G209" s="18"/>
    </row>
    <row r="210" spans="2:7" x14ac:dyDescent="0.25">
      <c r="B210" t="s">
        <v>117</v>
      </c>
      <c r="C210">
        <v>0</v>
      </c>
      <c r="G210" s="18"/>
    </row>
    <row r="211" spans="2:7" x14ac:dyDescent="0.25">
      <c r="B211" t="s">
        <v>118</v>
      </c>
      <c r="C211" t="s">
        <v>78</v>
      </c>
      <c r="G211" s="18"/>
    </row>
    <row r="212" spans="2:7" x14ac:dyDescent="0.25">
      <c r="B212" t="s">
        <v>119</v>
      </c>
      <c r="C212">
        <v>0</v>
      </c>
      <c r="G212" s="18"/>
    </row>
    <row r="213" spans="2:7" x14ac:dyDescent="0.25">
      <c r="B213" t="s">
        <v>120</v>
      </c>
      <c r="C213">
        <v>0</v>
      </c>
      <c r="G213" s="18"/>
    </row>
    <row r="214" spans="2:7" x14ac:dyDescent="0.25">
      <c r="B214" t="s">
        <v>121</v>
      </c>
      <c r="C214" t="s">
        <v>78</v>
      </c>
      <c r="G214" s="18"/>
    </row>
    <row r="215" spans="2:7" x14ac:dyDescent="0.25">
      <c r="B215" t="s">
        <v>122</v>
      </c>
      <c r="C215">
        <v>0</v>
      </c>
      <c r="G215" s="18"/>
    </row>
    <row r="216" spans="2:7" x14ac:dyDescent="0.25">
      <c r="B216" t="s">
        <v>123</v>
      </c>
      <c r="C216">
        <f t="shared" ref="C216" si="51">C213*C215</f>
        <v>0</v>
      </c>
      <c r="G216" s="18"/>
    </row>
    <row r="217" spans="2:7" x14ac:dyDescent="0.25">
      <c r="B217" t="s">
        <v>124</v>
      </c>
      <c r="C217">
        <v>0</v>
      </c>
      <c r="G217" s="18"/>
    </row>
    <row r="218" spans="2:7" x14ac:dyDescent="0.25">
      <c r="B218" t="s">
        <v>125</v>
      </c>
      <c r="C218" s="1">
        <f>C184*C117*C112</f>
        <v>8709.8772036118498</v>
      </c>
      <c r="D218" s="1">
        <f>D184*D117*D112</f>
        <v>11283.675748217429</v>
      </c>
      <c r="E218" s="1">
        <f>E184*E117*E112</f>
        <v>9508.0910359019545</v>
      </c>
      <c r="F218" s="1">
        <f>F184*F117*F112</f>
        <v>27559.204611666632</v>
      </c>
      <c r="G218" s="1"/>
    </row>
    <row r="219" spans="2:7" x14ac:dyDescent="0.25">
      <c r="B219" s="8" t="s">
        <v>126</v>
      </c>
      <c r="C219" s="8">
        <f>C117*C120*C112+C189/2*C193*C192</f>
        <v>18576</v>
      </c>
      <c r="D219" s="8">
        <f>D117*D120*D112+D189/2*D193*D192</f>
        <v>23805</v>
      </c>
      <c r="E219" s="8">
        <f>E117*E120*E112+E189/2*E193*E192</f>
        <v>16620</v>
      </c>
      <c r="F219" s="8">
        <f>F117*F120*F112+F189/2*F193*F192</f>
        <v>46704</v>
      </c>
      <c r="G219" s="8"/>
    </row>
    <row r="220" spans="2:7" x14ac:dyDescent="0.25">
      <c r="B220" s="53" t="s">
        <v>493</v>
      </c>
      <c r="C220" s="9">
        <f>C120*C117*C112*C185+C189*C192*C193*C195/2</f>
        <v>486</v>
      </c>
      <c r="D220" s="9">
        <f t="shared" ref="D220:E220" si="52">D120*D117*D112*D185+D189*D192*D193*D195/2</f>
        <v>337.5</v>
      </c>
      <c r="E220" s="9">
        <f t="shared" si="52"/>
        <v>1923</v>
      </c>
      <c r="F220" s="9">
        <f t="shared" ref="F220" si="53">F120*F117*F112*F185+F189*F192*F193*F195/2</f>
        <v>3000</v>
      </c>
      <c r="G220" s="9"/>
    </row>
    <row r="221" spans="2:7" x14ac:dyDescent="0.25">
      <c r="B221" s="53" t="s">
        <v>494</v>
      </c>
      <c r="C221" s="9">
        <f>C197*C199*C200/2000</f>
        <v>0</v>
      </c>
      <c r="D221" s="9">
        <f t="shared" ref="D221:E221" si="54">D197*D199*D200/2000</f>
        <v>1008</v>
      </c>
      <c r="E221" s="9">
        <f t="shared" si="54"/>
        <v>0</v>
      </c>
      <c r="F221" s="9">
        <f t="shared" ref="F221" si="55">F197*F199*F200/2000</f>
        <v>0</v>
      </c>
      <c r="G221" s="9"/>
    </row>
    <row r="222" spans="2:7" x14ac:dyDescent="0.25">
      <c r="B222" s="53" t="s">
        <v>495</v>
      </c>
      <c r="C222" s="9">
        <f>C203*C205*C206/2000</f>
        <v>0</v>
      </c>
      <c r="D222" s="9">
        <f t="shared" ref="D222:E222" si="56">D203*D205*D206/2000</f>
        <v>1689.6</v>
      </c>
      <c r="E222" s="9">
        <f t="shared" si="56"/>
        <v>0</v>
      </c>
      <c r="F222" s="9">
        <f t="shared" ref="F222" si="57">F203*F205*F206/2000</f>
        <v>1852.2</v>
      </c>
      <c r="G222" s="9"/>
    </row>
    <row r="223" spans="2:7" s="46" customFormat="1" x14ac:dyDescent="0.25">
      <c r="B223" s="52" t="s">
        <v>483</v>
      </c>
      <c r="C223" s="48">
        <f>C190^3*C189*C191^1.2/200000000</f>
        <v>9.6672450890174755</v>
      </c>
      <c r="D223" s="48">
        <f t="shared" ref="D223:E223" si="58">D190^3*D189*D191^1.2/200000000</f>
        <v>25.377395246379471</v>
      </c>
      <c r="E223" s="48">
        <f t="shared" si="58"/>
        <v>15.78905604770026</v>
      </c>
      <c r="F223" s="48">
        <f t="shared" ref="F223" si="59">F190^3*F189*F191^1.2/200000000</f>
        <v>53.524762732623337</v>
      </c>
      <c r="G223" s="48"/>
    </row>
    <row r="224" spans="2:7" s="46" customFormat="1" x14ac:dyDescent="0.25">
      <c r="B224" s="52" t="s">
        <v>484</v>
      </c>
      <c r="C224" s="48">
        <f>C220/200</f>
        <v>2.4300000000000002</v>
      </c>
      <c r="D224" s="48">
        <f t="shared" ref="D224:E224" si="60">D220/200</f>
        <v>1.6875</v>
      </c>
      <c r="E224" s="48">
        <f t="shared" si="60"/>
        <v>9.6150000000000002</v>
      </c>
      <c r="F224" s="48">
        <f t="shared" ref="F224" si="61">F220/200</f>
        <v>15</v>
      </c>
      <c r="G224" s="48"/>
    </row>
    <row r="225" spans="1:7" x14ac:dyDescent="0.25">
      <c r="A225" s="18" t="s">
        <v>420</v>
      </c>
      <c r="B225" s="18" t="s">
        <v>363</v>
      </c>
      <c r="C225">
        <v>305</v>
      </c>
      <c r="D225">
        <v>406</v>
      </c>
      <c r="E225">
        <v>203</v>
      </c>
      <c r="F225">
        <v>203</v>
      </c>
    </row>
    <row r="226" spans="1:7" x14ac:dyDescent="0.25">
      <c r="A226" s="18" t="s">
        <v>421</v>
      </c>
      <c r="B226" s="18" t="s">
        <v>364</v>
      </c>
      <c r="C226">
        <v>305</v>
      </c>
      <c r="D226">
        <v>406</v>
      </c>
      <c r="E226">
        <v>203</v>
      </c>
      <c r="F226">
        <v>203</v>
      </c>
    </row>
    <row r="227" spans="1:7" x14ac:dyDescent="0.25">
      <c r="A227" s="18" t="s">
        <v>422</v>
      </c>
      <c r="B227" t="s">
        <v>127</v>
      </c>
      <c r="C227">
        <v>14</v>
      </c>
      <c r="D227">
        <v>16</v>
      </c>
      <c r="E227">
        <v>18</v>
      </c>
      <c r="F227">
        <v>18</v>
      </c>
    </row>
    <row r="228" spans="1:7" x14ac:dyDescent="0.25">
      <c r="B228" t="s">
        <v>128</v>
      </c>
      <c r="C228" t="s">
        <v>129</v>
      </c>
    </row>
    <row r="229" spans="1:7" x14ac:dyDescent="0.25">
      <c r="A229" s="18" t="s">
        <v>423</v>
      </c>
      <c r="B229" t="s">
        <v>134</v>
      </c>
      <c r="C229">
        <v>1</v>
      </c>
      <c r="D229">
        <v>1</v>
      </c>
      <c r="E229">
        <v>1</v>
      </c>
      <c r="F229">
        <v>1</v>
      </c>
    </row>
    <row r="230" spans="1:7" x14ac:dyDescent="0.25">
      <c r="B230" t="s">
        <v>135</v>
      </c>
      <c r="C230" s="1">
        <f t="shared" ref="C230:E230" si="62">1/COS(C227/180*3.1416)*C225*C229</f>
        <v>314.33720173315783</v>
      </c>
      <c r="D230" s="1">
        <f t="shared" si="62"/>
        <v>422.36165004662121</v>
      </c>
      <c r="E230" s="1">
        <f t="shared" si="62"/>
        <v>213.44688247005524</v>
      </c>
      <c r="F230" s="1">
        <f t="shared" ref="F230" si="63">1/COS(F227/180*3.1416)*F225*F229</f>
        <v>213.44688247005524</v>
      </c>
      <c r="G230" s="1"/>
    </row>
    <row r="231" spans="1:7" x14ac:dyDescent="0.25">
      <c r="A231" s="18" t="s">
        <v>424</v>
      </c>
      <c r="B231" t="s">
        <v>136</v>
      </c>
      <c r="C231">
        <v>25</v>
      </c>
      <c r="D231">
        <v>0</v>
      </c>
      <c r="E231">
        <v>0</v>
      </c>
      <c r="F231">
        <v>0</v>
      </c>
    </row>
    <row r="232" spans="1:7" x14ac:dyDescent="0.25">
      <c r="A232" s="18" t="s">
        <v>425</v>
      </c>
      <c r="B232" t="s">
        <v>137</v>
      </c>
      <c r="C232">
        <v>0</v>
      </c>
      <c r="D232">
        <v>0</v>
      </c>
      <c r="E232">
        <v>0</v>
      </c>
      <c r="F232">
        <v>0</v>
      </c>
    </row>
    <row r="233" spans="1:7" s="10" customFormat="1" x14ac:dyDescent="0.25">
      <c r="B233" s="10" t="s">
        <v>138</v>
      </c>
      <c r="C233" s="14">
        <f>C230+C231*1.2+C232*0.8</f>
        <v>344.33720173315783</v>
      </c>
      <c r="D233" s="14">
        <f>D230+D231*1.2+D232*0.8</f>
        <v>422.36165004662121</v>
      </c>
      <c r="E233" s="14">
        <f>E230+E231*1.2+E232*0.8</f>
        <v>213.44688247005524</v>
      </c>
      <c r="F233" s="14">
        <f>F230+F231*1.2+F232*0.8</f>
        <v>213.44688247005524</v>
      </c>
      <c r="G233" s="14"/>
    </row>
    <row r="234" spans="1:7" s="11" customFormat="1" x14ac:dyDescent="0.25">
      <c r="A234" s="27" t="s">
        <v>426</v>
      </c>
      <c r="B234" s="11" t="s">
        <v>139</v>
      </c>
      <c r="C234" s="11">
        <v>400</v>
      </c>
      <c r="D234" s="11">
        <v>406</v>
      </c>
      <c r="E234" s="11">
        <v>127</v>
      </c>
      <c r="F234" s="11">
        <v>76</v>
      </c>
    </row>
    <row r="235" spans="1:7" s="11" customFormat="1" x14ac:dyDescent="0.25">
      <c r="B235" s="1" t="s">
        <v>140</v>
      </c>
      <c r="C235" s="1">
        <f>C233*C229</f>
        <v>344.33720173315783</v>
      </c>
      <c r="D235" s="1">
        <f>D233*D229</f>
        <v>422.36165004662121</v>
      </c>
      <c r="E235" s="1">
        <f>E233*E229</f>
        <v>213.44688247005524</v>
      </c>
      <c r="F235" s="1">
        <f>F233*F229</f>
        <v>213.44688247005524</v>
      </c>
      <c r="G235" s="1"/>
    </row>
    <row r="236" spans="1:7" s="11" customFormat="1" x14ac:dyDescent="0.25">
      <c r="B236" t="s">
        <v>141</v>
      </c>
      <c r="C236" s="1">
        <f>C233*C229</f>
        <v>344.33720173315783</v>
      </c>
      <c r="D236" s="1">
        <f>D233*D229</f>
        <v>422.36165004662121</v>
      </c>
      <c r="E236" s="1">
        <f>E233*E229</f>
        <v>213.44688247005524</v>
      </c>
      <c r="F236" s="1">
        <f>F233*F229</f>
        <v>213.44688247005524</v>
      </c>
      <c r="G236" s="1"/>
    </row>
    <row r="237" spans="1:7" s="11" customFormat="1" x14ac:dyDescent="0.25">
      <c r="A237" s="27" t="s">
        <v>427</v>
      </c>
      <c r="B237" t="s">
        <v>142</v>
      </c>
      <c r="C237">
        <v>25</v>
      </c>
      <c r="D237">
        <v>38</v>
      </c>
      <c r="E237">
        <v>38</v>
      </c>
      <c r="F237">
        <v>15</v>
      </c>
      <c r="G237"/>
    </row>
    <row r="238" spans="1:7" s="11" customFormat="1" x14ac:dyDescent="0.25">
      <c r="A238" s="27" t="s">
        <v>428</v>
      </c>
      <c r="B238" s="18" t="s">
        <v>365</v>
      </c>
      <c r="C238">
        <v>76</v>
      </c>
      <c r="D238">
        <v>178</v>
      </c>
      <c r="E238">
        <v>127</v>
      </c>
      <c r="F238">
        <v>127</v>
      </c>
      <c r="G238"/>
    </row>
    <row r="239" spans="1:7" s="11" customFormat="1" x14ac:dyDescent="0.25">
      <c r="A239" s="27" t="s">
        <v>429</v>
      </c>
      <c r="B239" s="18" t="s">
        <v>366</v>
      </c>
      <c r="C239">
        <v>76</v>
      </c>
      <c r="D239">
        <v>178</v>
      </c>
      <c r="E239">
        <v>127</v>
      </c>
      <c r="F239">
        <v>127</v>
      </c>
      <c r="G239"/>
    </row>
    <row r="240" spans="1:7" s="11" customFormat="1" x14ac:dyDescent="0.25">
      <c r="A240" s="27" t="s">
        <v>430</v>
      </c>
      <c r="B240" s="11" t="s">
        <v>143</v>
      </c>
      <c r="C240" s="11">
        <v>0</v>
      </c>
      <c r="D240" s="11">
        <v>0</v>
      </c>
      <c r="E240" s="11">
        <v>0</v>
      </c>
      <c r="F240" s="11">
        <v>0</v>
      </c>
    </row>
    <row r="241" spans="1:7" s="11" customFormat="1" x14ac:dyDescent="0.25">
      <c r="A241" s="27" t="s">
        <v>431</v>
      </c>
      <c r="B241" s="36" t="s">
        <v>384</v>
      </c>
      <c r="C241" s="11">
        <v>40</v>
      </c>
      <c r="D241" s="11">
        <v>0</v>
      </c>
      <c r="E241" s="11">
        <v>0</v>
      </c>
      <c r="F241" s="11">
        <v>0</v>
      </c>
    </row>
    <row r="242" spans="1:7" s="11" customFormat="1" x14ac:dyDescent="0.25">
      <c r="A242" s="27" t="s">
        <v>432</v>
      </c>
      <c r="B242" s="27" t="s">
        <v>385</v>
      </c>
      <c r="C242" s="11">
        <v>127</v>
      </c>
      <c r="D242" s="11">
        <v>0</v>
      </c>
      <c r="E242" s="11">
        <v>0</v>
      </c>
      <c r="F242" s="11">
        <v>0</v>
      </c>
    </row>
    <row r="243" spans="1:7" s="11" customFormat="1" x14ac:dyDescent="0.25">
      <c r="A243" s="27" t="s">
        <v>433</v>
      </c>
      <c r="B243" s="27" t="s">
        <v>386</v>
      </c>
      <c r="C243" s="11">
        <v>127</v>
      </c>
      <c r="D243" s="11">
        <v>0</v>
      </c>
      <c r="E243" s="11">
        <v>0</v>
      </c>
      <c r="F243" s="11">
        <v>0</v>
      </c>
    </row>
    <row r="244" spans="1:7" s="11" customFormat="1" x14ac:dyDescent="0.25">
      <c r="A244" s="27" t="s">
        <v>434</v>
      </c>
      <c r="B244" s="27" t="s">
        <v>389</v>
      </c>
      <c r="C244" s="11">
        <v>2.5</v>
      </c>
      <c r="D244" s="11">
        <v>0</v>
      </c>
      <c r="E244" s="11">
        <v>0</v>
      </c>
      <c r="F244" s="11">
        <v>0</v>
      </c>
    </row>
    <row r="245" spans="1:7" s="32" customFormat="1" x14ac:dyDescent="0.25">
      <c r="B245" s="37" t="s">
        <v>390</v>
      </c>
      <c r="C245" s="32">
        <f>IF(C241=0,0,_xlfn.COT(RADIANS(C241))*C244)</f>
        <v>2.9793839814855252</v>
      </c>
      <c r="D245" s="32">
        <f>IF(D241=0,0,_xlfn.COT(RADIANS(D241))*D244)</f>
        <v>0</v>
      </c>
      <c r="E245" s="32">
        <f>IF(E241=0,0,_xlfn.COT(RADIANS(E241))*E244)</f>
        <v>0</v>
      </c>
      <c r="F245" s="32">
        <f>IF(F241=0,0,_xlfn.COT(RADIANS(F241))*F244)</f>
        <v>0</v>
      </c>
    </row>
    <row r="246" spans="1:7" s="32" customFormat="1" x14ac:dyDescent="0.25">
      <c r="B246" s="37" t="s">
        <v>391</v>
      </c>
      <c r="C246" s="32">
        <f>_xlfn.SEC(RADIANS(C241))*C244</f>
        <v>3.2635182233306965</v>
      </c>
      <c r="D246" s="32">
        <f>_xlfn.SEC(RADIANS(D241))*D244</f>
        <v>0</v>
      </c>
      <c r="E246" s="32">
        <f>_xlfn.SEC(RADIANS(E241))*E244</f>
        <v>0</v>
      </c>
      <c r="F246" s="32">
        <f>_xlfn.SEC(RADIANS(F241))*F244</f>
        <v>0</v>
      </c>
    </row>
    <row r="247" spans="1:7" s="32" customFormat="1" x14ac:dyDescent="0.25">
      <c r="A247" s="37" t="s">
        <v>435</v>
      </c>
      <c r="B247" s="37" t="s">
        <v>392</v>
      </c>
      <c r="C247" s="32">
        <f>C19-C246*2</f>
        <v>25.772963553338606</v>
      </c>
      <c r="D247" s="32">
        <f>D19-D246*2</f>
        <v>32.1</v>
      </c>
      <c r="E247" s="32">
        <f>E19-E246*2</f>
        <v>27</v>
      </c>
      <c r="F247" s="32">
        <f>F19-F246*2</f>
        <v>27</v>
      </c>
    </row>
    <row r="248" spans="1:7" s="11" customFormat="1" x14ac:dyDescent="0.25">
      <c r="A248" s="37"/>
      <c r="B248" s="11" t="s">
        <v>128</v>
      </c>
      <c r="C248" s="11" t="s">
        <v>144</v>
      </c>
    </row>
    <row r="249" spans="1:7" x14ac:dyDescent="0.25">
      <c r="A249" s="37" t="s">
        <v>436</v>
      </c>
      <c r="B249" t="s">
        <v>134</v>
      </c>
      <c r="C249">
        <v>1</v>
      </c>
      <c r="D249">
        <v>1</v>
      </c>
      <c r="E249">
        <v>1</v>
      </c>
      <c r="F249">
        <v>1</v>
      </c>
      <c r="G249">
        <v>1</v>
      </c>
    </row>
    <row r="250" spans="1:7" x14ac:dyDescent="0.25">
      <c r="B250" s="11" t="s">
        <v>145</v>
      </c>
      <c r="C250" s="15">
        <f>(C237*0.9+C238*1.1+C240*0.8)*C249</f>
        <v>106.10000000000001</v>
      </c>
      <c r="D250" s="15">
        <f>(D237*0.9+D238*1.1+D240*0.8)*D249</f>
        <v>230</v>
      </c>
      <c r="E250" s="15">
        <f>(E237*0.9+E238*1.1+E240*0.8)*E249</f>
        <v>173.90000000000003</v>
      </c>
      <c r="F250" s="15">
        <f>(F237*0.9+F238*1.1+F240*0.8)*F249</f>
        <v>153.20000000000002</v>
      </c>
      <c r="G250" s="15"/>
    </row>
    <row r="251" spans="1:7" s="4" customFormat="1" x14ac:dyDescent="0.25">
      <c r="B251" s="10" t="s">
        <v>146</v>
      </c>
      <c r="C251" s="14">
        <f>(C237*0.9+C238*1.1+C240*0.8)*C249</f>
        <v>106.10000000000001</v>
      </c>
      <c r="D251" s="14">
        <f>(D237*0.9+D238*1.1+D240*0.8)*D249</f>
        <v>230</v>
      </c>
      <c r="E251" s="14">
        <f>(E237*0.9+E238*1.1+E240*0.8)*E249</f>
        <v>173.90000000000003</v>
      </c>
      <c r="F251" s="14">
        <f>(F237*0.9+F238*1.1+F240*0.8)*F249</f>
        <v>153.20000000000002</v>
      </c>
      <c r="G251" s="14"/>
    </row>
    <row r="252" spans="1:7" x14ac:dyDescent="0.25">
      <c r="A252" s="18" t="s">
        <v>437</v>
      </c>
      <c r="B252" s="12" t="s">
        <v>147</v>
      </c>
      <c r="C252" s="12">
        <v>127</v>
      </c>
      <c r="D252" s="12">
        <v>0</v>
      </c>
      <c r="E252" s="12">
        <v>0</v>
      </c>
      <c r="F252" s="12">
        <v>0</v>
      </c>
      <c r="G252" s="12"/>
    </row>
    <row r="253" spans="1:7" x14ac:dyDescent="0.25">
      <c r="A253" s="18" t="s">
        <v>438</v>
      </c>
      <c r="B253" s="35" t="s">
        <v>378</v>
      </c>
      <c r="C253" s="12">
        <v>38</v>
      </c>
      <c r="D253" s="12">
        <v>76</v>
      </c>
      <c r="E253" s="12">
        <v>63.5</v>
      </c>
      <c r="F253" s="12">
        <v>38</v>
      </c>
      <c r="G253" s="12"/>
    </row>
    <row r="254" spans="1:7" x14ac:dyDescent="0.25">
      <c r="A254" s="18" t="s">
        <v>439</v>
      </c>
      <c r="B254" s="18" t="s">
        <v>379</v>
      </c>
      <c r="C254">
        <v>38</v>
      </c>
      <c r="D254" s="12">
        <v>76</v>
      </c>
      <c r="E254" s="12">
        <v>63.5</v>
      </c>
      <c r="F254" s="12">
        <v>38</v>
      </c>
    </row>
    <row r="255" spans="1:7" s="3" customFormat="1" x14ac:dyDescent="0.25">
      <c r="B255" s="18" t="s">
        <v>342</v>
      </c>
      <c r="C255">
        <v>12.7</v>
      </c>
      <c r="D255" s="12">
        <v>12.7</v>
      </c>
      <c r="E255" s="12">
        <v>12.7</v>
      </c>
      <c r="F255" s="12">
        <v>12.7</v>
      </c>
      <c r="G255"/>
    </row>
    <row r="256" spans="1:7" s="3" customFormat="1" x14ac:dyDescent="0.25">
      <c r="A256" s="41" t="s">
        <v>440</v>
      </c>
      <c r="B256" t="s">
        <v>128</v>
      </c>
      <c r="C256" t="s">
        <v>129</v>
      </c>
      <c r="D256"/>
      <c r="E256"/>
      <c r="F256"/>
      <c r="G256"/>
    </row>
    <row r="257" spans="1:7" s="3" customFormat="1" x14ac:dyDescent="0.25">
      <c r="B257" t="s">
        <v>134</v>
      </c>
      <c r="C257">
        <v>0.75</v>
      </c>
      <c r="D257">
        <v>1</v>
      </c>
      <c r="E257">
        <v>1</v>
      </c>
      <c r="F257">
        <v>1</v>
      </c>
      <c r="G257"/>
    </row>
    <row r="258" spans="1:7" s="3" customFormat="1" x14ac:dyDescent="0.25">
      <c r="A258" s="41" t="s">
        <v>441</v>
      </c>
      <c r="B258" s="18" t="s">
        <v>343</v>
      </c>
      <c r="C258">
        <v>3</v>
      </c>
      <c r="D258">
        <v>4</v>
      </c>
      <c r="E258">
        <v>5</v>
      </c>
      <c r="F258">
        <v>3</v>
      </c>
      <c r="G258"/>
    </row>
    <row r="259" spans="1:7" s="24" customFormat="1" x14ac:dyDescent="0.25">
      <c r="A259" s="23" t="s">
        <v>442</v>
      </c>
      <c r="B259" s="18" t="s">
        <v>341</v>
      </c>
      <c r="C259">
        <v>850</v>
      </c>
      <c r="D259">
        <v>1500</v>
      </c>
      <c r="E259">
        <v>500</v>
      </c>
      <c r="F259">
        <v>650</v>
      </c>
      <c r="G259"/>
    </row>
    <row r="260" spans="1:7" x14ac:dyDescent="0.25">
      <c r="A260" s="41" t="s">
        <v>443</v>
      </c>
      <c r="B260" t="s">
        <v>150</v>
      </c>
      <c r="C260">
        <v>3</v>
      </c>
      <c r="D260">
        <v>3</v>
      </c>
      <c r="E260">
        <v>2</v>
      </c>
      <c r="F260">
        <v>2</v>
      </c>
    </row>
    <row r="261" spans="1:7" x14ac:dyDescent="0.25">
      <c r="B261" t="s">
        <v>151</v>
      </c>
      <c r="C261">
        <v>1</v>
      </c>
      <c r="D261">
        <v>1</v>
      </c>
      <c r="E261">
        <v>1</v>
      </c>
      <c r="F261">
        <v>1</v>
      </c>
    </row>
    <row r="262" spans="1:7" x14ac:dyDescent="0.25">
      <c r="B262" s="18" t="s">
        <v>485</v>
      </c>
      <c r="C262">
        <f>(C258-1)*(C259+C255)+C253</f>
        <v>1763.4</v>
      </c>
      <c r="D262">
        <f t="shared" ref="D262:F262" si="64">(D258-1)*(D259+D255)+D253</f>
        <v>4614.1000000000004</v>
      </c>
      <c r="E262">
        <f t="shared" si="64"/>
        <v>2114.3000000000002</v>
      </c>
      <c r="F262">
        <f t="shared" si="64"/>
        <v>1363.4</v>
      </c>
    </row>
    <row r="263" spans="1:7" x14ac:dyDescent="0.25">
      <c r="B263" s="18" t="s">
        <v>396</v>
      </c>
      <c r="C263">
        <v>38</v>
      </c>
      <c r="D263">
        <v>305</v>
      </c>
      <c r="E263">
        <v>0</v>
      </c>
      <c r="F263">
        <v>0</v>
      </c>
    </row>
    <row r="264" spans="1:7" x14ac:dyDescent="0.25">
      <c r="B264" s="18" t="s">
        <v>397</v>
      </c>
      <c r="C264">
        <v>38</v>
      </c>
      <c r="D264">
        <v>152</v>
      </c>
      <c r="E264">
        <v>0</v>
      </c>
      <c r="F264">
        <v>0</v>
      </c>
    </row>
    <row r="265" spans="1:7" x14ac:dyDescent="0.25">
      <c r="A265" s="18" t="s">
        <v>454</v>
      </c>
      <c r="B265" s="18" t="s">
        <v>383</v>
      </c>
      <c r="C265">
        <v>203</v>
      </c>
      <c r="D265">
        <v>457</v>
      </c>
      <c r="E265">
        <v>203</v>
      </c>
      <c r="F265">
        <v>127</v>
      </c>
    </row>
    <row r="266" spans="1:7" x14ac:dyDescent="0.25">
      <c r="B266" s="18" t="s">
        <v>446</v>
      </c>
      <c r="C266">
        <v>0</v>
      </c>
      <c r="D266">
        <v>0</v>
      </c>
      <c r="E266">
        <v>0</v>
      </c>
      <c r="F266">
        <v>0</v>
      </c>
    </row>
    <row r="267" spans="1:7" x14ac:dyDescent="0.25">
      <c r="B267" s="18" t="s">
        <v>445</v>
      </c>
      <c r="C267">
        <v>0</v>
      </c>
      <c r="D267">
        <v>0</v>
      </c>
      <c r="E267">
        <v>0</v>
      </c>
      <c r="F267">
        <v>0</v>
      </c>
    </row>
    <row r="268" spans="1:7" x14ac:dyDescent="0.25">
      <c r="A268" s="18" t="s">
        <v>444</v>
      </c>
      <c r="B268" t="s">
        <v>152</v>
      </c>
      <c r="C268">
        <v>152</v>
      </c>
      <c r="D268">
        <v>130</v>
      </c>
      <c r="E268">
        <v>159</v>
      </c>
      <c r="F268">
        <v>216</v>
      </c>
    </row>
    <row r="269" spans="1:7" x14ac:dyDescent="0.25">
      <c r="A269" s="18" t="s">
        <v>448</v>
      </c>
      <c r="B269" t="s">
        <v>153</v>
      </c>
      <c r="C269">
        <v>5.8</v>
      </c>
      <c r="D269">
        <v>5.5</v>
      </c>
      <c r="E269">
        <v>4</v>
      </c>
      <c r="F269">
        <v>4</v>
      </c>
    </row>
    <row r="270" spans="1:7" x14ac:dyDescent="0.25">
      <c r="A270" s="18" t="s">
        <v>449</v>
      </c>
      <c r="B270" t="s">
        <v>154</v>
      </c>
      <c r="C270">
        <v>2.5</v>
      </c>
      <c r="D270">
        <v>0</v>
      </c>
      <c r="E270">
        <v>0</v>
      </c>
      <c r="F270">
        <v>0</v>
      </c>
    </row>
    <row r="271" spans="1:7" s="3" customFormat="1" x14ac:dyDescent="0.25">
      <c r="A271" s="22" t="s">
        <v>450</v>
      </c>
      <c r="B271" s="3" t="s">
        <v>155</v>
      </c>
      <c r="C271" s="3">
        <f>C20-C269-C272</f>
        <v>6.6000000000000014</v>
      </c>
      <c r="D271" s="3">
        <f>D20-D269-D272</f>
        <v>8.9</v>
      </c>
      <c r="E271" s="3">
        <f>E20-E269-E272</f>
        <v>5.5</v>
      </c>
      <c r="F271" s="3">
        <f>F20-F269-F272</f>
        <v>5</v>
      </c>
    </row>
    <row r="272" spans="1:7" x14ac:dyDescent="0.25">
      <c r="A272" s="22" t="s">
        <v>451</v>
      </c>
      <c r="B272" s="18" t="s">
        <v>380</v>
      </c>
      <c r="C272">
        <v>2.5</v>
      </c>
      <c r="D272" s="3">
        <v>0.5</v>
      </c>
      <c r="E272" s="3">
        <v>2.5</v>
      </c>
      <c r="F272" s="3">
        <v>0</v>
      </c>
    </row>
    <row r="273" spans="1:7" x14ac:dyDescent="0.25">
      <c r="A273" s="22"/>
      <c r="B273" s="18" t="s">
        <v>482</v>
      </c>
      <c r="C273">
        <f>C269+C272-C24</f>
        <v>2.3000000000000007</v>
      </c>
      <c r="D273">
        <f>D269+D272-D24</f>
        <v>3</v>
      </c>
      <c r="E273">
        <f>E269+E272-E24</f>
        <v>2</v>
      </c>
      <c r="F273">
        <f>F269+F272-F24</f>
        <v>2.2000000000000002</v>
      </c>
    </row>
    <row r="274" spans="1:7" x14ac:dyDescent="0.25">
      <c r="B274" t="s">
        <v>156</v>
      </c>
      <c r="C274" s="2">
        <f>C268/C17</f>
        <v>0.63359733222175907</v>
      </c>
      <c r="D274" s="2">
        <f>D268/D17</f>
        <v>0.50830889540566959</v>
      </c>
      <c r="E274" s="2">
        <f>E268/E17</f>
        <v>0.63409770687936196</v>
      </c>
      <c r="F274" s="2">
        <f>F268/F17</f>
        <v>0.53333333333333333</v>
      </c>
      <c r="G274" s="2"/>
    </row>
    <row r="275" spans="1:7" x14ac:dyDescent="0.25">
      <c r="A275" s="18" t="s">
        <v>452</v>
      </c>
      <c r="B275" s="18" t="s">
        <v>352</v>
      </c>
      <c r="C275" s="1">
        <f>C294*C108*(1+C109/10)</f>
        <v>105.3</v>
      </c>
      <c r="D275" s="1">
        <f>D294*D108*(1+D109/10)</f>
        <v>54</v>
      </c>
      <c r="E275" s="1">
        <f>E294*E108*(1+E109/10)</f>
        <v>43.199999999999996</v>
      </c>
      <c r="F275" s="1">
        <f>F294*F108*(1+F109/10)</f>
        <v>109.2</v>
      </c>
      <c r="G275" s="1"/>
    </row>
    <row r="276" spans="1:7" x14ac:dyDescent="0.25">
      <c r="A276" s="18" t="s">
        <v>453</v>
      </c>
      <c r="B276" s="18" t="s">
        <v>353</v>
      </c>
      <c r="C276" s="1">
        <f>C268-C275</f>
        <v>46.7</v>
      </c>
      <c r="D276" s="1">
        <f>D268-D275</f>
        <v>76</v>
      </c>
      <c r="E276" s="1">
        <f>E268-E275</f>
        <v>115.80000000000001</v>
      </c>
      <c r="F276" s="1">
        <f>F268-F275</f>
        <v>106.8</v>
      </c>
      <c r="G276" s="1"/>
    </row>
    <row r="277" spans="1:7" s="38" customFormat="1" x14ac:dyDescent="0.25">
      <c r="B277" s="39" t="s">
        <v>354</v>
      </c>
      <c r="C277" s="39">
        <f>C247*C275*(C239+C237+C240)*0.9*7.9/1000</f>
        <v>1948.8737468724248</v>
      </c>
      <c r="D277" s="39">
        <f>D247*D275*(D239+D237+D240)*0.9*7.9/1000</f>
        <v>2662.0863840000002</v>
      </c>
      <c r="E277" s="39">
        <f>E247*E275*(E239+E237+E240)*0.9*7.9/1000</f>
        <v>1368.3621599999997</v>
      </c>
      <c r="F277" s="39">
        <f>F247*F275*(F239+F237+F240)*0.9*7.9/1000</f>
        <v>2976.7636080000007</v>
      </c>
    </row>
    <row r="278" spans="1:7" s="38" customFormat="1" x14ac:dyDescent="0.25">
      <c r="B278" s="39" t="s">
        <v>355</v>
      </c>
      <c r="C278" s="38">
        <f>C247*C276*(C238+C237+C240)*7.9/1000</f>
        <v>960.35036381705459</v>
      </c>
      <c r="D278" s="38">
        <f>D247*D276*(D238+D237+D240)*7.9/1000</f>
        <v>4162.9334399999998</v>
      </c>
      <c r="E278" s="38">
        <f>E247*E276*(E238+E237+E240)*7.9/1000</f>
        <v>4075.5231000000003</v>
      </c>
      <c r="F278" s="38">
        <f>F247*F276*(F238+F237+F240)*7.9/1000</f>
        <v>3234.8224800000003</v>
      </c>
    </row>
    <row r="279" spans="1:7" s="38" customFormat="1" x14ac:dyDescent="0.25">
      <c r="B279" s="39" t="s">
        <v>356</v>
      </c>
      <c r="C279" s="38">
        <f>(_xlfn.SEC(RADIANS(C227))*C226 + C231+C232)*C275*C269*2/1000*7.9</f>
        <v>3274.4990487397467</v>
      </c>
      <c r="D279" s="38">
        <f>(_xlfn.SEC(RADIANS(D227))*D226 + D231+D232)*D275*D269*2/1000*7.9</f>
        <v>1981.9739078860066</v>
      </c>
      <c r="E279" s="38">
        <f>(_xlfn.SEC(RADIANS(E227))*E226 + E231+E232)*E275*E269*2/1000*7.9</f>
        <v>582.76107729017019</v>
      </c>
      <c r="F279" s="38">
        <f>(_xlfn.SEC(RADIANS(F227))*F226 + F231+F232)*F275*F269*2/1000*7.9</f>
        <v>1473.0905009279302</v>
      </c>
    </row>
    <row r="280" spans="1:7" s="38" customFormat="1" x14ac:dyDescent="0.25">
      <c r="B280" s="39" t="s">
        <v>357</v>
      </c>
      <c r="C280" s="38">
        <f>(_xlfn.SEC(RADIANS(C227))*C225 + C231+C232)*C276*C269*2/1000*7.9</f>
        <v>1452.223224844693</v>
      </c>
      <c r="D280" s="38">
        <f>(_xlfn.SEC(RADIANS(D227))*D225 + D231+D232)*D276*D269*2/1000*7.9</f>
        <v>2789.4447592469724</v>
      </c>
      <c r="E280" s="38">
        <f>(_xlfn.SEC(RADIANS(E227))*E225 + E231+E232)*E276*E269*2/1000*7.9</f>
        <v>1562.1234432917065</v>
      </c>
      <c r="F280" s="38">
        <f>(_xlfn.SEC(RADIANS(F227))*F225 + F231+F232)*F276*F269*2/1000*7.9</f>
        <v>1440.7148855229207</v>
      </c>
    </row>
    <row r="281" spans="1:7" s="38" customFormat="1" x14ac:dyDescent="0.25">
      <c r="B281" s="39" t="s">
        <v>387</v>
      </c>
      <c r="C281" s="38">
        <f>C275*C246*C243*2/1000*7.9</f>
        <v>689.56501772829506</v>
      </c>
      <c r="D281" s="38">
        <f>D275*D246*D243*2/1000*7.9</f>
        <v>0</v>
      </c>
      <c r="E281" s="38">
        <f>E275*E246*E243*2/1000*7.9</f>
        <v>0</v>
      </c>
      <c r="F281" s="38">
        <f>F275*F246*F243*2/1000*7.9</f>
        <v>0</v>
      </c>
    </row>
    <row r="282" spans="1:7" s="38" customFormat="1" x14ac:dyDescent="0.25">
      <c r="B282" s="39" t="s">
        <v>388</v>
      </c>
      <c r="C282" s="38">
        <f>C276*C246*C242*2/1000*7.9</f>
        <v>305.81848364588205</v>
      </c>
      <c r="D282" s="38">
        <f>D276*D246*D242*2/1000*7.9</f>
        <v>0</v>
      </c>
      <c r="E282" s="38">
        <f>E276*E246*E242*2/1000*7.9</f>
        <v>0</v>
      </c>
      <c r="F282" s="38">
        <f>F276*F246*F242*2/1000*7.9</f>
        <v>0</v>
      </c>
    </row>
    <row r="283" spans="1:7" s="38" customFormat="1" x14ac:dyDescent="0.25">
      <c r="B283" s="39" t="s">
        <v>358</v>
      </c>
      <c r="C283" s="38">
        <f>C275*(C254+C255*(C258-1))*C271*2/1000*7.9</f>
        <v>696.17536560000008</v>
      </c>
      <c r="D283" s="38">
        <f>D275*(D254+D255*(D258-1))*D271*2/1000*7.9</f>
        <v>866.41606800000011</v>
      </c>
      <c r="E283" s="38">
        <f>E275*(E254+E255*(E258-1))*E271*2/1000*7.9</f>
        <v>429.09134399999994</v>
      </c>
      <c r="F283" s="38">
        <f>F275*(F254+F255*(F258-1))*F271*2/1000*7.9</f>
        <v>546.93912</v>
      </c>
    </row>
    <row r="284" spans="1:7" s="38" customFormat="1" x14ac:dyDescent="0.25">
      <c r="B284" s="39" t="s">
        <v>359</v>
      </c>
      <c r="C284" s="38">
        <f>C276*(C253+C255*(C258-1))*C271*2/1000*7.9</f>
        <v>308.75013840000008</v>
      </c>
      <c r="D284" s="38">
        <f>D276*(D253+D255*(D258-1))*D271*2/1000*7.9</f>
        <v>1219.4003920000002</v>
      </c>
      <c r="E284" s="38">
        <f>E276*(E253+E255*(E258-1))*E271*2/1000*7.9</f>
        <v>1150.203186</v>
      </c>
      <c r="F284" s="38">
        <f>F276*(F253+F255*(F258-1))*F271*2/1000*7.9</f>
        <v>534.91847999999993</v>
      </c>
    </row>
    <row r="285" spans="1:7" s="38" customFormat="1" x14ac:dyDescent="0.25">
      <c r="B285" s="39" t="s">
        <v>447</v>
      </c>
      <c r="C285" s="38">
        <f>C266*C267*C269/500*7.9</f>
        <v>0</v>
      </c>
      <c r="D285" s="38">
        <f>D266*D267*D269/500*7.9</f>
        <v>0</v>
      </c>
      <c r="E285" s="38">
        <f>E266*E267*E269/500*7.9</f>
        <v>0</v>
      </c>
      <c r="F285" s="38">
        <f>F266*F267*F269/500*7.9</f>
        <v>0</v>
      </c>
    </row>
    <row r="286" spans="1:7" s="38" customFormat="1" x14ac:dyDescent="0.25">
      <c r="B286" s="39" t="s">
        <v>382</v>
      </c>
      <c r="C286" s="38">
        <f>C265*C269*C19*1.6/1000*7.9</f>
        <v>480.6994527999999</v>
      </c>
      <c r="D286" s="38">
        <f>D265*D269*D19*1.6/1000*7.9</f>
        <v>1019.8375440000002</v>
      </c>
      <c r="E286" s="38">
        <f>E265*E269*E19*1.6/1000*7.9</f>
        <v>277.11936000000003</v>
      </c>
      <c r="F286" s="38">
        <f>F265*F269*F19*1.6/1000*7.9</f>
        <v>173.37024000000002</v>
      </c>
    </row>
    <row r="287" spans="1:7" s="38" customFormat="1" x14ac:dyDescent="0.25">
      <c r="B287" s="39" t="s">
        <v>360</v>
      </c>
      <c r="C287" s="38">
        <f>C277+C278</f>
        <v>2909.2241106894794</v>
      </c>
      <c r="D287" s="38">
        <f>D277+D278</f>
        <v>6825.019824</v>
      </c>
      <c r="E287" s="38">
        <f>E277+E278</f>
        <v>5443.88526</v>
      </c>
      <c r="F287" s="38">
        <f>F277+F278</f>
        <v>6211.5860880000009</v>
      </c>
    </row>
    <row r="288" spans="1:7" s="38" customFormat="1" x14ac:dyDescent="0.25">
      <c r="B288" s="39" t="s">
        <v>361</v>
      </c>
      <c r="C288" s="38">
        <f>C279+C280</f>
        <v>4726.7222735844398</v>
      </c>
      <c r="D288" s="38">
        <f>D279+D280</f>
        <v>4771.418667132979</v>
      </c>
      <c r="E288" s="38">
        <f>E279+E280</f>
        <v>2144.8845205818766</v>
      </c>
      <c r="F288" s="38">
        <f>F279+F280</f>
        <v>2913.8053864508511</v>
      </c>
    </row>
    <row r="289" spans="1:7" s="38" customFormat="1" x14ac:dyDescent="0.25">
      <c r="B289" s="39" t="s">
        <v>393</v>
      </c>
      <c r="C289" s="38">
        <f>C281+C282</f>
        <v>995.38350137417706</v>
      </c>
      <c r="D289" s="38">
        <f>D281+D282</f>
        <v>0</v>
      </c>
      <c r="E289" s="38">
        <f>E281+E282</f>
        <v>0</v>
      </c>
      <c r="F289" s="38">
        <f>F281+F282</f>
        <v>0</v>
      </c>
    </row>
    <row r="290" spans="1:7" s="38" customFormat="1" x14ac:dyDescent="0.25">
      <c r="B290" s="39" t="s">
        <v>362</v>
      </c>
      <c r="C290" s="38">
        <f>C283+C284</f>
        <v>1004.9255040000002</v>
      </c>
      <c r="D290" s="38">
        <f>D283+D284</f>
        <v>2085.8164600000005</v>
      </c>
      <c r="E290" s="38">
        <f>E283+E284</f>
        <v>1579.2945299999999</v>
      </c>
      <c r="F290" s="38">
        <f>F283+F284</f>
        <v>1081.8575999999998</v>
      </c>
    </row>
    <row r="291" spans="1:7" s="38" customFormat="1" x14ac:dyDescent="0.25">
      <c r="B291" s="39" t="s">
        <v>395</v>
      </c>
      <c r="C291" s="38">
        <f>C268*C270*C252*2/1000*7.9</f>
        <v>762.50800000000004</v>
      </c>
      <c r="D291" s="38">
        <f>D268*D270*D252*2/1000*7.9</f>
        <v>0</v>
      </c>
      <c r="E291" s="38">
        <f>E268*E270*E252*2/1000*7.9</f>
        <v>0</v>
      </c>
      <c r="F291" s="38">
        <f>F268*F270*F252*2/1000*7.9</f>
        <v>0</v>
      </c>
    </row>
    <row r="292" spans="1:7" s="38" customFormat="1" x14ac:dyDescent="0.25">
      <c r="B292" s="39" t="s">
        <v>394</v>
      </c>
      <c r="C292" s="38">
        <f>((C263*2+C264)*(C276/10)^2+C234*2.5*15)/1000*7.9</f>
        <v>138.14109534000002</v>
      </c>
      <c r="D292" s="38">
        <f>((D263*2+D264)*(D276/10)^2+D234*2.5*15)/1000*7.9</f>
        <v>467.98114799999996</v>
      </c>
      <c r="E292" s="38">
        <f>((E263*2+E264)*(E276/10)^2+E234*2.5*15)/1000*7.9</f>
        <v>37.623750000000001</v>
      </c>
      <c r="F292" s="38">
        <f>((F263*2+F264)*(F276/10)^2+F234*2.5*15)/1000*7.9</f>
        <v>22.515000000000001</v>
      </c>
    </row>
    <row r="293" spans="1:7" s="38" customFormat="1" x14ac:dyDescent="0.25">
      <c r="B293" s="38" t="s">
        <v>157</v>
      </c>
      <c r="C293" s="38">
        <f>SUM(C285:C292)</f>
        <v>11017.603937788097</v>
      </c>
      <c r="D293" s="38">
        <f>SUM(D285:D292)</f>
        <v>15170.073643132979</v>
      </c>
      <c r="E293" s="38">
        <f>SUM(E285:E292)</f>
        <v>9482.8074205818757</v>
      </c>
      <c r="F293" s="38">
        <f>SUM(F285:F292)</f>
        <v>10403.13431445085</v>
      </c>
    </row>
    <row r="294" spans="1:7" x14ac:dyDescent="0.25">
      <c r="B294" t="s">
        <v>158</v>
      </c>
      <c r="C294">
        <v>13.5</v>
      </c>
      <c r="D294">
        <v>15</v>
      </c>
      <c r="E294">
        <v>12</v>
      </c>
      <c r="F294">
        <v>14</v>
      </c>
    </row>
    <row r="295" spans="1:7" x14ac:dyDescent="0.25">
      <c r="B295" t="s">
        <v>159</v>
      </c>
      <c r="C295">
        <v>9</v>
      </c>
      <c r="D295">
        <v>11.1</v>
      </c>
      <c r="E295">
        <v>8.5</v>
      </c>
      <c r="F295">
        <v>10.5</v>
      </c>
    </row>
    <row r="296" spans="1:7" x14ac:dyDescent="0.25">
      <c r="B296" t="s">
        <v>160</v>
      </c>
      <c r="C296">
        <v>3</v>
      </c>
      <c r="D296">
        <v>3</v>
      </c>
      <c r="E296">
        <v>2.8</v>
      </c>
      <c r="F296">
        <v>3</v>
      </c>
    </row>
    <row r="297" spans="1:7" x14ac:dyDescent="0.25">
      <c r="A297" s="18" t="s">
        <v>505</v>
      </c>
      <c r="B297" s="18" t="s">
        <v>504</v>
      </c>
      <c r="C297">
        <v>25</v>
      </c>
      <c r="D297">
        <v>40</v>
      </c>
      <c r="E297">
        <v>40</v>
      </c>
      <c r="F297">
        <v>40</v>
      </c>
    </row>
    <row r="298" spans="1:7" s="3" customFormat="1" x14ac:dyDescent="0.25">
      <c r="A298" s="22" t="s">
        <v>455</v>
      </c>
      <c r="B298" t="s">
        <v>161</v>
      </c>
      <c r="C298">
        <v>305</v>
      </c>
      <c r="D298">
        <v>508</v>
      </c>
      <c r="E298">
        <v>305</v>
      </c>
      <c r="F298">
        <v>256</v>
      </c>
      <c r="G298"/>
    </row>
    <row r="299" spans="1:7" s="3" customFormat="1" x14ac:dyDescent="0.25">
      <c r="A299" s="22" t="s">
        <v>456</v>
      </c>
      <c r="B299" t="s">
        <v>162</v>
      </c>
      <c r="C299">
        <v>178</v>
      </c>
      <c r="D299">
        <v>203</v>
      </c>
      <c r="E299">
        <v>102</v>
      </c>
      <c r="F299">
        <v>76</v>
      </c>
      <c r="G299"/>
    </row>
    <row r="300" spans="1:7" s="3" customFormat="1" x14ac:dyDescent="0.25">
      <c r="B300" t="s">
        <v>163</v>
      </c>
      <c r="C300">
        <v>178</v>
      </c>
      <c r="D300">
        <v>305</v>
      </c>
      <c r="E300">
        <v>102</v>
      </c>
      <c r="F300">
        <v>203</v>
      </c>
      <c r="G300"/>
    </row>
    <row r="301" spans="1:7" s="3" customFormat="1" x14ac:dyDescent="0.25">
      <c r="A301" s="22" t="s">
        <v>457</v>
      </c>
      <c r="B301" t="s">
        <v>164</v>
      </c>
      <c r="C301">
        <v>102</v>
      </c>
      <c r="D301">
        <v>178</v>
      </c>
      <c r="E301">
        <v>152</v>
      </c>
      <c r="F301">
        <v>152</v>
      </c>
      <c r="G301"/>
    </row>
    <row r="302" spans="1:7" x14ac:dyDescent="0.25">
      <c r="B302" t="s">
        <v>165</v>
      </c>
      <c r="C302" s="1">
        <f>((C295*C296*(C298+C300)/1000)+(C294*C296*C299/1000*2)+(C294*C295*C301/1000))*7.85*C108*0.9</f>
        <v>1689.3262800000002</v>
      </c>
      <c r="D302" s="1">
        <f>((D295*D296*(D298+D300)/1000)+(D294*D296*D299/1000*2)+(D294*D295*D301/1000))*7.85*D108*0.9</f>
        <v>1589.1989805000001</v>
      </c>
      <c r="E302" s="1">
        <f>((E295*E296*(E298+E300)/1000)+(E294*E296*E299/1000*2)+(E294*E295*E301/1000))*7.85*E108*0.9</f>
        <v>679.19377499999985</v>
      </c>
      <c r="F302" s="1">
        <f>((F295*F296*(F298+F300)/1000)+(F294*F296*F299/1000*2)+(F294*F295*F301/1000))*7.85*F108*0.9</f>
        <v>1830.6757350000003</v>
      </c>
      <c r="G302" s="1"/>
    </row>
    <row r="303" spans="1:7" x14ac:dyDescent="0.25">
      <c r="B303" t="s">
        <v>166</v>
      </c>
      <c r="C303" s="1">
        <f>C293+C302</f>
        <v>12706.930217788096</v>
      </c>
      <c r="D303" s="1">
        <f>D293+D302</f>
        <v>16759.27262363298</v>
      </c>
      <c r="E303" s="1">
        <f>E293+E302</f>
        <v>10162.001195581875</v>
      </c>
      <c r="F303" s="1">
        <f>F293+F302</f>
        <v>12233.810049450851</v>
      </c>
      <c r="G303" s="1"/>
    </row>
    <row r="304" spans="1:7" x14ac:dyDescent="0.25">
      <c r="B304" t="s">
        <v>167</v>
      </c>
      <c r="C304" s="16">
        <f>C303/C13</f>
        <v>0.33698179996595817</v>
      </c>
      <c r="D304" s="16">
        <f>D303/D13</f>
        <v>0.34551521382620937</v>
      </c>
      <c r="E304" s="16">
        <f>E303/E13</f>
        <v>0.317887979194097</v>
      </c>
      <c r="F304" s="16">
        <f>F303/F13</f>
        <v>0.24807155719440302</v>
      </c>
      <c r="G304" s="16"/>
    </row>
    <row r="305" spans="2:7" s="44" customFormat="1" x14ac:dyDescent="0.25">
      <c r="B305" s="45" t="s">
        <v>474</v>
      </c>
      <c r="C305" s="44">
        <f>C288*C225/15000</f>
        <v>96.110019562883608</v>
      </c>
      <c r="D305" s="44">
        <f>D288*D225/15000</f>
        <v>129.14639859039929</v>
      </c>
      <c r="E305" s="44">
        <f>E288*E225/15000</f>
        <v>29.027437178541398</v>
      </c>
      <c r="F305" s="44">
        <f>F288*F225/15000</f>
        <v>39.433499563301517</v>
      </c>
    </row>
    <row r="306" spans="2:7" s="44" customFormat="1" x14ac:dyDescent="0.25">
      <c r="B306" s="45" t="s">
        <v>475</v>
      </c>
      <c r="C306" s="44">
        <f>C287*C238/8000</f>
        <v>27.637629051550054</v>
      </c>
      <c r="D306" s="44">
        <f>D287*D238/8000</f>
        <v>151.856691084</v>
      </c>
      <c r="E306" s="44">
        <f>E287*E238/8000</f>
        <v>86.421678502500001</v>
      </c>
      <c r="F306" s="44">
        <f>F287*F238/8000</f>
        <v>98.608929147000012</v>
      </c>
    </row>
    <row r="307" spans="2:7" s="44" customFormat="1" x14ac:dyDescent="0.25">
      <c r="B307" s="45" t="s">
        <v>476</v>
      </c>
      <c r="C307" s="44">
        <f>SUM(C285,C286,C289:C292,C302)/80</f>
        <v>63.387297918927217</v>
      </c>
      <c r="D307" s="44">
        <f>SUM(D285,D286,D289:D292,D302)/80</f>
        <v>64.53542665625001</v>
      </c>
      <c r="E307" s="44">
        <f>SUM(E285,E286,E289:E292,E302)/80</f>
        <v>32.165392687499995</v>
      </c>
      <c r="F307" s="44">
        <f>SUM(F285,F286,F289:F292,F302)/80</f>
        <v>38.8552321875</v>
      </c>
    </row>
    <row r="308" spans="2:7" x14ac:dyDescent="0.25">
      <c r="B308" t="s">
        <v>168</v>
      </c>
      <c r="C308" s="1">
        <f>(C233+C242/3+C235+C236)/3</f>
        <v>358.44831284426891</v>
      </c>
      <c r="D308" s="1">
        <f>(D233+D242/3+D235+D236)/3</f>
        <v>422.36165004662121</v>
      </c>
      <c r="E308" s="1">
        <f>(E233+E242/3+E235+E236)/3</f>
        <v>213.44688247005524</v>
      </c>
      <c r="F308" s="1">
        <f>(F233+F242/3+F235+F236)/3</f>
        <v>213.44688247005524</v>
      </c>
      <c r="G308" s="1"/>
    </row>
    <row r="309" spans="2:7" x14ac:dyDescent="0.25">
      <c r="B309" s="21" t="s">
        <v>240</v>
      </c>
      <c r="C309" s="14">
        <f>((C128-(C233/C145*22400/C120)^(1/1.45))/5*C120/C133)^(1/0.82)</f>
        <v>14826.508506765078</v>
      </c>
      <c r="D309" s="14">
        <f>((D128-(D233/D145*22400/D120)^(1/1.45))/5*D120/D133)^(1/0.82)</f>
        <v>28543.556117641725</v>
      </c>
      <c r="E309" s="14">
        <f>((E128-(E233/E145*22400/E120)^(1/1.45))/5*E120/E133)^(1/0.82)</f>
        <v>27448.094835023385</v>
      </c>
      <c r="F309" s="14">
        <f>((F128-(F233/F145*22400/F120)^(1/1.45))/5*F120/F133)^(1/0.82)</f>
        <v>56662.190006742749</v>
      </c>
      <c r="G309" s="14"/>
    </row>
    <row r="310" spans="2:7" x14ac:dyDescent="0.25">
      <c r="B310" s="21" t="s">
        <v>241</v>
      </c>
      <c r="C310" s="14">
        <f>((C128-(C235/C145*22400/C120)^(1/1.45))/5*C120/C133)^(1/0.82)</f>
        <v>14826.508506765078</v>
      </c>
      <c r="D310" s="14">
        <f>((D128-(D235/D145*22400/D120)^(1/1.45))/5*D120/D133)^(1/0.82)</f>
        <v>28543.556117641725</v>
      </c>
      <c r="E310" s="14">
        <f>((E128-(E235/E145*22400/E120)^(1/1.45))/5*E120/E133)^(1/0.82)</f>
        <v>27448.094835023385</v>
      </c>
      <c r="F310" s="14">
        <f>((F128-(F235/F145*22400/F120)^(1/1.45))/5*F120/F133)^(1/0.82)</f>
        <v>56662.190006742749</v>
      </c>
      <c r="G310" s="14"/>
    </row>
    <row r="311" spans="2:7" x14ac:dyDescent="0.25">
      <c r="B311" s="21" t="s">
        <v>242</v>
      </c>
      <c r="C311" s="14">
        <f>((C128-(C236/C145*22400/C120)^(1/1.45))/5*C120/C133)^(1/0.82)</f>
        <v>14826.508506765078</v>
      </c>
      <c r="D311" s="14">
        <f>((D128-(D236/D145*22400/D120)^(1/1.45))/5*D120/D133)^(1/0.82)</f>
        <v>28543.556117641725</v>
      </c>
      <c r="E311" s="14">
        <f>((E128-(E236/E145*22400/E120)^(1/1.45))/5*E120/E133)^(1/0.82)</f>
        <v>27448.094835023385</v>
      </c>
      <c r="F311" s="14">
        <f>((F128-(F236/F145*22400/F120)^(1/1.45))/5*F120/F133)^(1/0.82)</f>
        <v>56662.190006742749</v>
      </c>
      <c r="G311" s="14"/>
    </row>
    <row r="312" spans="2:7" x14ac:dyDescent="0.25">
      <c r="B312" s="27" t="s">
        <v>266</v>
      </c>
      <c r="C312" s="15">
        <f>((C128-(C308/C145*22400/C120)^(1/1.45))/5*C120/C133)^(1/0.82)</f>
        <v>13682.419751186042</v>
      </c>
      <c r="D312" s="15">
        <f>((D128-(D308/D145*22400/D120)^(1/1.45))/5*D120/D133)^(1/0.82)</f>
        <v>28543.556117641725</v>
      </c>
      <c r="E312" s="15">
        <f>((E128-(E308/E145*22400/E120)^(1/1.45))/5*E120/E133)^(1/0.82)</f>
        <v>27448.094835023385</v>
      </c>
      <c r="F312" s="15">
        <f>((F128-(F308/F145*22400/F120)^(1/1.45))/5*F120/F133)^(1/0.82)</f>
        <v>56662.190006742749</v>
      </c>
      <c r="G312" s="15"/>
    </row>
    <row r="313" spans="2:7" x14ac:dyDescent="0.25">
      <c r="B313" s="27" t="s">
        <v>267</v>
      </c>
      <c r="C313" s="15">
        <f>C128^2*(SIN(((C251*C133*12/C120)^(1/1.02))*PI()/90))/9.8/((C136+C144)/C136)^1.25</f>
        <v>28619.280716025551</v>
      </c>
      <c r="D313" s="15">
        <f>D128^2*(SIN(((D251*D133*12/D120)^(1/1.02))*PI()/90))/9.8/((D136+D144)/D136)^1.25</f>
        <v>39752.967452052413</v>
      </c>
      <c r="E313" s="15">
        <f>E128^2*(SIN(((E251*E133*12/E120)^(1/1.02))*PI()/90))/9.8/((E136+E144)/E136)^1.25</f>
        <v>46482.548690952455</v>
      </c>
      <c r="F313" s="15">
        <f>F128^2*(SIN(((F251*F133*12/F120)^(1/1.02))*PI()/90))/9.8/((F136+F144)/F136)^1.25</f>
        <v>34973.434100671337</v>
      </c>
      <c r="G313" s="15"/>
    </row>
    <row r="314" spans="2:7" x14ac:dyDescent="0.25">
      <c r="B314" s="27" t="s">
        <v>268</v>
      </c>
      <c r="C314" s="15">
        <f>C313-C312</f>
        <v>14936.860964839509</v>
      </c>
      <c r="D314" s="15">
        <f>D313-D312</f>
        <v>11209.411334410688</v>
      </c>
      <c r="E314" s="15">
        <f>E313-E312</f>
        <v>19034.45385592907</v>
      </c>
      <c r="F314" s="15">
        <f>F313-F312</f>
        <v>-21688.755906071412</v>
      </c>
      <c r="G314" s="15"/>
    </row>
    <row r="315" spans="2:7" x14ac:dyDescent="0.25">
      <c r="B315" s="11" t="s">
        <v>169</v>
      </c>
      <c r="C315" s="15">
        <f>C250*4.1</f>
        <v>435.01</v>
      </c>
      <c r="D315" s="15">
        <f>D250*4.1</f>
        <v>942.99999999999989</v>
      </c>
      <c r="E315" s="15">
        <f>E250*4.1</f>
        <v>712.99000000000012</v>
      </c>
      <c r="F315" s="15">
        <f>F250*4.1</f>
        <v>628.12</v>
      </c>
      <c r="G315" s="15"/>
    </row>
    <row r="316" spans="2:7" x14ac:dyDescent="0.25">
      <c r="B316" s="10" t="s">
        <v>170</v>
      </c>
      <c r="C316" s="14">
        <f>C251*4.1</f>
        <v>435.01</v>
      </c>
      <c r="D316" s="14">
        <f>D251*4.1</f>
        <v>942.99999999999989</v>
      </c>
      <c r="E316" s="14">
        <f>E251*4.1</f>
        <v>712.99000000000012</v>
      </c>
      <c r="F316" s="14">
        <f>F251*4.1</f>
        <v>628.12</v>
      </c>
      <c r="G316" s="14"/>
    </row>
    <row r="317" spans="2:7" x14ac:dyDescent="0.25">
      <c r="B317" s="10" t="s">
        <v>171</v>
      </c>
      <c r="C317" s="14">
        <f>(C254*C257*20+C255*C257*(C258-1)*10+C259/2*C261*(C258-1))/11</f>
        <v>146.40909090909091</v>
      </c>
      <c r="D317" s="14">
        <f>(D254*D257*20+D255*D257*(D258-1)*10+D259/2*D261*(D258-1))/11</f>
        <v>377.36363636363637</v>
      </c>
      <c r="E317" s="14">
        <f>(E254*E257*20+E255*E257*(E258-1)*10+E259/2*E261*(E258-1))/11</f>
        <v>252.54545454545453</v>
      </c>
      <c r="F317" s="14">
        <f>(F254*F257*20+F255*F257*(F258-1)*10+F259/2*F261*(F258-1))/11</f>
        <v>151.27272727272728</v>
      </c>
      <c r="G317" s="14"/>
    </row>
    <row r="318" spans="2:7" x14ac:dyDescent="0.25">
      <c r="B318" s="18" t="s">
        <v>344</v>
      </c>
      <c r="C318" s="1">
        <f>C19*C17/(C18*C16)*(C37*C38+(C38+C48)*C45/4+C48*C45/4+(C38+C60)*C55/4+C60*C55/4)*(C20-C23)+C28*C29*C30*C18*C31</f>
        <v>30930.431873908157</v>
      </c>
      <c r="D318" s="1">
        <f t="shared" ref="D318:E318" si="65">D19*D17/(D18*D16)*(D37*D38+(D38+D48)*D45/4+D48*D45/4+(D38+D60)*D55/4+D60*D55/4)*(D20-D23)+D28*D29*D30*D18*D31</f>
        <v>31739.0390462998</v>
      </c>
      <c r="E318" s="1">
        <f t="shared" si="65"/>
        <v>20333.83039772727</v>
      </c>
      <c r="F318" s="1">
        <f t="shared" ref="F318" si="66">F19*F17/(F18*F16)*(F37*F38+(F38+F48)*F45/4+F48*F45/4+(F38+F60)*F55/4+F60*F55/4)*(F20-F23)+F28*F29*F30*F18*F31</f>
        <v>39825.80556569343</v>
      </c>
      <c r="G318" s="1"/>
    </row>
    <row r="319" spans="2:7" x14ac:dyDescent="0.25">
      <c r="B319" t="s">
        <v>172</v>
      </c>
      <c r="C319" s="1">
        <f>(C308+C316/3+C317/2)/C13^0.22</f>
        <v>56.76771789852512</v>
      </c>
      <c r="D319" s="1">
        <f>(D308+D316/3+D317/2)/D13^0.22</f>
        <v>86.187691794875562</v>
      </c>
      <c r="E319" s="1">
        <f>(E308+E316/3+E317/2)/E13^0.22</f>
        <v>58.942536344319961</v>
      </c>
      <c r="F319" s="1">
        <f>(F308+F316/3+F317/2)/F13^0.22</f>
        <v>46.256278127763146</v>
      </c>
      <c r="G319" s="1"/>
    </row>
    <row r="320" spans="2:7" x14ac:dyDescent="0.25">
      <c r="B320" t="s">
        <v>173</v>
      </c>
      <c r="C320" s="1">
        <f>(C318^0.8*C260^0.5*(C324/100)^0.1)/96</f>
        <v>89.540901307888078</v>
      </c>
      <c r="D320" s="1">
        <f>(D318^0.8*D260^0.5*(D324/100)^0.1)/96</f>
        <v>93.005123110074393</v>
      </c>
      <c r="E320" s="1">
        <f>(E318^0.8*E260^0.5*(E324/100)^0.1)/96</f>
        <v>52.326060358617809</v>
      </c>
      <c r="F320" s="1">
        <f>(F318^0.8*F260^0.5*(F324/100)^0.1)/96</f>
        <v>89.501302070024465</v>
      </c>
      <c r="G320" s="1"/>
    </row>
    <row r="321" spans="2:7" x14ac:dyDescent="0.25">
      <c r="B321" s="18" t="s">
        <v>345</v>
      </c>
      <c r="C321" s="1">
        <f>C184*C112*C117^0.8/75</f>
        <v>101.09851341125822</v>
      </c>
      <c r="D321" s="1">
        <f>D184*D112*D117^0.8/75</f>
        <v>130.97347038215329</v>
      </c>
      <c r="E321" s="1">
        <f>E184*E112*E117^0.8/75</f>
        <v>101.76719796691181</v>
      </c>
      <c r="F321" s="1">
        <f>F184*F112*F117^0.8/75</f>
        <v>319.88908131572703</v>
      </c>
      <c r="G321" s="1"/>
    </row>
    <row r="322" spans="2:7" x14ac:dyDescent="0.25">
      <c r="B322" s="18" t="s">
        <v>347</v>
      </c>
      <c r="C322" s="3">
        <v>14</v>
      </c>
      <c r="D322" s="3">
        <v>14</v>
      </c>
      <c r="E322" s="3">
        <v>11</v>
      </c>
      <c r="F322" s="3">
        <v>9</v>
      </c>
      <c r="G322" s="3"/>
    </row>
    <row r="323" spans="2:7" x14ac:dyDescent="0.25">
      <c r="B323" s="18" t="s">
        <v>348</v>
      </c>
      <c r="C323" s="3">
        <v>122</v>
      </c>
      <c r="D323" s="3">
        <v>140</v>
      </c>
      <c r="E323" s="3">
        <v>145</v>
      </c>
      <c r="F323" s="3">
        <v>160</v>
      </c>
      <c r="G323" s="3"/>
    </row>
    <row r="324" spans="2:7" x14ac:dyDescent="0.25">
      <c r="B324" s="18" t="s">
        <v>349</v>
      </c>
      <c r="C324" s="1">
        <f>C322*C323*C90</f>
        <v>1082.0138032998148</v>
      </c>
      <c r="D324" s="1">
        <f>D322*D323*D90</f>
        <v>1286.5438335902966</v>
      </c>
      <c r="E324" s="1">
        <f>E322*E323*E90</f>
        <v>1093.9290508105314</v>
      </c>
      <c r="F324" s="1">
        <f>F322*F323*F90</f>
        <v>1082.7777777777778</v>
      </c>
      <c r="G324" s="1"/>
    </row>
    <row r="325" spans="2:7" x14ac:dyDescent="0.25">
      <c r="B325" s="4" t="s">
        <v>174</v>
      </c>
      <c r="C325" s="3">
        <v>1</v>
      </c>
      <c r="D325" s="3">
        <v>1</v>
      </c>
      <c r="E325" s="3">
        <v>1</v>
      </c>
      <c r="F325" s="3">
        <v>1</v>
      </c>
      <c r="G325" s="3"/>
    </row>
    <row r="326" spans="2:7" x14ac:dyDescent="0.25">
      <c r="B326" s="18" t="s">
        <v>244</v>
      </c>
      <c r="C326" s="1">
        <f>((C16*C18*C20)/14)*C325+C28*C29*C30*C18/15+C324/2</f>
        <v>9057.9533302213367</v>
      </c>
      <c r="D326" s="1">
        <f>((D16*D18*D20)/14)*D325+D28*D29*D30*D18/15+D324/2</f>
        <v>11054.689059652292</v>
      </c>
      <c r="E326" s="1">
        <f>((E16*E18*E20)/14)*E325+E28*E29*E30*E18/15+E324/2</f>
        <v>6486.9645254052657</v>
      </c>
      <c r="F326" s="1">
        <f>((F16*F18*F20)/14)*F325+F28*F29*F30*F18/15+F324/2</f>
        <v>9673.1488888888889</v>
      </c>
      <c r="G326" s="1"/>
    </row>
    <row r="327" spans="2:7" x14ac:dyDescent="0.25">
      <c r="B327" s="18" t="s">
        <v>247</v>
      </c>
      <c r="C327" s="1">
        <f>(C26-C20)*C18*(C16/100)/10</f>
        <v>302.49450000000002</v>
      </c>
      <c r="D327" s="1">
        <f>(D26-D20)*D18*(D16/100)/10</f>
        <v>232.94559999999996</v>
      </c>
      <c r="E327" s="1">
        <f>(E26-E20)*E18*(E16/100)/10</f>
        <v>194.04000000000002</v>
      </c>
      <c r="F327" s="1">
        <f>(F26-F20)*F18*(F16/100)/10</f>
        <v>345.24</v>
      </c>
      <c r="G327" s="1"/>
    </row>
    <row r="328" spans="2:7" x14ac:dyDescent="0.25">
      <c r="B328" s="22" t="s">
        <v>243</v>
      </c>
      <c r="C328" s="3">
        <v>2000</v>
      </c>
      <c r="D328" s="3">
        <v>1500</v>
      </c>
      <c r="E328" s="3">
        <v>1000</v>
      </c>
      <c r="F328" s="3">
        <v>1000</v>
      </c>
      <c r="G328" s="3"/>
    </row>
    <row r="329" spans="2:7" x14ac:dyDescent="0.25">
      <c r="B329" s="22" t="s">
        <v>245</v>
      </c>
      <c r="C329" s="1">
        <f t="shared" ref="C329:D329" si="67">C326+C328+C327</f>
        <v>11360.447830221337</v>
      </c>
      <c r="D329" s="1">
        <f t="shared" si="67"/>
        <v>12787.634659652291</v>
      </c>
      <c r="E329" s="1">
        <f t="shared" ref="E329:F329" si="68">E326+E328+E327</f>
        <v>7681.0045254052657</v>
      </c>
      <c r="F329" s="1">
        <f t="shared" si="68"/>
        <v>11018.388888888889</v>
      </c>
      <c r="G329" s="1"/>
    </row>
    <row r="330" spans="2:7" s="46" customFormat="1" x14ac:dyDescent="0.25">
      <c r="B330" s="47" t="s">
        <v>477</v>
      </c>
      <c r="C330" s="48">
        <f>(C329-C328)/40</f>
        <v>234.01119575553344</v>
      </c>
      <c r="D330" s="48">
        <f>(D329-D328)/40</f>
        <v>282.19086649130725</v>
      </c>
      <c r="E330" s="48">
        <f>(E329-E328)/40</f>
        <v>167.02511313513165</v>
      </c>
      <c r="F330" s="48">
        <f>(F329-F328)/40</f>
        <v>250.45972222222221</v>
      </c>
      <c r="G330" s="48"/>
    </row>
    <row r="331" spans="2:7" s="46" customFormat="1" x14ac:dyDescent="0.25">
      <c r="B331" s="47" t="s">
        <v>478</v>
      </c>
      <c r="C331" s="48">
        <v>71</v>
      </c>
      <c r="D331" s="48">
        <v>134</v>
      </c>
      <c r="E331" s="48">
        <v>135</v>
      </c>
      <c r="F331" s="48">
        <v>136</v>
      </c>
      <c r="G331" s="48"/>
    </row>
    <row r="332" spans="2:7" x14ac:dyDescent="0.25">
      <c r="B332" s="22" t="s">
        <v>248</v>
      </c>
      <c r="C332" s="3">
        <v>3</v>
      </c>
      <c r="D332" s="3">
        <v>1</v>
      </c>
      <c r="E332" s="3">
        <v>1</v>
      </c>
      <c r="F332" s="3">
        <v>3</v>
      </c>
      <c r="G332" s="3"/>
    </row>
    <row r="333" spans="2:7" x14ac:dyDescent="0.25">
      <c r="B333" s="22" t="s">
        <v>249</v>
      </c>
      <c r="C333" s="3">
        <v>0</v>
      </c>
      <c r="D333" s="3">
        <v>0</v>
      </c>
      <c r="E333" s="3">
        <v>0</v>
      </c>
      <c r="F333" s="3">
        <v>0</v>
      </c>
      <c r="G333" s="3"/>
    </row>
    <row r="334" spans="2:7" x14ac:dyDescent="0.25">
      <c r="B334" s="23" t="s">
        <v>250</v>
      </c>
      <c r="C334" s="24">
        <f>((C108-C332-C333)*(C296+1)+C332*(C296+3.5)+C333*(C296+5.8))/C108</f>
        <v>5.25</v>
      </c>
      <c r="D334" s="24">
        <f>((D108-D332-D333)*(D296+1)+D332*(D296+3.5)+D333*(D296+5.8))/D108</f>
        <v>4.833333333333333</v>
      </c>
      <c r="E334" s="24">
        <f>((E108-E332-E333)*(E296+1)+E332*(E296+3.5)+E333*(E296+5.8))/E108</f>
        <v>4.6333333333333329</v>
      </c>
      <c r="F334" s="24">
        <f>((F108-F332-F333)*(F296+1)+F332*(F296+3.5)+F333*(F296+5.8))/F108</f>
        <v>5.25</v>
      </c>
      <c r="G334" s="24"/>
    </row>
    <row r="335" spans="2:7" s="38" customFormat="1" x14ac:dyDescent="0.25">
      <c r="B335" s="39" t="s">
        <v>501</v>
      </c>
      <c r="C335" s="38">
        <f>(C113/1000)^2*C114*C112*61</f>
        <v>4638.5375999999997</v>
      </c>
      <c r="D335" s="38">
        <f t="shared" ref="D335:E335" si="69">(D113/1000)^2*D114*D112*61</f>
        <v>4524.7482000000009</v>
      </c>
      <c r="E335" s="38">
        <f t="shared" si="69"/>
        <v>2808.8898749999998</v>
      </c>
      <c r="F335" s="38">
        <f t="shared" ref="F335" si="70">(F113/1000)^2*F114*F112*61</f>
        <v>9049.4964000000018</v>
      </c>
    </row>
    <row r="336" spans="2:7" s="38" customFormat="1" x14ac:dyDescent="0.25">
      <c r="B336" s="39" t="s">
        <v>502</v>
      </c>
      <c r="C336" s="38">
        <f>C189*(C190/1000)^2*C191*50</f>
        <v>367.74119999999999</v>
      </c>
      <c r="D336" s="38">
        <f t="shared" ref="D336:F336" si="71">D189*(D190/1000)^2*D191*50</f>
        <v>779.75999999999988</v>
      </c>
      <c r="E336" s="38">
        <f t="shared" si="71"/>
        <v>580.64400000000001</v>
      </c>
      <c r="F336" s="38">
        <f t="shared" si="71"/>
        <v>1870.9639999999999</v>
      </c>
    </row>
    <row r="337" spans="1:7" s="38" customFormat="1" x14ac:dyDescent="0.25">
      <c r="B337" s="39" t="s">
        <v>503</v>
      </c>
      <c r="C337" s="38">
        <f>(C197*(C198/1000)^2*50+C203*(C204/1000)^2*50)*50</f>
        <v>0</v>
      </c>
      <c r="D337" s="38">
        <f>(D197*(D198/1000)^2*50+D203*(D204/1000)^2*50)*50</f>
        <v>602.55999999999995</v>
      </c>
      <c r="E337" s="38">
        <f t="shared" ref="E337:F337" si="72">(E197*(E198/1000)^2*50+E203*(E204/1000)^2*50)*50</f>
        <v>0</v>
      </c>
      <c r="F337" s="38">
        <f t="shared" si="72"/>
        <v>459.37500000000011</v>
      </c>
    </row>
    <row r="338" spans="1:7" x14ac:dyDescent="0.25">
      <c r="B338" t="s">
        <v>175</v>
      </c>
      <c r="C338" s="1">
        <f>SUM(C335:C337)+C209*C210/200</f>
        <v>5006.2788</v>
      </c>
      <c r="D338" s="1">
        <f>SUM(D335:D337)+D209*D210/200</f>
        <v>5907.0682000000015</v>
      </c>
      <c r="E338" s="1">
        <f>SUM(E335:E337)+E209*E210/200</f>
        <v>3389.5338750000001</v>
      </c>
      <c r="F338" s="1">
        <f>SUM(F335:F337)+F209*F210/200</f>
        <v>11379.835400000002</v>
      </c>
      <c r="G338" s="1"/>
    </row>
    <row r="339" spans="1:7" x14ac:dyDescent="0.25">
      <c r="B339" t="s">
        <v>176</v>
      </c>
      <c r="C339" s="1">
        <f>C112*C118*C120*1.2/1000+C189*C194*C193*1.5/1000+C197*C201*C200*2/1000000+C203*C207*C206*2.5/1000000+(C209+C217)*C212/1000</f>
        <v>1391.904</v>
      </c>
      <c r="D339" s="1">
        <f>D112*D118*D120*1.2/1000+D189*D194*D193*1.5/1000+D197*D201*D200*2/1000000+D203*D207*D206*2.5/1000000+(D209+D217)*D212/1000</f>
        <v>1843.19</v>
      </c>
      <c r="E339" s="1">
        <f>E112*E118*E120*1.2/1000+E189*E194*E193*1.5/1000+E197*E201*E200*2/1000000+E203*E207*E206*2.5/1000000+(E209+E217)*E212/1000</f>
        <v>1059.5999999999999</v>
      </c>
      <c r="F339" s="1">
        <f>F112*F118*F120*1.2/1000+F189*F194*F193*1.5/1000+F197*F201*F200*2/1000000+F203*F207*F206*2.5/1000000+(F209+F217)*F212/1000</f>
        <v>3311.2755000000002</v>
      </c>
      <c r="G339" s="1"/>
    </row>
    <row r="340" spans="1:7" x14ac:dyDescent="0.25">
      <c r="B340" t="s">
        <v>177</v>
      </c>
      <c r="C340">
        <f>C74*C80</f>
        <v>3570</v>
      </c>
      <c r="D340">
        <f>D74*D80</f>
        <v>7560</v>
      </c>
      <c r="E340">
        <f>E74*E80</f>
        <v>7257.6</v>
      </c>
      <c r="F340">
        <f>F74*F80</f>
        <v>7703.04</v>
      </c>
    </row>
    <row r="341" spans="1:7" x14ac:dyDescent="0.25">
      <c r="B341" t="s">
        <v>178</v>
      </c>
      <c r="C341">
        <v>720</v>
      </c>
      <c r="D341">
        <v>0</v>
      </c>
      <c r="E341">
        <v>0</v>
      </c>
      <c r="F341">
        <v>0</v>
      </c>
    </row>
    <row r="342" spans="1:7" x14ac:dyDescent="0.25">
      <c r="B342" t="s">
        <v>179</v>
      </c>
      <c r="C342" s="1">
        <f>C12/16</f>
        <v>2412.5</v>
      </c>
      <c r="D342" s="1">
        <f>D12/16</f>
        <v>3000</v>
      </c>
      <c r="E342" s="1">
        <f>E12/16</f>
        <v>1937.5</v>
      </c>
      <c r="F342" s="1">
        <f>F12/16</f>
        <v>3125</v>
      </c>
      <c r="G342" s="1"/>
    </row>
    <row r="343" spans="1:7" x14ac:dyDescent="0.25">
      <c r="B343" t="s">
        <v>180</v>
      </c>
      <c r="C343" s="1">
        <v>1800</v>
      </c>
      <c r="D343" s="1">
        <v>2000</v>
      </c>
      <c r="E343" s="1">
        <v>1600</v>
      </c>
      <c r="F343" s="1">
        <v>1601</v>
      </c>
      <c r="G343" s="1"/>
    </row>
    <row r="344" spans="1:7" x14ac:dyDescent="0.25">
      <c r="B344" t="s">
        <v>181</v>
      </c>
      <c r="C344" s="1">
        <f t="shared" ref="C344:E344" si="73">C343*0.3</f>
        <v>540</v>
      </c>
      <c r="D344" s="1">
        <f t="shared" si="73"/>
        <v>600</v>
      </c>
      <c r="E344" s="1">
        <f t="shared" si="73"/>
        <v>480</v>
      </c>
      <c r="F344" s="1">
        <f t="shared" ref="F344" si="74">F343*0.3</f>
        <v>480.29999999999995</v>
      </c>
      <c r="G344" s="1"/>
    </row>
    <row r="345" spans="1:7" x14ac:dyDescent="0.25">
      <c r="B345" t="s">
        <v>182</v>
      </c>
      <c r="C345" s="1">
        <v>250</v>
      </c>
      <c r="D345" s="1">
        <v>350</v>
      </c>
      <c r="E345" s="1">
        <v>350</v>
      </c>
      <c r="F345" s="1">
        <v>400</v>
      </c>
      <c r="G345" s="1"/>
    </row>
    <row r="346" spans="1:7" x14ac:dyDescent="0.25">
      <c r="B346" t="s">
        <v>183</v>
      </c>
      <c r="C346">
        <v>0</v>
      </c>
      <c r="D346" s="1">
        <v>3</v>
      </c>
      <c r="E346" s="1">
        <v>0</v>
      </c>
      <c r="F346" s="1">
        <v>4</v>
      </c>
      <c r="G346" s="1"/>
    </row>
    <row r="347" spans="1:7" x14ac:dyDescent="0.25">
      <c r="B347" t="s">
        <v>184</v>
      </c>
      <c r="C347">
        <f t="shared" ref="C347:D347" si="75">C346*16</f>
        <v>0</v>
      </c>
      <c r="D347">
        <f t="shared" si="75"/>
        <v>48</v>
      </c>
      <c r="E347">
        <f t="shared" ref="E347:F347" si="76">E346*16</f>
        <v>0</v>
      </c>
      <c r="F347">
        <f t="shared" si="76"/>
        <v>64</v>
      </c>
    </row>
    <row r="348" spans="1:7" x14ac:dyDescent="0.25">
      <c r="B348" t="s">
        <v>185</v>
      </c>
      <c r="C348" s="1">
        <f>C303+C329+C338+C340+C341+C342</f>
        <v>35776.156848009436</v>
      </c>
      <c r="D348" s="1">
        <f>D303+D329+D338+D340+D341+D342</f>
        <v>46013.97548328527</v>
      </c>
      <c r="E348" s="1">
        <f>E303+E329+E338+E340+E341+E342</f>
        <v>30427.639595987144</v>
      </c>
      <c r="F348" s="1">
        <f>F303+F329+F338+F340+F341+F342</f>
        <v>45460.074338339742</v>
      </c>
      <c r="G348" s="1"/>
    </row>
    <row r="349" spans="1:7" x14ac:dyDescent="0.25">
      <c r="B349" t="s">
        <v>186</v>
      </c>
      <c r="C349" s="1">
        <f>C14-C348-C347-C339-C345-C344</f>
        <v>5730.4972769905671</v>
      </c>
      <c r="D349" s="1">
        <f>D14-D348-D347-D339-D345-D344</f>
        <v>15271.130079214732</v>
      </c>
      <c r="E349" s="1">
        <f>E14-E348-E347-E339-E345-E344</f>
        <v>2508.0260290128558</v>
      </c>
      <c r="F349" s="1">
        <f>F14-F348-F347-F339-F345-F344</f>
        <v>9485.2251616602589</v>
      </c>
      <c r="G349" s="1"/>
    </row>
    <row r="350" spans="1:7" x14ac:dyDescent="0.25">
      <c r="A350" s="18" t="s">
        <v>458</v>
      </c>
      <c r="B350" t="s">
        <v>187</v>
      </c>
      <c r="C350" s="1">
        <f>C268*C76*C75*0.9</f>
        <v>35794.923840000003</v>
      </c>
      <c r="D350" s="1">
        <f>D268*D76*D75*0.9</f>
        <v>35968.058100000002</v>
      </c>
      <c r="E350" s="1">
        <f>E268*E76*E75*0.9</f>
        <v>29001.427326000001</v>
      </c>
      <c r="F350" s="1">
        <f>F268*F76*F75*0.9</f>
        <v>39637.164671999999</v>
      </c>
      <c r="G350" s="1"/>
    </row>
    <row r="351" spans="1:7" x14ac:dyDescent="0.25">
      <c r="B351" s="3" t="s">
        <v>188</v>
      </c>
      <c r="C351" s="3">
        <v>0</v>
      </c>
      <c r="D351" s="3"/>
      <c r="E351" s="3"/>
      <c r="F351" s="3"/>
      <c r="G351" s="3"/>
    </row>
    <row r="352" spans="1:7" x14ac:dyDescent="0.25">
      <c r="B352" s="3" t="s">
        <v>189</v>
      </c>
      <c r="C352" s="3">
        <v>0</v>
      </c>
      <c r="D352" s="3"/>
      <c r="E352" s="3"/>
      <c r="F352" s="3"/>
      <c r="G352" s="3"/>
    </row>
    <row r="353" spans="2:7" x14ac:dyDescent="0.25">
      <c r="B353" s="3" t="s">
        <v>190</v>
      </c>
      <c r="C353" s="3">
        <v>2</v>
      </c>
      <c r="D353" s="3"/>
      <c r="E353" s="3"/>
      <c r="F353" s="3"/>
      <c r="G353" s="3"/>
    </row>
    <row r="354" spans="2:7" x14ac:dyDescent="0.25">
      <c r="B354" s="3" t="s">
        <v>191</v>
      </c>
      <c r="C354" s="3">
        <v>1.5</v>
      </c>
      <c r="D354" s="3"/>
      <c r="E354" s="3"/>
      <c r="F354" s="3"/>
      <c r="G354" s="3"/>
    </row>
    <row r="355" spans="2:7" x14ac:dyDescent="0.25">
      <c r="B355" t="s">
        <v>192</v>
      </c>
      <c r="C355">
        <v>0</v>
      </c>
    </row>
    <row r="356" spans="2:7" x14ac:dyDescent="0.25">
      <c r="B356" t="s">
        <v>193</v>
      </c>
      <c r="C356">
        <v>0</v>
      </c>
    </row>
    <row r="357" spans="2:7" x14ac:dyDescent="0.25">
      <c r="B357" t="s">
        <v>194</v>
      </c>
      <c r="C357">
        <v>8</v>
      </c>
    </row>
    <row r="358" spans="2:7" x14ac:dyDescent="0.25">
      <c r="B358" t="s">
        <v>195</v>
      </c>
      <c r="C358">
        <v>11</v>
      </c>
    </row>
  </sheetData>
  <phoneticPr fontId="1" type="noConversion"/>
  <pageMargins left="0.75" right="0.75" top="1" bottom="1" header="0.51111111111111107" footer="0.51111111111111107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SheetLayoutView="100" workbookViewId="0">
      <selection activeCell="C14" sqref="C14:C16"/>
    </sheetView>
  </sheetViews>
  <sheetFormatPr defaultColWidth="9" defaultRowHeight="15.6" x14ac:dyDescent="0.25"/>
  <cols>
    <col min="3" max="3" width="44.69921875" customWidth="1"/>
  </cols>
  <sheetData>
    <row r="1" spans="1:3" x14ac:dyDescent="0.25">
      <c r="A1" t="s">
        <v>196</v>
      </c>
    </row>
    <row r="2" spans="1:3" x14ac:dyDescent="0.25">
      <c r="A2" t="s">
        <v>197</v>
      </c>
      <c r="B2" t="s">
        <v>129</v>
      </c>
      <c r="C2" t="s">
        <v>198</v>
      </c>
    </row>
    <row r="3" spans="1:3" x14ac:dyDescent="0.25">
      <c r="A3" t="s">
        <v>199</v>
      </c>
      <c r="B3" t="s">
        <v>130</v>
      </c>
      <c r="C3" t="s">
        <v>200</v>
      </c>
    </row>
    <row r="4" spans="1:3" x14ac:dyDescent="0.25">
      <c r="A4" t="s">
        <v>201</v>
      </c>
      <c r="B4" t="s">
        <v>144</v>
      </c>
      <c r="C4" t="s">
        <v>202</v>
      </c>
    </row>
    <row r="5" spans="1:3" x14ac:dyDescent="0.25">
      <c r="A5" t="s">
        <v>203</v>
      </c>
      <c r="B5" t="s">
        <v>131</v>
      </c>
      <c r="C5" t="s">
        <v>204</v>
      </c>
    </row>
    <row r="6" spans="1:3" x14ac:dyDescent="0.25">
      <c r="A6" t="s">
        <v>205</v>
      </c>
      <c r="B6" t="s">
        <v>132</v>
      </c>
      <c r="C6" t="s">
        <v>206</v>
      </c>
    </row>
    <row r="7" spans="1:3" x14ac:dyDescent="0.25">
      <c r="A7" t="s">
        <v>207</v>
      </c>
      <c r="B7" t="s">
        <v>133</v>
      </c>
      <c r="C7" t="s">
        <v>208</v>
      </c>
    </row>
    <row r="8" spans="1:3" x14ac:dyDescent="0.25">
      <c r="A8" t="s">
        <v>209</v>
      </c>
      <c r="B8" t="s">
        <v>148</v>
      </c>
      <c r="C8" t="s">
        <v>210</v>
      </c>
    </row>
    <row r="9" spans="1:3" x14ac:dyDescent="0.25">
      <c r="A9" t="s">
        <v>211</v>
      </c>
      <c r="B9" t="s">
        <v>149</v>
      </c>
      <c r="C9" t="s">
        <v>212</v>
      </c>
    </row>
  </sheetData>
  <phoneticPr fontId="1" type="noConversion"/>
  <pageMargins left="0.75" right="0.75" top="1" bottom="1" header="0.51111111111111107" footer="0.51111111111111107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6"/>
  <sheetViews>
    <sheetView topLeftCell="AC1" zoomScaleSheetLayoutView="100" workbookViewId="0">
      <selection activeCell="AK16" sqref="AK16"/>
    </sheetView>
  </sheetViews>
  <sheetFormatPr defaultColWidth="9" defaultRowHeight="15.6" x14ac:dyDescent="0.25"/>
  <cols>
    <col min="1" max="1" width="16.69921875" customWidth="1"/>
    <col min="2" max="2" width="10.796875" customWidth="1"/>
    <col min="5" max="5" width="11.09765625" customWidth="1"/>
    <col min="9" max="9" width="11.5" customWidth="1"/>
    <col min="21" max="21" width="11.296875" customWidth="1"/>
    <col min="25" max="25" width="10.796875" customWidth="1"/>
  </cols>
  <sheetData>
    <row r="1" spans="1:44" x14ac:dyDescent="0.25">
      <c r="A1" t="s">
        <v>213</v>
      </c>
      <c r="Q1" t="s">
        <v>214</v>
      </c>
      <c r="R1" t="s">
        <v>215</v>
      </c>
      <c r="S1" t="s">
        <v>216</v>
      </c>
      <c r="T1" t="s">
        <v>217</v>
      </c>
      <c r="V1" t="s">
        <v>218</v>
      </c>
      <c r="W1" t="s">
        <v>219</v>
      </c>
    </row>
    <row r="2" spans="1:44" x14ac:dyDescent="0.25">
      <c r="A2" t="s">
        <v>3</v>
      </c>
      <c r="B2" t="e">
        <f>Sheet1!#REF!</f>
        <v>#REF!</v>
      </c>
      <c r="C2" t="e">
        <f>Sheet1!#REF!</f>
        <v>#REF!</v>
      </c>
      <c r="D2" t="e">
        <f>Sheet1!#REF!</f>
        <v>#REF!</v>
      </c>
      <c r="E2" t="e">
        <f>Sheet1!#REF!</f>
        <v>#REF!</v>
      </c>
      <c r="F2" t="e">
        <f>Sheet1!#REF!</f>
        <v>#REF!</v>
      </c>
      <c r="G2" t="e">
        <f>Sheet1!#REF!</f>
        <v>#REF!</v>
      </c>
      <c r="H2" t="e">
        <f>Sheet1!#REF!</f>
        <v>#REF!</v>
      </c>
      <c r="I2" t="e">
        <f>Sheet1!#REF!</f>
        <v>#REF!</v>
      </c>
      <c r="J2" t="e">
        <f>Sheet1!#REF!</f>
        <v>#REF!</v>
      </c>
      <c r="K2" t="e">
        <f>Sheet1!#REF!</f>
        <v>#REF!</v>
      </c>
      <c r="L2" t="e">
        <f>Sheet1!#REF!</f>
        <v>#REF!</v>
      </c>
      <c r="M2" t="e">
        <f>Sheet1!#REF!</f>
        <v>#REF!</v>
      </c>
      <c r="N2" t="e">
        <f>Sheet1!#REF!</f>
        <v>#REF!</v>
      </c>
      <c r="O2" t="e">
        <f>Sheet1!#REF!</f>
        <v>#REF!</v>
      </c>
      <c r="P2" t="e">
        <f>Sheet1!#REF!</f>
        <v>#REF!</v>
      </c>
      <c r="Q2" t="e">
        <f>Sheet1!#REF!</f>
        <v>#REF!</v>
      </c>
      <c r="R2" t="e">
        <f>Sheet1!#REF!</f>
        <v>#REF!</v>
      </c>
      <c r="S2" t="e">
        <f>Sheet1!#REF!</f>
        <v>#REF!</v>
      </c>
      <c r="T2" t="e">
        <f>Sheet1!#REF!</f>
        <v>#REF!</v>
      </c>
      <c r="U2" t="e">
        <f>Sheet1!#REF!</f>
        <v>#REF!</v>
      </c>
      <c r="V2" t="e">
        <f>Sheet1!#REF!</f>
        <v>#REF!</v>
      </c>
      <c r="W2" t="e">
        <f>Sheet1!#REF!</f>
        <v>#REF!</v>
      </c>
      <c r="X2" t="e">
        <f>Sheet1!#REF!</f>
        <v>#REF!</v>
      </c>
      <c r="Y2" t="e">
        <f>Sheet1!#REF!</f>
        <v>#REF!</v>
      </c>
      <c r="Z2" t="str">
        <f>Sheet1!C3</f>
        <v>ZL02</v>
      </c>
      <c r="AA2" t="e">
        <f>Sheet1!#REF!</f>
        <v>#REF!</v>
      </c>
      <c r="AB2" t="e">
        <f>Sheet1!#REF!</f>
        <v>#REF!</v>
      </c>
      <c r="AC2" t="e">
        <f>Sheet1!#REF!</f>
        <v>#REF!</v>
      </c>
      <c r="AD2" t="e">
        <f>Sheet1!#REF!</f>
        <v>#REF!</v>
      </c>
      <c r="AE2" t="e">
        <f>Sheet1!#REF!</f>
        <v>#REF!</v>
      </c>
      <c r="AF2" t="e">
        <f>Sheet1!#REF!</f>
        <v>#REF!</v>
      </c>
      <c r="AG2" t="e">
        <f>Sheet1!#REF!</f>
        <v>#REF!</v>
      </c>
      <c r="AH2" t="e">
        <f>Sheet1!#REF!</f>
        <v>#REF!</v>
      </c>
      <c r="AI2" t="e">
        <f>Sheet1!#REF!</f>
        <v>#REF!</v>
      </c>
      <c r="AJ2" t="e">
        <f>Sheet1!#REF!</f>
        <v>#REF!</v>
      </c>
      <c r="AK2" t="e">
        <f>Sheet1!#REF!</f>
        <v>#REF!</v>
      </c>
      <c r="AL2" t="e">
        <f>Sheet1!#REF!</f>
        <v>#REF!</v>
      </c>
      <c r="AM2" t="e">
        <f>Sheet1!#REF!</f>
        <v>#REF!</v>
      </c>
      <c r="AN2" t="e">
        <f>Sheet1!#REF!</f>
        <v>#REF!</v>
      </c>
      <c r="AO2" t="e">
        <f>Sheet1!#REF!</f>
        <v>#REF!</v>
      </c>
      <c r="AP2" t="e">
        <f>Sheet1!#REF!</f>
        <v>#REF!</v>
      </c>
      <c r="AQ2" t="e">
        <f>Sheet1!#REF!</f>
        <v>#REF!</v>
      </c>
      <c r="AR2" t="e">
        <f>Sheet1!#REF!</f>
        <v>#REF!</v>
      </c>
    </row>
    <row r="3" spans="1:44" x14ac:dyDescent="0.25">
      <c r="A3" t="s">
        <v>1</v>
      </c>
      <c r="B3" t="e">
        <f>Sheet1!#REF!</f>
        <v>#REF!</v>
      </c>
      <c r="C3" t="e">
        <f>Sheet1!#REF!</f>
        <v>#REF!</v>
      </c>
      <c r="D3" t="e">
        <f>Sheet1!#REF!</f>
        <v>#REF!</v>
      </c>
      <c r="E3" t="e">
        <f>Sheet1!#REF!</f>
        <v>#REF!</v>
      </c>
      <c r="F3" t="e">
        <f>Sheet1!#REF!</f>
        <v>#REF!</v>
      </c>
      <c r="G3" t="e">
        <f>Sheet1!#REF!</f>
        <v>#REF!</v>
      </c>
      <c r="H3" t="e">
        <f>Sheet1!#REF!</f>
        <v>#REF!</v>
      </c>
      <c r="I3" t="e">
        <f>Sheet1!#REF!</f>
        <v>#REF!</v>
      </c>
      <c r="J3" t="e">
        <f>Sheet1!#REF!</f>
        <v>#REF!</v>
      </c>
      <c r="K3" t="e">
        <f>Sheet1!#REF!</f>
        <v>#REF!</v>
      </c>
      <c r="L3" t="e">
        <f>Sheet1!#REF!</f>
        <v>#REF!</v>
      </c>
      <c r="M3" t="e">
        <f>Sheet1!#REF!</f>
        <v>#REF!</v>
      </c>
      <c r="N3" t="e">
        <f>Sheet1!#REF!</f>
        <v>#REF!</v>
      </c>
      <c r="O3" t="e">
        <f>Sheet1!#REF!</f>
        <v>#REF!</v>
      </c>
      <c r="P3" t="e">
        <f>Sheet1!#REF!</f>
        <v>#REF!</v>
      </c>
      <c r="Q3" t="e">
        <f>Sheet1!#REF!</f>
        <v>#REF!</v>
      </c>
      <c r="R3" t="e">
        <f>Sheet1!#REF!</f>
        <v>#REF!</v>
      </c>
      <c r="S3" t="e">
        <f>Sheet1!#REF!</f>
        <v>#REF!</v>
      </c>
      <c r="T3" t="e">
        <f>Sheet1!#REF!</f>
        <v>#REF!</v>
      </c>
      <c r="U3" t="e">
        <f>Sheet1!#REF!</f>
        <v>#REF!</v>
      </c>
      <c r="V3" t="e">
        <f>Sheet1!#REF!</f>
        <v>#REF!</v>
      </c>
      <c r="W3" t="e">
        <f>Sheet1!#REF!</f>
        <v>#REF!</v>
      </c>
      <c r="X3" t="e">
        <f>Sheet1!#REF!</f>
        <v>#REF!</v>
      </c>
      <c r="Y3" t="e">
        <f>Sheet1!#REF!</f>
        <v>#REF!</v>
      </c>
      <c r="Z3" t="str">
        <f>Sheet1!C2</f>
        <v>战列舰</v>
      </c>
      <c r="AA3" t="e">
        <f>Sheet1!#REF!</f>
        <v>#REF!</v>
      </c>
      <c r="AB3" t="e">
        <f>Sheet1!#REF!</f>
        <v>#REF!</v>
      </c>
      <c r="AC3" t="e">
        <f>Sheet1!#REF!</f>
        <v>#REF!</v>
      </c>
      <c r="AD3" t="e">
        <f>Sheet1!#REF!</f>
        <v>#REF!</v>
      </c>
      <c r="AE3" t="e">
        <f>Sheet1!#REF!</f>
        <v>#REF!</v>
      </c>
      <c r="AF3" t="e">
        <f>Sheet1!#REF!</f>
        <v>#REF!</v>
      </c>
      <c r="AG3" t="e">
        <f>Sheet1!#REF!</f>
        <v>#REF!</v>
      </c>
      <c r="AH3" t="e">
        <f>Sheet1!#REF!</f>
        <v>#REF!</v>
      </c>
      <c r="AI3" t="e">
        <f>Sheet1!#REF!</f>
        <v>#REF!</v>
      </c>
      <c r="AJ3" t="e">
        <f>Sheet1!#REF!</f>
        <v>#REF!</v>
      </c>
      <c r="AK3" t="e">
        <f>Sheet1!#REF!</f>
        <v>#REF!</v>
      </c>
      <c r="AL3" t="e">
        <f>Sheet1!#REF!</f>
        <v>#REF!</v>
      </c>
      <c r="AM3" t="e">
        <f>Sheet1!#REF!</f>
        <v>#REF!</v>
      </c>
      <c r="AN3" t="e">
        <f>Sheet1!#REF!</f>
        <v>#REF!</v>
      </c>
      <c r="AO3" t="e">
        <f>Sheet1!#REF!</f>
        <v>#REF!</v>
      </c>
      <c r="AP3" t="e">
        <f>Sheet1!#REF!</f>
        <v>#REF!</v>
      </c>
      <c r="AQ3" t="e">
        <f>Sheet1!#REF!</f>
        <v>#REF!</v>
      </c>
      <c r="AR3" t="e">
        <f>Sheet1!#REF!</f>
        <v>#REF!</v>
      </c>
    </row>
    <row r="4" spans="1:44" x14ac:dyDescent="0.25">
      <c r="A4" t="s">
        <v>18</v>
      </c>
      <c r="B4" s="1" t="e">
        <f>Sheet1!#REF!</f>
        <v>#REF!</v>
      </c>
      <c r="C4" s="1" t="e">
        <f>Sheet1!#REF!</f>
        <v>#REF!</v>
      </c>
      <c r="D4" s="1" t="e">
        <f>Sheet1!#REF!</f>
        <v>#REF!</v>
      </c>
      <c r="E4" s="1" t="e">
        <f>Sheet1!#REF!</f>
        <v>#REF!</v>
      </c>
      <c r="F4" s="1" t="e">
        <f>Sheet1!#REF!</f>
        <v>#REF!</v>
      </c>
      <c r="G4" s="1" t="e">
        <f>Sheet1!#REF!</f>
        <v>#REF!</v>
      </c>
      <c r="H4" s="1" t="e">
        <f>Sheet1!#REF!</f>
        <v>#REF!</v>
      </c>
      <c r="I4" s="1" t="e">
        <f>Sheet1!#REF!</f>
        <v>#REF!</v>
      </c>
      <c r="J4" s="1" t="e">
        <f>Sheet1!#REF!</f>
        <v>#REF!</v>
      </c>
      <c r="K4" s="1" t="e">
        <f>Sheet1!#REF!</f>
        <v>#REF!</v>
      </c>
      <c r="L4" s="1" t="e">
        <f>Sheet1!#REF!</f>
        <v>#REF!</v>
      </c>
      <c r="M4" s="1" t="e">
        <f>Sheet1!#REF!</f>
        <v>#REF!</v>
      </c>
      <c r="N4" s="1" t="e">
        <f>Sheet1!#REF!</f>
        <v>#REF!</v>
      </c>
      <c r="O4" s="1" t="e">
        <f>Sheet1!#REF!</f>
        <v>#REF!</v>
      </c>
      <c r="P4" s="1" t="e">
        <f>Sheet1!#REF!</f>
        <v>#REF!</v>
      </c>
      <c r="Q4" s="1" t="e">
        <f>Sheet1!#REF!</f>
        <v>#REF!</v>
      </c>
      <c r="R4" s="1" t="e">
        <f>Sheet1!#REF!</f>
        <v>#REF!</v>
      </c>
      <c r="S4" s="1" t="e">
        <f>Sheet1!#REF!</f>
        <v>#REF!</v>
      </c>
      <c r="T4" s="1" t="e">
        <f>Sheet1!#REF!</f>
        <v>#REF!</v>
      </c>
      <c r="U4" s="1" t="e">
        <f>Sheet1!#REF!</f>
        <v>#REF!</v>
      </c>
      <c r="V4" s="1" t="e">
        <f>Sheet1!#REF!</f>
        <v>#REF!</v>
      </c>
      <c r="W4" s="1" t="e">
        <f>Sheet1!#REF!</f>
        <v>#REF!</v>
      </c>
      <c r="X4" s="1" t="e">
        <f>Sheet1!#REF!</f>
        <v>#REF!</v>
      </c>
      <c r="Y4" s="1" t="e">
        <f>Sheet1!#REF!</f>
        <v>#REF!</v>
      </c>
      <c r="Z4" s="1">
        <f>Sheet1!C13</f>
        <v>37708.060848009438</v>
      </c>
      <c r="AA4" s="1" t="e">
        <f>Sheet1!#REF!</f>
        <v>#REF!</v>
      </c>
      <c r="AB4" s="1" t="e">
        <f>Sheet1!#REF!</f>
        <v>#REF!</v>
      </c>
      <c r="AC4" s="1" t="e">
        <f>Sheet1!#REF!</f>
        <v>#REF!</v>
      </c>
      <c r="AD4" s="1" t="e">
        <f>Sheet1!#REF!</f>
        <v>#REF!</v>
      </c>
      <c r="AE4" s="1" t="e">
        <f>Sheet1!#REF!</f>
        <v>#REF!</v>
      </c>
      <c r="AF4" s="1" t="e">
        <f>Sheet1!#REF!</f>
        <v>#REF!</v>
      </c>
      <c r="AG4" s="1" t="e">
        <f>Sheet1!#REF!</f>
        <v>#REF!</v>
      </c>
      <c r="AH4" s="1" t="e">
        <f>Sheet1!#REF!</f>
        <v>#REF!</v>
      </c>
      <c r="AI4" s="1" t="e">
        <f>Sheet1!#REF!</f>
        <v>#REF!</v>
      </c>
      <c r="AJ4" s="1" t="e">
        <f>Sheet1!#REF!</f>
        <v>#REF!</v>
      </c>
      <c r="AK4" s="1" t="e">
        <f>Sheet1!#REF!</f>
        <v>#REF!</v>
      </c>
      <c r="AL4" s="1" t="e">
        <f>Sheet1!#REF!</f>
        <v>#REF!</v>
      </c>
      <c r="AM4" s="1" t="e">
        <f>Sheet1!#REF!</f>
        <v>#REF!</v>
      </c>
      <c r="AN4" s="1" t="e">
        <f>Sheet1!#REF!</f>
        <v>#REF!</v>
      </c>
      <c r="AO4" s="1" t="e">
        <f>Sheet1!#REF!</f>
        <v>#REF!</v>
      </c>
      <c r="AP4" s="1" t="e">
        <f>Sheet1!#REF!</f>
        <v>#REF!</v>
      </c>
      <c r="AQ4" s="1" t="e">
        <f>Sheet1!#REF!</f>
        <v>#REF!</v>
      </c>
      <c r="AR4" s="1" t="e">
        <f>Sheet1!#REF!</f>
        <v>#REF!</v>
      </c>
    </row>
    <row r="5" spans="1:44" x14ac:dyDescent="0.25">
      <c r="A5" t="s">
        <v>27</v>
      </c>
      <c r="B5" s="3" t="e">
        <f>Sheet1!#REF!</f>
        <v>#REF!</v>
      </c>
      <c r="C5" s="3" t="e">
        <f>Sheet1!#REF!</f>
        <v>#REF!</v>
      </c>
      <c r="D5" s="3" t="e">
        <f>Sheet1!#REF!</f>
        <v>#REF!</v>
      </c>
      <c r="E5" s="3" t="e">
        <f>Sheet1!#REF!</f>
        <v>#REF!</v>
      </c>
      <c r="F5" s="3" t="e">
        <f>Sheet1!#REF!</f>
        <v>#REF!</v>
      </c>
      <c r="G5" s="3" t="e">
        <f>Sheet1!#REF!</f>
        <v>#REF!</v>
      </c>
      <c r="H5" s="3" t="e">
        <f>Sheet1!#REF!</f>
        <v>#REF!</v>
      </c>
      <c r="I5" s="3" t="e">
        <f>Sheet1!#REF!</f>
        <v>#REF!</v>
      </c>
      <c r="J5" s="3" t="e">
        <f>Sheet1!#REF!</f>
        <v>#REF!</v>
      </c>
      <c r="K5" s="3" t="e">
        <f>Sheet1!#REF!</f>
        <v>#REF!</v>
      </c>
      <c r="L5" s="3" t="e">
        <f>Sheet1!#REF!</f>
        <v>#REF!</v>
      </c>
      <c r="M5" s="3" t="e">
        <f>Sheet1!#REF!</f>
        <v>#REF!</v>
      </c>
      <c r="N5" s="3" t="e">
        <f>Sheet1!#REF!</f>
        <v>#REF!</v>
      </c>
      <c r="O5" s="3" t="e">
        <f>Sheet1!#REF!</f>
        <v>#REF!</v>
      </c>
      <c r="P5" s="3" t="e">
        <f>Sheet1!#REF!</f>
        <v>#REF!</v>
      </c>
      <c r="Q5" s="3" t="e">
        <f>Sheet1!#REF!</f>
        <v>#REF!</v>
      </c>
      <c r="R5" s="3" t="e">
        <f>Sheet1!#REF!</f>
        <v>#REF!</v>
      </c>
      <c r="S5" s="3" t="e">
        <f>Sheet1!#REF!</f>
        <v>#REF!</v>
      </c>
      <c r="T5" s="3" t="e">
        <f>Sheet1!#REF!</f>
        <v>#REF!</v>
      </c>
      <c r="U5" s="3" t="e">
        <f>Sheet1!#REF!</f>
        <v>#REF!</v>
      </c>
      <c r="V5" s="3" t="e">
        <f>Sheet1!#REF!</f>
        <v>#REF!</v>
      </c>
      <c r="W5" s="3" t="e">
        <f>Sheet1!#REF!</f>
        <v>#REF!</v>
      </c>
      <c r="X5" s="3" t="e">
        <f>Sheet1!#REF!</f>
        <v>#REF!</v>
      </c>
      <c r="Y5" s="3" t="e">
        <f>Sheet1!#REF!</f>
        <v>#REF!</v>
      </c>
      <c r="Z5" s="3">
        <f>Sheet1!C22</f>
        <v>6.7924752417599379</v>
      </c>
      <c r="AA5" s="3" t="e">
        <f>Sheet1!#REF!</f>
        <v>#REF!</v>
      </c>
      <c r="AB5" s="3" t="e">
        <f>Sheet1!#REF!</f>
        <v>#REF!</v>
      </c>
      <c r="AC5" s="3" t="e">
        <f>Sheet1!#REF!</f>
        <v>#REF!</v>
      </c>
      <c r="AD5" s="3" t="e">
        <f>Sheet1!#REF!</f>
        <v>#REF!</v>
      </c>
      <c r="AE5" s="3" t="e">
        <f>Sheet1!#REF!</f>
        <v>#REF!</v>
      </c>
      <c r="AF5" s="3" t="e">
        <f>Sheet1!#REF!</f>
        <v>#REF!</v>
      </c>
      <c r="AG5" s="3" t="e">
        <f>Sheet1!#REF!</f>
        <v>#REF!</v>
      </c>
      <c r="AH5" s="3" t="e">
        <f>Sheet1!#REF!</f>
        <v>#REF!</v>
      </c>
      <c r="AI5" s="3" t="e">
        <f>Sheet1!#REF!</f>
        <v>#REF!</v>
      </c>
      <c r="AJ5" s="3" t="e">
        <f>Sheet1!#REF!</f>
        <v>#REF!</v>
      </c>
      <c r="AK5" s="3" t="e">
        <f>Sheet1!#REF!</f>
        <v>#REF!</v>
      </c>
      <c r="AL5" s="3" t="e">
        <f>Sheet1!#REF!</f>
        <v>#REF!</v>
      </c>
      <c r="AM5" s="3" t="e">
        <f>Sheet1!#REF!</f>
        <v>#REF!</v>
      </c>
      <c r="AN5" s="3" t="e">
        <f>Sheet1!#REF!</f>
        <v>#REF!</v>
      </c>
      <c r="AO5" s="3" t="e">
        <f>Sheet1!#REF!</f>
        <v>#REF!</v>
      </c>
      <c r="AP5" s="3" t="e">
        <f>Sheet1!#REF!</f>
        <v>#REF!</v>
      </c>
      <c r="AQ5" s="3" t="e">
        <f>Sheet1!#REF!</f>
        <v>#REF!</v>
      </c>
      <c r="AR5" s="3" t="e">
        <f>Sheet1!#REF!</f>
        <v>#REF!</v>
      </c>
    </row>
    <row r="6" spans="1:44" x14ac:dyDescent="0.25">
      <c r="A6" t="s">
        <v>220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2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1.3</v>
      </c>
      <c r="V6">
        <v>1</v>
      </c>
      <c r="W6">
        <v>1</v>
      </c>
      <c r="X6">
        <v>1</v>
      </c>
      <c r="Y6">
        <v>1.5</v>
      </c>
      <c r="Z6">
        <v>1</v>
      </c>
      <c r="AA6">
        <v>1</v>
      </c>
      <c r="AB6">
        <v>1</v>
      </c>
      <c r="AC6">
        <v>1</v>
      </c>
      <c r="AD6">
        <v>4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2.4</v>
      </c>
      <c r="AQ6">
        <v>2</v>
      </c>
      <c r="AR6">
        <v>1</v>
      </c>
    </row>
    <row r="7" spans="1:44" x14ac:dyDescent="0.25">
      <c r="A7" t="s">
        <v>49</v>
      </c>
      <c r="B7" t="e">
        <f>Sheet1!#REF!</f>
        <v>#REF!</v>
      </c>
      <c r="C7" t="e">
        <f>Sheet1!#REF!</f>
        <v>#REF!</v>
      </c>
      <c r="D7" t="e">
        <f>Sheet1!#REF!</f>
        <v>#REF!</v>
      </c>
      <c r="E7" t="e">
        <f>Sheet1!#REF!</f>
        <v>#REF!</v>
      </c>
      <c r="F7" t="e">
        <f>Sheet1!#REF!</f>
        <v>#REF!</v>
      </c>
      <c r="G7" t="e">
        <f>Sheet1!#REF!</f>
        <v>#REF!</v>
      </c>
      <c r="H7" t="e">
        <f>Sheet1!#REF!</f>
        <v>#REF!</v>
      </c>
      <c r="I7" t="e">
        <f>Sheet1!#REF!</f>
        <v>#REF!</v>
      </c>
      <c r="J7" t="e">
        <f>Sheet1!#REF!</f>
        <v>#REF!</v>
      </c>
      <c r="K7" t="e">
        <f>Sheet1!#REF!</f>
        <v>#REF!</v>
      </c>
      <c r="L7" t="e">
        <f>Sheet1!#REF!</f>
        <v>#REF!</v>
      </c>
      <c r="M7" t="e">
        <f>Sheet1!#REF!</f>
        <v>#REF!</v>
      </c>
      <c r="N7" t="e">
        <f>Sheet1!#REF!</f>
        <v>#REF!</v>
      </c>
      <c r="O7" t="e">
        <f>Sheet1!#REF!</f>
        <v>#REF!</v>
      </c>
      <c r="P7" t="e">
        <f>Sheet1!#REF!</f>
        <v>#REF!</v>
      </c>
      <c r="Q7" t="e">
        <f>Sheet1!#REF!</f>
        <v>#REF!</v>
      </c>
      <c r="R7" t="e">
        <f>Sheet1!#REF!</f>
        <v>#REF!</v>
      </c>
      <c r="S7" t="e">
        <f>Sheet1!#REF!</f>
        <v>#REF!</v>
      </c>
      <c r="T7" t="e">
        <f>Sheet1!#REF!</f>
        <v>#REF!</v>
      </c>
      <c r="U7" t="e">
        <f>Sheet1!#REF!</f>
        <v>#REF!</v>
      </c>
      <c r="V7" t="e">
        <f>Sheet1!#REF!</f>
        <v>#REF!</v>
      </c>
      <c r="W7" t="e">
        <f>Sheet1!#REF!</f>
        <v>#REF!</v>
      </c>
      <c r="X7" t="e">
        <f>Sheet1!#REF!</f>
        <v>#REF!</v>
      </c>
      <c r="Y7" t="e">
        <f>Sheet1!#REF!</f>
        <v>#REF!</v>
      </c>
      <c r="Z7">
        <f>Sheet1!C113</f>
        <v>356</v>
      </c>
      <c r="AA7" t="e">
        <f>Sheet1!#REF!</f>
        <v>#REF!</v>
      </c>
      <c r="AB7" t="e">
        <f>Sheet1!#REF!</f>
        <v>#REF!</v>
      </c>
      <c r="AC7" t="e">
        <f>Sheet1!#REF!</f>
        <v>#REF!</v>
      </c>
      <c r="AD7" t="e">
        <f>Sheet1!#REF!</f>
        <v>#REF!</v>
      </c>
      <c r="AE7" t="e">
        <f>Sheet1!#REF!</f>
        <v>#REF!</v>
      </c>
      <c r="AF7" t="e">
        <f>Sheet1!#REF!</f>
        <v>#REF!</v>
      </c>
      <c r="AG7" t="e">
        <f>Sheet1!#REF!</f>
        <v>#REF!</v>
      </c>
      <c r="AH7" t="e">
        <f>Sheet1!#REF!</f>
        <v>#REF!</v>
      </c>
      <c r="AI7" t="e">
        <f>Sheet1!#REF!</f>
        <v>#REF!</v>
      </c>
      <c r="AJ7" t="e">
        <f>Sheet1!#REF!</f>
        <v>#REF!</v>
      </c>
      <c r="AK7" t="e">
        <f>Sheet1!#REF!</f>
        <v>#REF!</v>
      </c>
      <c r="AL7" t="e">
        <f>Sheet1!#REF!</f>
        <v>#REF!</v>
      </c>
      <c r="AM7" t="e">
        <f>Sheet1!#REF!</f>
        <v>#REF!</v>
      </c>
      <c r="AN7" t="e">
        <f>Sheet1!#REF!</f>
        <v>#REF!</v>
      </c>
      <c r="AO7" t="e">
        <f>Sheet1!#REF!</f>
        <v>#REF!</v>
      </c>
      <c r="AP7" t="e">
        <f>Sheet1!#REF!</f>
        <v>#REF!</v>
      </c>
      <c r="AQ7" t="e">
        <f>Sheet1!#REF!</f>
        <v>#REF!</v>
      </c>
      <c r="AR7" t="e">
        <f>Sheet1!#REF!</f>
        <v>#REF!</v>
      </c>
    </row>
    <row r="8" spans="1:44" x14ac:dyDescent="0.25">
      <c r="A8" t="s">
        <v>221</v>
      </c>
      <c r="B8" t="e">
        <f>Sheet1!#REF!</f>
        <v>#REF!</v>
      </c>
      <c r="C8" t="e">
        <f>Sheet1!#REF!</f>
        <v>#REF!</v>
      </c>
      <c r="D8" t="e">
        <f>Sheet1!#REF!</f>
        <v>#REF!</v>
      </c>
      <c r="E8" t="e">
        <f>Sheet1!#REF!</f>
        <v>#REF!</v>
      </c>
      <c r="F8" t="e">
        <f>Sheet1!#REF!</f>
        <v>#REF!</v>
      </c>
      <c r="G8" t="e">
        <f>Sheet1!#REF!</f>
        <v>#REF!</v>
      </c>
      <c r="H8" t="e">
        <f>Sheet1!#REF!</f>
        <v>#REF!</v>
      </c>
      <c r="I8" t="e">
        <f>Sheet1!#REF!</f>
        <v>#REF!</v>
      </c>
      <c r="J8" t="e">
        <f>Sheet1!#REF!</f>
        <v>#REF!</v>
      </c>
      <c r="K8" t="e">
        <f>Sheet1!#REF!</f>
        <v>#REF!</v>
      </c>
      <c r="L8" t="e">
        <f>Sheet1!#REF!</f>
        <v>#REF!</v>
      </c>
      <c r="M8" t="e">
        <f>Sheet1!#REF!</f>
        <v>#REF!</v>
      </c>
      <c r="N8" t="e">
        <f>Sheet1!#REF!</f>
        <v>#REF!</v>
      </c>
      <c r="O8" t="e">
        <f>Sheet1!#REF!</f>
        <v>#REF!</v>
      </c>
      <c r="P8" t="e">
        <f>Sheet1!#REF!</f>
        <v>#REF!</v>
      </c>
      <c r="Q8" t="e">
        <f>Sheet1!#REF!</f>
        <v>#REF!</v>
      </c>
      <c r="R8" t="e">
        <f>Sheet1!#REF!</f>
        <v>#REF!</v>
      </c>
      <c r="S8" t="e">
        <f>Sheet1!#REF!</f>
        <v>#REF!</v>
      </c>
      <c r="T8" t="e">
        <f>Sheet1!#REF!</f>
        <v>#REF!</v>
      </c>
      <c r="U8" t="e">
        <f>Sheet1!#REF!</f>
        <v>#REF!</v>
      </c>
      <c r="V8" t="e">
        <f>Sheet1!#REF!</f>
        <v>#REF!</v>
      </c>
      <c r="W8" t="e">
        <f>Sheet1!#REF!</f>
        <v>#REF!</v>
      </c>
      <c r="X8" t="e">
        <f>Sheet1!#REF!</f>
        <v>#REF!</v>
      </c>
      <c r="Y8" t="e">
        <f>Sheet1!#REF!</f>
        <v>#REF!</v>
      </c>
      <c r="Z8">
        <f>Sheet1!C112</f>
        <v>12</v>
      </c>
      <c r="AA8" t="e">
        <f>Sheet1!#REF!</f>
        <v>#REF!</v>
      </c>
      <c r="AB8" t="e">
        <f>Sheet1!#REF!</f>
        <v>#REF!</v>
      </c>
      <c r="AC8" t="e">
        <f>Sheet1!#REF!</f>
        <v>#REF!</v>
      </c>
      <c r="AD8" t="e">
        <f>Sheet1!#REF!</f>
        <v>#REF!</v>
      </c>
      <c r="AE8" t="e">
        <f>Sheet1!#REF!</f>
        <v>#REF!</v>
      </c>
      <c r="AF8" t="e">
        <f>Sheet1!#REF!</f>
        <v>#REF!</v>
      </c>
      <c r="AG8" t="e">
        <f>Sheet1!#REF!</f>
        <v>#REF!</v>
      </c>
      <c r="AH8" t="e">
        <f>Sheet1!#REF!</f>
        <v>#REF!</v>
      </c>
      <c r="AI8" t="e">
        <f>Sheet1!#REF!</f>
        <v>#REF!</v>
      </c>
      <c r="AJ8" t="e">
        <f>Sheet1!#REF!</f>
        <v>#REF!</v>
      </c>
      <c r="AK8" t="e">
        <f>Sheet1!#REF!</f>
        <v>#REF!</v>
      </c>
      <c r="AL8" t="e">
        <f>Sheet1!#REF!</f>
        <v>#REF!</v>
      </c>
      <c r="AM8" t="e">
        <f>Sheet1!#REF!</f>
        <v>#REF!</v>
      </c>
      <c r="AN8" t="e">
        <f>Sheet1!#REF!</f>
        <v>#REF!</v>
      </c>
      <c r="AO8" t="e">
        <f>Sheet1!#REF!</f>
        <v>#REF!</v>
      </c>
      <c r="AP8" t="e">
        <f>Sheet1!#REF!</f>
        <v>#REF!</v>
      </c>
      <c r="AQ8" t="e">
        <f>Sheet1!#REF!</f>
        <v>#REF!</v>
      </c>
      <c r="AR8" t="e">
        <f>Sheet1!#REF!</f>
        <v>#REF!</v>
      </c>
    </row>
    <row r="14" spans="1:44" x14ac:dyDescent="0.25">
      <c r="A14" t="s">
        <v>269</v>
      </c>
      <c r="B14" s="18" t="s">
        <v>272</v>
      </c>
      <c r="C14" s="18" t="s">
        <v>272</v>
      </c>
      <c r="D14" s="18" t="s">
        <v>278</v>
      </c>
      <c r="E14" s="18" t="s">
        <v>281</v>
      </c>
      <c r="F14" s="18" t="s">
        <v>283</v>
      </c>
      <c r="G14" s="18" t="s">
        <v>280</v>
      </c>
      <c r="H14" s="18" t="s">
        <v>286</v>
      </c>
      <c r="I14" s="18" t="s">
        <v>272</v>
      </c>
      <c r="AK14" s="18" t="s">
        <v>290</v>
      </c>
      <c r="AL14" s="18" t="s">
        <v>288</v>
      </c>
      <c r="AM14" s="18" t="s">
        <v>281</v>
      </c>
    </row>
    <row r="15" spans="1:44" x14ac:dyDescent="0.25">
      <c r="A15" t="s">
        <v>270</v>
      </c>
      <c r="B15" s="18" t="s">
        <v>275</v>
      </c>
      <c r="C15" s="18" t="s">
        <v>276</v>
      </c>
      <c r="D15" s="18" t="s">
        <v>279</v>
      </c>
      <c r="E15" s="18" t="s">
        <v>273</v>
      </c>
      <c r="F15" s="18" t="s">
        <v>280</v>
      </c>
      <c r="G15" s="18" t="s">
        <v>280</v>
      </c>
      <c r="H15" s="18" t="s">
        <v>272</v>
      </c>
      <c r="I15" s="18" t="s">
        <v>279</v>
      </c>
      <c r="AK15" s="18" t="s">
        <v>291</v>
      </c>
      <c r="AL15" s="18" t="s">
        <v>281</v>
      </c>
      <c r="AM15" s="18" t="s">
        <v>272</v>
      </c>
    </row>
    <row r="16" spans="1:44" x14ac:dyDescent="0.25">
      <c r="A16" s="18" t="s">
        <v>271</v>
      </c>
      <c r="B16" s="18" t="s">
        <v>274</v>
      </c>
      <c r="C16" s="18" t="s">
        <v>277</v>
      </c>
      <c r="D16" s="18" t="s">
        <v>280</v>
      </c>
      <c r="E16" s="18" t="s">
        <v>282</v>
      </c>
      <c r="F16" s="18" t="s">
        <v>284</v>
      </c>
      <c r="G16" s="18" t="s">
        <v>281</v>
      </c>
      <c r="H16" s="18" t="s">
        <v>285</v>
      </c>
      <c r="I16" s="18" t="s">
        <v>287</v>
      </c>
      <c r="AK16" s="18" t="s">
        <v>288</v>
      </c>
      <c r="AL16" s="18" t="s">
        <v>289</v>
      </c>
      <c r="AM16" s="18" t="s">
        <v>288</v>
      </c>
    </row>
    <row r="17" spans="1:44" x14ac:dyDescent="0.25">
      <c r="A17" t="s">
        <v>222</v>
      </c>
      <c r="B17" s="1" t="e">
        <f>Sheet1!#REF!*B6/2.5</f>
        <v>#REF!</v>
      </c>
      <c r="C17" s="1" t="e">
        <f>Sheet1!#REF!*C6/2.5</f>
        <v>#REF!</v>
      </c>
      <c r="D17" s="1" t="e">
        <f t="shared" ref="D17:AR17" si="0">D4^0.8*D5^0.5*D6/160</f>
        <v>#REF!</v>
      </c>
      <c r="E17" s="1" t="e">
        <f t="shared" si="0"/>
        <v>#REF!</v>
      </c>
      <c r="F17" s="1" t="e">
        <f t="shared" si="0"/>
        <v>#REF!</v>
      </c>
      <c r="G17" s="1" t="e">
        <f t="shared" si="0"/>
        <v>#REF!</v>
      </c>
      <c r="H17" s="1" t="e">
        <f t="shared" si="0"/>
        <v>#REF!</v>
      </c>
      <c r="I17" s="1" t="e">
        <f t="shared" si="0"/>
        <v>#REF!</v>
      </c>
      <c r="J17" s="1" t="e">
        <f t="shared" si="0"/>
        <v>#REF!</v>
      </c>
      <c r="K17" s="1" t="e">
        <f t="shared" si="0"/>
        <v>#REF!</v>
      </c>
      <c r="L17" s="1" t="e">
        <f t="shared" si="0"/>
        <v>#REF!</v>
      </c>
      <c r="M17" s="1" t="e">
        <f t="shared" si="0"/>
        <v>#REF!</v>
      </c>
      <c r="N17" s="1" t="e">
        <f t="shared" si="0"/>
        <v>#REF!</v>
      </c>
      <c r="O17" s="1" t="e">
        <f t="shared" si="0"/>
        <v>#REF!</v>
      </c>
      <c r="P17" s="1" t="e">
        <f t="shared" si="0"/>
        <v>#REF!</v>
      </c>
      <c r="Q17" s="1" t="e">
        <f t="shared" si="0"/>
        <v>#REF!</v>
      </c>
      <c r="R17" s="1" t="e">
        <f t="shared" si="0"/>
        <v>#REF!</v>
      </c>
      <c r="S17" s="1" t="e">
        <f t="shared" si="0"/>
        <v>#REF!</v>
      </c>
      <c r="T17" s="1" t="e">
        <f t="shared" si="0"/>
        <v>#REF!</v>
      </c>
      <c r="U17" s="1" t="e">
        <f t="shared" si="0"/>
        <v>#REF!</v>
      </c>
      <c r="V17" s="1" t="e">
        <f t="shared" si="0"/>
        <v>#REF!</v>
      </c>
      <c r="W17" s="1" t="e">
        <f t="shared" si="0"/>
        <v>#REF!</v>
      </c>
      <c r="X17" s="1" t="e">
        <f t="shared" si="0"/>
        <v>#REF!</v>
      </c>
      <c r="Y17" s="1" t="e">
        <f t="shared" si="0"/>
        <v>#REF!</v>
      </c>
      <c r="Z17" s="1">
        <f t="shared" si="0"/>
        <v>74.651993361537293</v>
      </c>
      <c r="AA17" s="1" t="e">
        <f t="shared" si="0"/>
        <v>#REF!</v>
      </c>
      <c r="AB17" s="1" t="e">
        <f t="shared" si="0"/>
        <v>#REF!</v>
      </c>
      <c r="AC17" s="1" t="e">
        <f t="shared" si="0"/>
        <v>#REF!</v>
      </c>
      <c r="AD17" s="1" t="e">
        <f t="shared" si="0"/>
        <v>#REF!</v>
      </c>
      <c r="AE17" s="1" t="e">
        <f t="shared" si="0"/>
        <v>#REF!</v>
      </c>
      <c r="AF17" s="1" t="e">
        <f t="shared" si="0"/>
        <v>#REF!</v>
      </c>
      <c r="AG17" s="1" t="e">
        <f t="shared" si="0"/>
        <v>#REF!</v>
      </c>
      <c r="AH17" s="1" t="e">
        <f t="shared" si="0"/>
        <v>#REF!</v>
      </c>
      <c r="AI17" s="1" t="e">
        <f t="shared" si="0"/>
        <v>#REF!</v>
      </c>
      <c r="AJ17" s="1" t="e">
        <f t="shared" si="0"/>
        <v>#REF!</v>
      </c>
      <c r="AK17" s="1" t="e">
        <f t="shared" si="0"/>
        <v>#REF!</v>
      </c>
      <c r="AL17" s="1" t="e">
        <f t="shared" si="0"/>
        <v>#REF!</v>
      </c>
      <c r="AM17" s="1" t="e">
        <f t="shared" si="0"/>
        <v>#REF!</v>
      </c>
      <c r="AN17" s="1" t="e">
        <f t="shared" si="0"/>
        <v>#REF!</v>
      </c>
      <c r="AO17" s="1" t="e">
        <f t="shared" si="0"/>
        <v>#REF!</v>
      </c>
      <c r="AP17" s="1" t="e">
        <f t="shared" si="0"/>
        <v>#REF!</v>
      </c>
      <c r="AQ17" s="1" t="e">
        <f t="shared" si="0"/>
        <v>#REF!</v>
      </c>
      <c r="AR17" s="1" t="e">
        <f t="shared" si="0"/>
        <v>#REF!</v>
      </c>
    </row>
    <row r="18" spans="1:44" x14ac:dyDescent="0.25">
      <c r="A18" t="s">
        <v>223</v>
      </c>
      <c r="B18" s="1" t="e">
        <f>Sheet1!#REF!/60</f>
        <v>#REF!</v>
      </c>
      <c r="C18" s="1" t="e">
        <f>Sheet1!#REF!/60</f>
        <v>#REF!</v>
      </c>
      <c r="D18" s="1" t="e">
        <f>Sheet1!#REF!/60</f>
        <v>#REF!</v>
      </c>
      <c r="E18" s="1" t="e">
        <f>Sheet1!#REF!/60</f>
        <v>#REF!</v>
      </c>
      <c r="F18" s="1" t="e">
        <f>Sheet1!#REF!/60</f>
        <v>#REF!</v>
      </c>
      <c r="G18" s="1" t="e">
        <f>Sheet1!#REF!/60</f>
        <v>#REF!</v>
      </c>
      <c r="H18" s="1" t="e">
        <f>Sheet1!#REF!/60</f>
        <v>#REF!</v>
      </c>
      <c r="I18" s="1" t="e">
        <f>Sheet1!#REF!/60</f>
        <v>#REF!</v>
      </c>
      <c r="J18" s="1" t="e">
        <f>Sheet1!#REF!/60</f>
        <v>#REF!</v>
      </c>
      <c r="K18" s="1" t="e">
        <f>Sheet1!#REF!/60</f>
        <v>#REF!</v>
      </c>
      <c r="L18" s="1" t="e">
        <f>Sheet1!#REF!/60</f>
        <v>#REF!</v>
      </c>
      <c r="M18" s="1" t="e">
        <f>Sheet1!#REF!/60</f>
        <v>#REF!</v>
      </c>
      <c r="N18" s="1" t="e">
        <f>Sheet1!#REF!/60</f>
        <v>#REF!</v>
      </c>
      <c r="O18" s="1" t="e">
        <f>Sheet1!#REF!/60</f>
        <v>#REF!</v>
      </c>
      <c r="P18" s="1" t="e">
        <f>Sheet1!#REF!/60</f>
        <v>#REF!</v>
      </c>
      <c r="Q18" s="1" t="e">
        <f>Sheet1!#REF!/60</f>
        <v>#REF!</v>
      </c>
      <c r="R18" s="1" t="e">
        <f>Sheet1!#REF!/60</f>
        <v>#REF!</v>
      </c>
      <c r="S18" s="1" t="e">
        <f>Sheet1!#REF!/60</f>
        <v>#REF!</v>
      </c>
      <c r="T18" s="1" t="e">
        <f>Sheet1!#REF!/60</f>
        <v>#REF!</v>
      </c>
      <c r="U18" s="1" t="e">
        <f>Sheet1!#REF!/60</f>
        <v>#REF!</v>
      </c>
      <c r="V18" s="1" t="e">
        <f>Sheet1!#REF!/60</f>
        <v>#REF!</v>
      </c>
      <c r="W18" s="1" t="e">
        <f>Sheet1!#REF!/60</f>
        <v>#REF!</v>
      </c>
      <c r="X18" s="1" t="e">
        <f>Sheet1!#REF!/60</f>
        <v>#REF!</v>
      </c>
      <c r="Y18" s="1" t="e">
        <f>Sheet1!#REF!/60</f>
        <v>#REF!</v>
      </c>
      <c r="Z18" s="1">
        <f>Sheet1!C218/60</f>
        <v>145.16462006019751</v>
      </c>
      <c r="AA18" s="1" t="e">
        <f>Sheet1!#REF!/60</f>
        <v>#REF!</v>
      </c>
      <c r="AB18" s="1" t="e">
        <f>Sheet1!#REF!/60</f>
        <v>#REF!</v>
      </c>
      <c r="AC18" s="1" t="e">
        <f>Sheet1!#REF!/60</f>
        <v>#REF!</v>
      </c>
      <c r="AD18" s="1" t="e">
        <f>Sheet1!#REF!/60</f>
        <v>#REF!</v>
      </c>
      <c r="AE18" s="1" t="e">
        <f>Sheet1!#REF!/60</f>
        <v>#REF!</v>
      </c>
      <c r="AF18" s="1" t="e">
        <f>Sheet1!#REF!/60</f>
        <v>#REF!</v>
      </c>
      <c r="AG18" s="1" t="e">
        <f>Sheet1!#REF!/60</f>
        <v>#REF!</v>
      </c>
      <c r="AH18" s="1" t="e">
        <f>Sheet1!#REF!/60</f>
        <v>#REF!</v>
      </c>
      <c r="AI18" s="1" t="e">
        <f>Sheet1!#REF!/60</f>
        <v>#REF!</v>
      </c>
      <c r="AJ18" s="1" t="e">
        <f>Sheet1!#REF!/60</f>
        <v>#REF!</v>
      </c>
      <c r="AK18" s="1" t="e">
        <f>Sheet1!#REF!/60</f>
        <v>#REF!</v>
      </c>
      <c r="AL18" s="1" t="e">
        <f>Sheet1!#REF!/60</f>
        <v>#REF!</v>
      </c>
      <c r="AM18" s="1" t="e">
        <f>Sheet1!#REF!/60</f>
        <v>#REF!</v>
      </c>
      <c r="AN18" s="1" t="e">
        <f>Sheet1!#REF!/60</f>
        <v>#REF!</v>
      </c>
      <c r="AO18" s="1" t="e">
        <f>Sheet1!#REF!/60</f>
        <v>#REF!</v>
      </c>
      <c r="AP18" s="1" t="e">
        <f>Sheet1!#REF!/60</f>
        <v>#REF!</v>
      </c>
      <c r="AQ18" s="1" t="e">
        <f>Sheet1!#REF!/60</f>
        <v>#REF!</v>
      </c>
      <c r="AR18" s="1" t="e">
        <f>Sheet1!#REF!/60</f>
        <v>#REF!</v>
      </c>
    </row>
    <row r="19" spans="1:44" x14ac:dyDescent="0.25">
      <c r="A19" t="s">
        <v>224</v>
      </c>
      <c r="B19" s="1" t="e">
        <f>Sheet1!#REF!/180+Sheet1!#REF!*Sheet1!#REF!*Sheet1!#REF!*0.5/450</f>
        <v>#REF!</v>
      </c>
      <c r="C19" s="1" t="e">
        <f>Sheet1!#REF!/180+Sheet1!#REF!*Sheet1!#REF!*Sheet1!#REF!*0.5/450</f>
        <v>#REF!</v>
      </c>
      <c r="D19" s="1" t="e">
        <f>Sheet1!#REF!/180+Sheet1!#REF!*Sheet1!#REF!*Sheet1!#REF!*0.5/450</f>
        <v>#REF!</v>
      </c>
      <c r="E19" s="1" t="e">
        <f>Sheet1!#REF!/180+Sheet1!#REF!*Sheet1!#REF!*Sheet1!#REF!*0.5/450</f>
        <v>#REF!</v>
      </c>
      <c r="F19" s="1" t="e">
        <f>Sheet1!#REF!/180+Sheet1!#REF!*Sheet1!#REF!*Sheet1!#REF!*0.5/450</f>
        <v>#REF!</v>
      </c>
      <c r="G19" s="1" t="e">
        <f>Sheet1!#REF!/180+Sheet1!#REF!*Sheet1!#REF!*Sheet1!#REF!*0.5/450</f>
        <v>#REF!</v>
      </c>
      <c r="H19" s="1" t="e">
        <f>Sheet1!#REF!/180+Sheet1!#REF!*Sheet1!#REF!*Sheet1!#REF!*0.5/450</f>
        <v>#REF!</v>
      </c>
      <c r="I19" s="1" t="e">
        <f>Sheet1!#REF!/180+Sheet1!#REF!*Sheet1!#REF!*Sheet1!#REF!*0.5/450</f>
        <v>#REF!</v>
      </c>
      <c r="J19" s="1" t="e">
        <f>Sheet1!#REF!/180+Sheet1!#REF!*Sheet1!#REF!*Sheet1!#REF!*0.5/450</f>
        <v>#REF!</v>
      </c>
      <c r="K19" s="1" t="e">
        <f>Sheet1!#REF!/180+Sheet1!#REF!*Sheet1!#REF!*Sheet1!#REF!*0.5/450</f>
        <v>#REF!</v>
      </c>
      <c r="L19" s="1" t="e">
        <f>Sheet1!#REF!/180+Sheet1!#REF!*Sheet1!#REF!*Sheet1!#REF!*0.5/450</f>
        <v>#REF!</v>
      </c>
      <c r="M19" s="1" t="e">
        <f>Sheet1!#REF!/180+Sheet1!#REF!*Sheet1!#REF!*Sheet1!#REF!*0.5/450</f>
        <v>#REF!</v>
      </c>
      <c r="N19" s="1" t="e">
        <f>Sheet1!#REF!/180+Sheet1!#REF!*Sheet1!#REF!*Sheet1!#REF!*0.5/450</f>
        <v>#REF!</v>
      </c>
      <c r="O19" s="1" t="e">
        <f>Sheet1!#REF!/180+Sheet1!#REF!*Sheet1!#REF!*Sheet1!#REF!*0.5/450</f>
        <v>#REF!</v>
      </c>
      <c r="P19" s="1" t="e">
        <f>Sheet1!#REF!/180+Sheet1!#REF!*Sheet1!#REF!*Sheet1!#REF!*0.5/450</f>
        <v>#REF!</v>
      </c>
      <c r="Q19" s="1" t="e">
        <f>Sheet1!#REF!/180+Sheet1!#REF!*Sheet1!#REF!*Sheet1!#REF!*0.5/450</f>
        <v>#REF!</v>
      </c>
      <c r="R19" s="1" t="e">
        <f>Sheet1!#REF!/180+Sheet1!#REF!*Sheet1!#REF!*Sheet1!#REF!*0.5/450</f>
        <v>#REF!</v>
      </c>
      <c r="S19" s="1" t="e">
        <f>Sheet1!#REF!/180+Sheet1!#REF!*Sheet1!#REF!*Sheet1!#REF!*0.5/450</f>
        <v>#REF!</v>
      </c>
      <c r="T19" s="1" t="e">
        <f>Sheet1!#REF!/180+Sheet1!#REF!*Sheet1!#REF!*Sheet1!#REF!*0.5/450</f>
        <v>#REF!</v>
      </c>
      <c r="U19" s="1" t="e">
        <f>Sheet1!#REF!/180+Sheet1!#REF!*Sheet1!#REF!*Sheet1!#REF!*0.5/450</f>
        <v>#REF!</v>
      </c>
      <c r="V19" s="1" t="e">
        <f>Sheet1!#REF!/180+Sheet1!#REF!*Sheet1!#REF!*Sheet1!#REF!*0.5/450</f>
        <v>#REF!</v>
      </c>
      <c r="W19" s="1" t="e">
        <f>Sheet1!#REF!/180+Sheet1!#REF!*Sheet1!#REF!*Sheet1!#REF!*0.5/450</f>
        <v>#REF!</v>
      </c>
      <c r="X19" s="1" t="e">
        <f>Sheet1!#REF!/180+Sheet1!#REF!*Sheet1!#REF!*Sheet1!#REF!*0.5/450</f>
        <v>#REF!</v>
      </c>
      <c r="Y19" s="1" t="e">
        <f>Sheet1!#REF!/180+Sheet1!#REF!*Sheet1!#REF!*Sheet1!#REF!*0.5/450</f>
        <v>#REF!</v>
      </c>
      <c r="Z19" s="1">
        <f>Sheet1!C220/180+Sheet1!C353*Sheet1!C354*Sheet1!C220*0.5/450</f>
        <v>4.32</v>
      </c>
      <c r="AA19" s="1" t="e">
        <f>Sheet1!#REF!/180+Sheet1!#REF!*Sheet1!#REF!*Sheet1!#REF!*0.5/450</f>
        <v>#REF!</v>
      </c>
      <c r="AB19" s="1" t="e">
        <f>Sheet1!#REF!/180+Sheet1!#REF!*Sheet1!#REF!*Sheet1!#REF!*0.5/450</f>
        <v>#REF!</v>
      </c>
      <c r="AC19" s="1" t="e">
        <f>Sheet1!#REF!/180+Sheet1!#REF!*Sheet1!#REF!*Sheet1!#REF!*0.5/450</f>
        <v>#REF!</v>
      </c>
      <c r="AD19" s="1" t="e">
        <f>Sheet1!#REF!/180+Sheet1!#REF!*Sheet1!#REF!*Sheet1!#REF!*0.5/450</f>
        <v>#REF!</v>
      </c>
      <c r="AE19" s="1" t="e">
        <f>Sheet1!#REF!/180+Sheet1!#REF!*Sheet1!#REF!*Sheet1!#REF!*0.5/450</f>
        <v>#REF!</v>
      </c>
      <c r="AF19" s="1" t="e">
        <f>Sheet1!#REF!/180+Sheet1!#REF!*Sheet1!#REF!*Sheet1!#REF!*0.5/450</f>
        <v>#REF!</v>
      </c>
      <c r="AG19" s="1" t="e">
        <f>Sheet1!#REF!/180+Sheet1!#REF!*Sheet1!#REF!*Sheet1!#REF!*0.5/450</f>
        <v>#REF!</v>
      </c>
      <c r="AH19" s="1" t="e">
        <f>Sheet1!#REF!/180+Sheet1!#REF!*Sheet1!#REF!*Sheet1!#REF!*0.5/450</f>
        <v>#REF!</v>
      </c>
      <c r="AI19" s="1" t="e">
        <f>Sheet1!#REF!/180+Sheet1!#REF!*Sheet1!#REF!*Sheet1!#REF!*0.5/450</f>
        <v>#REF!</v>
      </c>
      <c r="AJ19" s="1" t="e">
        <f>Sheet1!#REF!/180+Sheet1!#REF!*Sheet1!#REF!*Sheet1!#REF!*0.5/450</f>
        <v>#REF!</v>
      </c>
      <c r="AK19" s="1" t="e">
        <f>Sheet1!#REF!/180+Sheet1!#REF!*Sheet1!#REF!*Sheet1!#REF!*0.5/450</f>
        <v>#REF!</v>
      </c>
      <c r="AL19" s="1" t="e">
        <f>Sheet1!#REF!/180+Sheet1!#REF!*Sheet1!#REF!*Sheet1!#REF!*0.5/450</f>
        <v>#REF!</v>
      </c>
      <c r="AM19" s="1" t="e">
        <f>Sheet1!#REF!/180+Sheet1!#REF!*Sheet1!#REF!*Sheet1!#REF!*0.5/450</f>
        <v>#REF!</v>
      </c>
      <c r="AN19" s="1" t="e">
        <f>Sheet1!#REF!/180+Sheet1!#REF!*Sheet1!#REF!*Sheet1!#REF!*0.5/450</f>
        <v>#REF!</v>
      </c>
      <c r="AO19" s="1" t="e">
        <f>Sheet1!#REF!/180+Sheet1!#REF!*Sheet1!#REF!*Sheet1!#REF!*0.5/450</f>
        <v>#REF!</v>
      </c>
      <c r="AP19" s="1" t="e">
        <f>Sheet1!#REF!/180+Sheet1!#REF!*Sheet1!#REF!*Sheet1!#REF!*0.5/450</f>
        <v>#REF!</v>
      </c>
      <c r="AQ19" s="1" t="e">
        <f>Sheet1!#REF!/180+Sheet1!#REF!*Sheet1!#REF!*Sheet1!#REF!*0.5/450</f>
        <v>#REF!</v>
      </c>
      <c r="AR19" s="1" t="e">
        <f>Sheet1!#REF!/180+Sheet1!#REF!*Sheet1!#REF!*Sheet1!#REF!*0.5/450</f>
        <v>#REF!</v>
      </c>
    </row>
    <row r="20" spans="1:44" x14ac:dyDescent="0.25">
      <c r="A20" t="s">
        <v>225</v>
      </c>
      <c r="B20" s="1" t="e">
        <f>Sheet1!#REF!</f>
        <v>#REF!</v>
      </c>
      <c r="C20" s="1" t="e">
        <f>Sheet1!#REF!</f>
        <v>#REF!</v>
      </c>
      <c r="D20" s="1" t="e">
        <f>Sheet1!#REF!</f>
        <v>#REF!</v>
      </c>
      <c r="E20" s="1" t="e">
        <f>Sheet1!#REF!</f>
        <v>#REF!</v>
      </c>
      <c r="F20" s="1" t="e">
        <f>Sheet1!#REF!</f>
        <v>#REF!</v>
      </c>
      <c r="G20" s="1" t="e">
        <f>Sheet1!#REF!</f>
        <v>#REF!</v>
      </c>
      <c r="H20" s="1" t="e">
        <f>Sheet1!#REF!</f>
        <v>#REF!</v>
      </c>
      <c r="I20" s="1" t="e">
        <f>Sheet1!#REF!</f>
        <v>#REF!</v>
      </c>
      <c r="J20" s="1" t="e">
        <f>Sheet1!#REF!</f>
        <v>#REF!</v>
      </c>
      <c r="K20" s="1" t="e">
        <f>Sheet1!#REF!</f>
        <v>#REF!</v>
      </c>
      <c r="L20" s="1" t="e">
        <f>Sheet1!#REF!</f>
        <v>#REF!</v>
      </c>
      <c r="M20" s="1" t="e">
        <f>Sheet1!#REF!</f>
        <v>#REF!</v>
      </c>
      <c r="N20" s="1" t="e">
        <f>Sheet1!#REF!</f>
        <v>#REF!</v>
      </c>
      <c r="O20" s="1" t="e">
        <f>Sheet1!#REF!</f>
        <v>#REF!</v>
      </c>
      <c r="P20" s="1" t="e">
        <f>Sheet1!#REF!</f>
        <v>#REF!</v>
      </c>
      <c r="Q20" s="1" t="e">
        <f>Sheet1!#REF!</f>
        <v>#REF!</v>
      </c>
      <c r="R20" s="1" t="e">
        <f>Sheet1!#REF!</f>
        <v>#REF!</v>
      </c>
      <c r="S20" s="1" t="e">
        <f>Sheet1!#REF!</f>
        <v>#REF!</v>
      </c>
      <c r="T20" s="1" t="e">
        <f>Sheet1!#REF!</f>
        <v>#REF!</v>
      </c>
      <c r="U20" s="1" t="e">
        <f>Sheet1!#REF!</f>
        <v>#REF!</v>
      </c>
      <c r="V20" s="1" t="e">
        <f>Sheet1!#REF!</f>
        <v>#REF!</v>
      </c>
      <c r="W20" s="1" t="e">
        <f>Sheet1!#REF!</f>
        <v>#REF!</v>
      </c>
      <c r="X20" s="1" t="e">
        <f>Sheet1!#REF!</f>
        <v>#REF!</v>
      </c>
      <c r="Y20" s="1" t="e">
        <f>Sheet1!#REF!</f>
        <v>#REF!</v>
      </c>
      <c r="Z20" s="1">
        <f>Sheet1!C319</f>
        <v>56.76771789852512</v>
      </c>
      <c r="AA20" s="1" t="e">
        <f>Sheet1!#REF!</f>
        <v>#REF!</v>
      </c>
      <c r="AB20" s="1" t="e">
        <f>Sheet1!#REF!</f>
        <v>#REF!</v>
      </c>
      <c r="AC20" s="1" t="e">
        <f>Sheet1!#REF!</f>
        <v>#REF!</v>
      </c>
      <c r="AD20" s="1" t="e">
        <f>Sheet1!#REF!</f>
        <v>#REF!</v>
      </c>
      <c r="AE20" s="1" t="e">
        <f>Sheet1!#REF!</f>
        <v>#REF!</v>
      </c>
      <c r="AF20" s="1" t="e">
        <f>Sheet1!#REF!</f>
        <v>#REF!</v>
      </c>
      <c r="AG20" s="1" t="e">
        <f>Sheet1!#REF!</f>
        <v>#REF!</v>
      </c>
      <c r="AH20" s="1" t="e">
        <f>Sheet1!#REF!</f>
        <v>#REF!</v>
      </c>
      <c r="AI20" s="1" t="e">
        <f>Sheet1!#REF!</f>
        <v>#REF!</v>
      </c>
      <c r="AJ20" s="1" t="e">
        <f>Sheet1!#REF!</f>
        <v>#REF!</v>
      </c>
      <c r="AK20" s="1" t="e">
        <f>Sheet1!#REF!</f>
        <v>#REF!</v>
      </c>
      <c r="AL20" s="1" t="e">
        <f>Sheet1!#REF!</f>
        <v>#REF!</v>
      </c>
      <c r="AM20" s="1" t="e">
        <f>Sheet1!#REF!</f>
        <v>#REF!</v>
      </c>
      <c r="AN20" s="1" t="e">
        <f>Sheet1!#REF!</f>
        <v>#REF!</v>
      </c>
      <c r="AO20" s="1" t="e">
        <f>Sheet1!#REF!</f>
        <v>#REF!</v>
      </c>
      <c r="AP20" s="1" t="e">
        <f>Sheet1!#REF!</f>
        <v>#REF!</v>
      </c>
      <c r="AQ20" s="1" t="e">
        <f>Sheet1!#REF!</f>
        <v>#REF!</v>
      </c>
      <c r="AR20" s="1" t="e">
        <f>Sheet1!#REF!</f>
        <v>#REF!</v>
      </c>
    </row>
    <row r="21" spans="1:44" x14ac:dyDescent="0.25">
      <c r="A21" t="s">
        <v>226</v>
      </c>
      <c r="B21" s="1" t="e">
        <f>(Sheet1!#REF!+Sheet1!#REF!*0.5)*Sheet1!#REF!/65</f>
        <v>#REF!</v>
      </c>
      <c r="C21" s="1" t="e">
        <f>(Sheet1!#REF!+Sheet1!#REF!*0.5)*Sheet1!#REF!/65</f>
        <v>#REF!</v>
      </c>
      <c r="D21" s="1" t="e">
        <f>(Sheet1!#REF!+Sheet1!#REF!*0.5)*Sheet1!#REF!/65</f>
        <v>#REF!</v>
      </c>
      <c r="E21" s="1" t="e">
        <f>(Sheet1!#REF!+Sheet1!#REF!*0.5)*Sheet1!#REF!/65</f>
        <v>#REF!</v>
      </c>
      <c r="F21" s="1" t="e">
        <f>(Sheet1!#REF!+Sheet1!#REF!*0.5)*Sheet1!#REF!/65</f>
        <v>#REF!</v>
      </c>
      <c r="G21" s="1" t="e">
        <f>(Sheet1!#REF!+Sheet1!#REF!*0.5)*Sheet1!#REF!/65</f>
        <v>#REF!</v>
      </c>
      <c r="H21" s="1" t="e">
        <f>(Sheet1!#REF!+Sheet1!#REF!*0.5)*Sheet1!#REF!/65</f>
        <v>#REF!</v>
      </c>
      <c r="I21" s="1" t="e">
        <f>(Sheet1!#REF!+Sheet1!#REF!*0.5)*Sheet1!#REF!/65</f>
        <v>#REF!</v>
      </c>
      <c r="J21" s="1" t="e">
        <f>(Sheet1!#REF!+Sheet1!#REF!*0.5)*Sheet1!#REF!/65</f>
        <v>#REF!</v>
      </c>
      <c r="K21" s="1" t="e">
        <f>(Sheet1!#REF!+Sheet1!#REF!*0.5)*Sheet1!#REF!/65</f>
        <v>#REF!</v>
      </c>
      <c r="L21" s="1" t="e">
        <f>(Sheet1!#REF!+Sheet1!#REF!*0.5)*Sheet1!#REF!/65</f>
        <v>#REF!</v>
      </c>
      <c r="M21" s="1" t="e">
        <f>(Sheet1!#REF!+Sheet1!#REF!*0.5)*Sheet1!#REF!/65</f>
        <v>#REF!</v>
      </c>
      <c r="N21" s="1" t="e">
        <f>(Sheet1!#REF!+Sheet1!#REF!*0.5)*Sheet1!#REF!/65</f>
        <v>#REF!</v>
      </c>
      <c r="O21" s="1" t="e">
        <f>(Sheet1!#REF!+Sheet1!#REF!*0.5)*Sheet1!#REF!/65</f>
        <v>#REF!</v>
      </c>
      <c r="P21" s="1" t="e">
        <f>(Sheet1!#REF!+Sheet1!#REF!*0.5)*Sheet1!#REF!/65</f>
        <v>#REF!</v>
      </c>
      <c r="Q21" s="1" t="e">
        <f>(Sheet1!#REF!+Sheet1!#REF!*0.5)*Sheet1!#REF!/65</f>
        <v>#REF!</v>
      </c>
      <c r="R21" s="1" t="e">
        <f>(Sheet1!#REF!+Sheet1!#REF!*0.5)*Sheet1!#REF!/65</f>
        <v>#REF!</v>
      </c>
      <c r="S21" s="1" t="e">
        <f>(Sheet1!#REF!+Sheet1!#REF!*0.5)*Sheet1!#REF!/65</f>
        <v>#REF!</v>
      </c>
      <c r="T21" s="1" t="e">
        <f>(Sheet1!#REF!+Sheet1!#REF!*0.5)*Sheet1!#REF!/65</f>
        <v>#REF!</v>
      </c>
      <c r="U21" s="1" t="e">
        <f>(Sheet1!#REF!+Sheet1!#REF!*0.5)*Sheet1!#REF!/65</f>
        <v>#REF!</v>
      </c>
      <c r="V21" s="1" t="e">
        <f>(Sheet1!#REF!+Sheet1!#REF!*0.5)*Sheet1!#REF!/65</f>
        <v>#REF!</v>
      </c>
      <c r="W21" s="1" t="e">
        <f>(Sheet1!#REF!+Sheet1!#REF!*0.5)*Sheet1!#REF!/65</f>
        <v>#REF!</v>
      </c>
      <c r="X21" s="1" t="e">
        <f>(Sheet1!#REF!+Sheet1!#REF!*0.5)*Sheet1!#REF!/65</f>
        <v>#REF!</v>
      </c>
      <c r="Y21" s="1" t="e">
        <f>(Sheet1!#REF!+Sheet1!#REF!*0.5)*Sheet1!#REF!/65</f>
        <v>#REF!</v>
      </c>
      <c r="Z21" s="1">
        <f>(Sheet1!C209+Sheet1!C217*0.5)*Sheet1!C216/65</f>
        <v>0</v>
      </c>
      <c r="AA21" s="1" t="e">
        <f>(Sheet1!#REF!+Sheet1!#REF!*0.5)*Sheet1!#REF!/65</f>
        <v>#REF!</v>
      </c>
      <c r="AB21" s="1" t="e">
        <f>(Sheet1!#REF!+Sheet1!#REF!*0.5)*Sheet1!#REF!/65</f>
        <v>#REF!</v>
      </c>
      <c r="AC21" s="1" t="e">
        <f>(Sheet1!#REF!+Sheet1!#REF!*0.5)*Sheet1!#REF!/65</f>
        <v>#REF!</v>
      </c>
      <c r="AD21" s="1" t="e">
        <f>(Sheet1!#REF!+Sheet1!#REF!*0.5)*Sheet1!#REF!/65</f>
        <v>#REF!</v>
      </c>
      <c r="AE21" s="1" t="e">
        <f>(Sheet1!#REF!+Sheet1!#REF!*0.5)*Sheet1!#REF!/65</f>
        <v>#REF!</v>
      </c>
      <c r="AF21" s="1" t="e">
        <f>(Sheet1!#REF!+Sheet1!#REF!*0.5)*Sheet1!#REF!/65</f>
        <v>#REF!</v>
      </c>
      <c r="AG21" s="1" t="e">
        <f>(Sheet1!#REF!+Sheet1!#REF!*0.5)*Sheet1!#REF!/65</f>
        <v>#REF!</v>
      </c>
      <c r="AH21" s="1" t="e">
        <f>(Sheet1!#REF!+Sheet1!#REF!*0.5)*Sheet1!#REF!/65</f>
        <v>#REF!</v>
      </c>
      <c r="AI21" s="1" t="e">
        <f>(Sheet1!#REF!+Sheet1!#REF!*0.5)*Sheet1!#REF!/65</f>
        <v>#REF!</v>
      </c>
      <c r="AJ21" s="1" t="e">
        <f>(Sheet1!#REF!+Sheet1!#REF!*0.5)*Sheet1!#REF!/65</f>
        <v>#REF!</v>
      </c>
      <c r="AK21" s="1" t="e">
        <f>(Sheet1!#REF!+Sheet1!#REF!*0.5)*Sheet1!#REF!/65</f>
        <v>#REF!</v>
      </c>
      <c r="AL21" s="1" t="e">
        <f>(Sheet1!#REF!+Sheet1!#REF!*0.5)*Sheet1!#REF!/65</f>
        <v>#REF!</v>
      </c>
      <c r="AM21" s="1" t="e">
        <f>(Sheet1!#REF!+Sheet1!#REF!*0.5)*Sheet1!#REF!/65</f>
        <v>#REF!</v>
      </c>
      <c r="AN21" s="1" t="e">
        <f>(Sheet1!#REF!+Sheet1!#REF!*0.5)*Sheet1!#REF!/65</f>
        <v>#REF!</v>
      </c>
      <c r="AO21" s="1" t="e">
        <f>(Sheet1!#REF!+Sheet1!#REF!*0.5)*Sheet1!#REF!/65</f>
        <v>#REF!</v>
      </c>
      <c r="AP21" s="1" t="e">
        <f>(Sheet1!#REF!+Sheet1!#REF!*0.5)*Sheet1!#REF!/65</f>
        <v>#REF!</v>
      </c>
      <c r="AQ21" s="1" t="e">
        <f>(Sheet1!#REF!+Sheet1!#REF!*0.5)*Sheet1!#REF!/65</f>
        <v>#REF!</v>
      </c>
      <c r="AR21" s="1" t="e">
        <f>(Sheet1!#REF!+Sheet1!#REF!*0.5)*Sheet1!#REF!/65</f>
        <v>#REF!</v>
      </c>
    </row>
    <row r="22" spans="1:44" x14ac:dyDescent="0.25">
      <c r="A22" t="s">
        <v>227</v>
      </c>
      <c r="B22" s="5" t="e">
        <f>Sheet1!#REF!</f>
        <v>#REF!</v>
      </c>
      <c r="C22" s="5" t="e">
        <f>Sheet1!#REF!</f>
        <v>#REF!</v>
      </c>
      <c r="D22" s="5" t="e">
        <f>Sheet1!#REF!</f>
        <v>#REF!</v>
      </c>
      <c r="E22" s="5" t="e">
        <f>Sheet1!#REF!</f>
        <v>#REF!</v>
      </c>
      <c r="F22" s="5" t="e">
        <f>Sheet1!#REF!</f>
        <v>#REF!</v>
      </c>
      <c r="G22" s="5" t="e">
        <f>Sheet1!#REF!</f>
        <v>#REF!</v>
      </c>
      <c r="H22" s="5" t="e">
        <f>Sheet1!#REF!</f>
        <v>#REF!</v>
      </c>
      <c r="I22" s="5" t="e">
        <f>Sheet1!#REF!</f>
        <v>#REF!</v>
      </c>
      <c r="J22" s="5" t="e">
        <f>Sheet1!#REF!</f>
        <v>#REF!</v>
      </c>
      <c r="K22" s="5" t="e">
        <f>Sheet1!#REF!</f>
        <v>#REF!</v>
      </c>
      <c r="L22" s="5" t="e">
        <f>Sheet1!#REF!</f>
        <v>#REF!</v>
      </c>
      <c r="M22" s="5" t="e">
        <f>Sheet1!#REF!</f>
        <v>#REF!</v>
      </c>
      <c r="N22" s="5" t="e">
        <f>Sheet1!#REF!</f>
        <v>#REF!</v>
      </c>
      <c r="O22" s="5" t="e">
        <f>Sheet1!#REF!</f>
        <v>#REF!</v>
      </c>
      <c r="P22" s="5" t="e">
        <f>Sheet1!#REF!</f>
        <v>#REF!</v>
      </c>
      <c r="Q22" s="5" t="e">
        <f>Sheet1!#REF!</f>
        <v>#REF!</v>
      </c>
      <c r="R22" s="5" t="e">
        <f>Sheet1!#REF!</f>
        <v>#REF!</v>
      </c>
      <c r="S22" s="5" t="e">
        <f>Sheet1!#REF!</f>
        <v>#REF!</v>
      </c>
      <c r="T22" s="5" t="e">
        <f>Sheet1!#REF!</f>
        <v>#REF!</v>
      </c>
      <c r="U22" s="5" t="e">
        <f>Sheet1!#REF!</f>
        <v>#REF!</v>
      </c>
      <c r="V22" s="5" t="e">
        <f>Sheet1!#REF!</f>
        <v>#REF!</v>
      </c>
      <c r="W22" s="5" t="e">
        <f>Sheet1!#REF!</f>
        <v>#REF!</v>
      </c>
      <c r="X22" s="5" t="e">
        <f>Sheet1!#REF!</f>
        <v>#REF!</v>
      </c>
      <c r="Y22" s="5" t="e">
        <f>Sheet1!#REF!</f>
        <v>#REF!</v>
      </c>
      <c r="Z22" s="5">
        <f>Sheet1!C101</f>
        <v>24.682358015812859</v>
      </c>
      <c r="AA22" s="5" t="e">
        <f>Sheet1!#REF!</f>
        <v>#REF!</v>
      </c>
      <c r="AB22" s="5" t="e">
        <f>Sheet1!#REF!</f>
        <v>#REF!</v>
      </c>
      <c r="AC22" s="5" t="e">
        <f>Sheet1!#REF!</f>
        <v>#REF!</v>
      </c>
      <c r="AD22" s="5" t="e">
        <f>Sheet1!#REF!</f>
        <v>#REF!</v>
      </c>
      <c r="AE22" s="5" t="e">
        <f>Sheet1!#REF!</f>
        <v>#REF!</v>
      </c>
      <c r="AF22" s="5" t="e">
        <f>Sheet1!#REF!</f>
        <v>#REF!</v>
      </c>
      <c r="AG22" s="5" t="e">
        <f>Sheet1!#REF!</f>
        <v>#REF!</v>
      </c>
      <c r="AH22" s="5" t="e">
        <f>Sheet1!#REF!</f>
        <v>#REF!</v>
      </c>
      <c r="AI22" s="5" t="e">
        <f>Sheet1!#REF!</f>
        <v>#REF!</v>
      </c>
      <c r="AJ22" s="5" t="e">
        <f>Sheet1!#REF!</f>
        <v>#REF!</v>
      </c>
      <c r="AK22" s="5" t="e">
        <f>Sheet1!#REF!</f>
        <v>#REF!</v>
      </c>
      <c r="AL22" s="5" t="e">
        <f>Sheet1!#REF!</f>
        <v>#REF!</v>
      </c>
      <c r="AM22" s="5" t="e">
        <f>Sheet1!#REF!</f>
        <v>#REF!</v>
      </c>
      <c r="AN22" s="5" t="e">
        <f>Sheet1!#REF!</f>
        <v>#REF!</v>
      </c>
      <c r="AO22" s="5" t="e">
        <f>Sheet1!#REF!</f>
        <v>#REF!</v>
      </c>
      <c r="AP22" s="5" t="e">
        <f>Sheet1!#REF!</f>
        <v>#REF!</v>
      </c>
      <c r="AQ22" s="5" t="e">
        <f>Sheet1!#REF!</f>
        <v>#REF!</v>
      </c>
      <c r="AR22" s="5" t="e">
        <f>Sheet1!#REF!</f>
        <v>#REF!</v>
      </c>
    </row>
    <row r="23" spans="1:44" x14ac:dyDescent="0.25">
      <c r="A23" t="s">
        <v>228</v>
      </c>
      <c r="B23" s="1" t="e">
        <f>B22^2*10/Sheet1!#REF!</f>
        <v>#REF!</v>
      </c>
      <c r="C23" s="1" t="e">
        <f>C22^2*10/Sheet1!#REF!</f>
        <v>#REF!</v>
      </c>
      <c r="D23" s="1" t="e">
        <f>D22^2*10/Sheet1!#REF!</f>
        <v>#REF!</v>
      </c>
      <c r="E23" s="1" t="e">
        <f>E22^2*10/Sheet1!#REF!</f>
        <v>#REF!</v>
      </c>
      <c r="F23" s="1" t="e">
        <f>F22^2*10/Sheet1!#REF!</f>
        <v>#REF!</v>
      </c>
      <c r="G23" s="1" t="e">
        <f>G22^2*10/Sheet1!#REF!</f>
        <v>#REF!</v>
      </c>
      <c r="H23" s="1" t="e">
        <f>H22^2*10/Sheet1!#REF!</f>
        <v>#REF!</v>
      </c>
      <c r="I23" s="1" t="e">
        <f>I22^2*10/Sheet1!#REF!</f>
        <v>#REF!</v>
      </c>
      <c r="J23" s="1" t="e">
        <f>J22^2*10/Sheet1!#REF!</f>
        <v>#REF!</v>
      </c>
      <c r="K23" s="1" t="e">
        <f>K22^2*10/Sheet1!#REF!</f>
        <v>#REF!</v>
      </c>
      <c r="L23" s="1" t="e">
        <f>L22^2*10/Sheet1!#REF!</f>
        <v>#REF!</v>
      </c>
      <c r="M23" s="1" t="e">
        <f>M22^2*10/Sheet1!#REF!</f>
        <v>#REF!</v>
      </c>
      <c r="N23" s="1" t="e">
        <f>N22^2*10/Sheet1!#REF!</f>
        <v>#REF!</v>
      </c>
      <c r="O23" s="1" t="e">
        <f>O22^2*10/Sheet1!#REF!</f>
        <v>#REF!</v>
      </c>
      <c r="P23" s="1" t="e">
        <f>P22^2*10/Sheet1!#REF!</f>
        <v>#REF!</v>
      </c>
      <c r="Q23" s="1" t="e">
        <f>Q22^2*10/Sheet1!#REF!</f>
        <v>#REF!</v>
      </c>
      <c r="R23" s="1" t="e">
        <f>R22^2*10/Sheet1!#REF!</f>
        <v>#REF!</v>
      </c>
      <c r="S23" s="1" t="e">
        <f>S22^2*10/Sheet1!#REF!</f>
        <v>#REF!</v>
      </c>
      <c r="T23" s="1" t="e">
        <f>T22^2*10/Sheet1!#REF!</f>
        <v>#REF!</v>
      </c>
      <c r="U23" s="1" t="e">
        <f>U22^2*10/Sheet1!#REF!</f>
        <v>#REF!</v>
      </c>
      <c r="V23" s="1" t="e">
        <f>V22^2*10/Sheet1!#REF!</f>
        <v>#REF!</v>
      </c>
      <c r="W23" s="1" t="e">
        <f>W22^2*10/Sheet1!#REF!</f>
        <v>#REF!</v>
      </c>
      <c r="X23" s="1" t="e">
        <f>X22^2*10/Sheet1!#REF!</f>
        <v>#REF!</v>
      </c>
      <c r="Y23" s="1" t="e">
        <f>Y22^2*10/Sheet1!#REF!</f>
        <v>#REF!</v>
      </c>
      <c r="Z23" s="1">
        <f>Z22^2*10/Sheet1!C16</f>
        <v>25.122424627660259</v>
      </c>
      <c r="AA23" s="1" t="e">
        <f>AA22^2*10/Sheet1!#REF!</f>
        <v>#REF!</v>
      </c>
      <c r="AB23" s="1" t="e">
        <f>AB22^2*10/Sheet1!#REF!</f>
        <v>#REF!</v>
      </c>
      <c r="AC23" s="1" t="e">
        <f>AC22^2*10/Sheet1!#REF!</f>
        <v>#REF!</v>
      </c>
      <c r="AD23" s="1" t="e">
        <f>AD22^2*10/Sheet1!#REF!</f>
        <v>#REF!</v>
      </c>
      <c r="AE23" s="1" t="e">
        <f>AE22^2*10/Sheet1!#REF!</f>
        <v>#REF!</v>
      </c>
      <c r="AF23" s="1" t="e">
        <f>AF22^2*10/Sheet1!#REF!</f>
        <v>#REF!</v>
      </c>
      <c r="AG23" s="1" t="e">
        <f>AG22^2*10/Sheet1!#REF!</f>
        <v>#REF!</v>
      </c>
      <c r="AH23" s="1" t="e">
        <f>AH22^2*10/Sheet1!#REF!</f>
        <v>#REF!</v>
      </c>
      <c r="AI23" s="1" t="e">
        <f>AI22^2*10/Sheet1!#REF!</f>
        <v>#REF!</v>
      </c>
      <c r="AJ23" s="1" t="e">
        <f>AJ22^2*10/Sheet1!#REF!</f>
        <v>#REF!</v>
      </c>
      <c r="AK23" s="1" t="e">
        <f>AK22^2*10/Sheet1!#REF!</f>
        <v>#REF!</v>
      </c>
      <c r="AL23" s="1" t="e">
        <f>AL22^2*10/Sheet1!#REF!</f>
        <v>#REF!</v>
      </c>
      <c r="AM23" s="1" t="e">
        <f>AM22^2*10/Sheet1!#REF!</f>
        <v>#REF!</v>
      </c>
      <c r="AN23" s="1" t="e">
        <f>AN22^2*10/Sheet1!#REF!</f>
        <v>#REF!</v>
      </c>
      <c r="AO23" s="1" t="e">
        <f>AO22^2*10/Sheet1!#REF!</f>
        <v>#REF!</v>
      </c>
      <c r="AP23" s="1" t="e">
        <f>AP22^2*10/Sheet1!#REF!</f>
        <v>#REF!</v>
      </c>
      <c r="AQ23" s="1" t="e">
        <f>AQ22^2*10/Sheet1!#REF!</f>
        <v>#REF!</v>
      </c>
      <c r="AR23" s="1" t="e">
        <f>AR22^2*10/Sheet1!#REF!</f>
        <v>#REF!</v>
      </c>
    </row>
    <row r="24" spans="1:44" x14ac:dyDescent="0.25">
      <c r="A24" t="s">
        <v>229</v>
      </c>
      <c r="B24" s="1" t="e">
        <f>(Sheet1!#REF!*Sheet1!#REF!*4+Sheet1!#REF!*Sheet1!#REF!)/10</f>
        <v>#REF!</v>
      </c>
      <c r="C24" s="1" t="e">
        <f>(Sheet1!#REF!*Sheet1!#REF!*4+Sheet1!#REF!*Sheet1!#REF!)/10</f>
        <v>#REF!</v>
      </c>
      <c r="D24" s="1" t="e">
        <f>(Sheet1!#REF!*Sheet1!#REF!*4+Sheet1!#REF!*Sheet1!#REF!)/10</f>
        <v>#REF!</v>
      </c>
      <c r="E24" s="1" t="e">
        <f>(Sheet1!#REF!*Sheet1!#REF!*4+Sheet1!#REF!*Sheet1!#REF!)/10</f>
        <v>#REF!</v>
      </c>
      <c r="F24" s="1" t="e">
        <f>(Sheet1!#REF!*Sheet1!#REF!*4+Sheet1!#REF!*Sheet1!#REF!)/10</f>
        <v>#REF!</v>
      </c>
      <c r="G24" s="1" t="e">
        <f>(Sheet1!#REF!*Sheet1!#REF!*4+Sheet1!#REF!*Sheet1!#REF!)/10</f>
        <v>#REF!</v>
      </c>
      <c r="H24" s="1" t="e">
        <f>(Sheet1!#REF!*Sheet1!#REF!*4+Sheet1!#REF!*Sheet1!#REF!)/10</f>
        <v>#REF!</v>
      </c>
      <c r="I24" s="1" t="e">
        <f>(Sheet1!#REF!*Sheet1!#REF!*4+Sheet1!#REF!*Sheet1!#REF!)/10</f>
        <v>#REF!</v>
      </c>
      <c r="J24" s="1" t="e">
        <f>(Sheet1!#REF!*Sheet1!#REF!*4+Sheet1!#REF!*Sheet1!#REF!)/10</f>
        <v>#REF!</v>
      </c>
      <c r="K24" s="1" t="e">
        <f>(Sheet1!#REF!*Sheet1!#REF!*4+Sheet1!#REF!*Sheet1!#REF!)/10</f>
        <v>#REF!</v>
      </c>
      <c r="L24" s="1" t="e">
        <f>(Sheet1!#REF!*Sheet1!#REF!*4+Sheet1!#REF!*Sheet1!#REF!)/10</f>
        <v>#REF!</v>
      </c>
      <c r="M24" s="1" t="e">
        <f>(Sheet1!#REF!*Sheet1!#REF!*4+Sheet1!#REF!*Sheet1!#REF!)/10</f>
        <v>#REF!</v>
      </c>
      <c r="N24" s="1" t="e">
        <f>(Sheet1!#REF!*Sheet1!#REF!*4+Sheet1!#REF!*Sheet1!#REF!)/10</f>
        <v>#REF!</v>
      </c>
      <c r="O24" s="1" t="e">
        <f>(Sheet1!#REF!*Sheet1!#REF!*4+Sheet1!#REF!*Sheet1!#REF!)/10</f>
        <v>#REF!</v>
      </c>
      <c r="P24" s="1" t="e">
        <f>(Sheet1!#REF!*Sheet1!#REF!*4+Sheet1!#REF!*Sheet1!#REF!)/10</f>
        <v>#REF!</v>
      </c>
      <c r="Q24" s="1" t="e">
        <f>(Sheet1!#REF!*Sheet1!#REF!*4+Sheet1!#REF!*Sheet1!#REF!)/10</f>
        <v>#REF!</v>
      </c>
      <c r="R24" s="1" t="e">
        <f>(Sheet1!#REF!*Sheet1!#REF!*4+Sheet1!#REF!*Sheet1!#REF!)/10</f>
        <v>#REF!</v>
      </c>
      <c r="S24" s="1" t="e">
        <f>(Sheet1!#REF!*Sheet1!#REF!*4+Sheet1!#REF!*Sheet1!#REF!)/10</f>
        <v>#REF!</v>
      </c>
      <c r="T24" s="1" t="e">
        <f>(Sheet1!#REF!*Sheet1!#REF!*4+Sheet1!#REF!*Sheet1!#REF!)/10</f>
        <v>#REF!</v>
      </c>
      <c r="U24" s="1" t="e">
        <f>(Sheet1!#REF!*Sheet1!#REF!*4+Sheet1!#REF!*Sheet1!#REF!)/10</f>
        <v>#REF!</v>
      </c>
      <c r="V24" s="1" t="e">
        <f>(Sheet1!#REF!*Sheet1!#REF!*4+Sheet1!#REF!*Sheet1!#REF!)/10</f>
        <v>#REF!</v>
      </c>
      <c r="W24" s="1" t="e">
        <f>(Sheet1!#REF!*Sheet1!#REF!*4+Sheet1!#REF!*Sheet1!#REF!)/10</f>
        <v>#REF!</v>
      </c>
      <c r="X24" s="1" t="e">
        <f>(Sheet1!#REF!*Sheet1!#REF!*4+Sheet1!#REF!*Sheet1!#REF!)/10</f>
        <v>#REF!</v>
      </c>
      <c r="Y24" s="1" t="e">
        <f>(Sheet1!#REF!*Sheet1!#REF!*4+Sheet1!#REF!*Sheet1!#REF!)/10</f>
        <v>#REF!</v>
      </c>
      <c r="Z24" s="1">
        <f>(Sheet1!C355*Sheet1!C356*4+Sheet1!C357*Sheet1!C358)/10</f>
        <v>8.8000000000000007</v>
      </c>
      <c r="AA24" s="1" t="e">
        <f>(Sheet1!#REF!*Sheet1!#REF!*4+Sheet1!#REF!*Sheet1!#REF!)/10</f>
        <v>#REF!</v>
      </c>
      <c r="AB24" s="1" t="e">
        <f>(Sheet1!#REF!*Sheet1!#REF!*4+Sheet1!#REF!*Sheet1!#REF!)/10</f>
        <v>#REF!</v>
      </c>
      <c r="AC24" s="1" t="e">
        <f>(Sheet1!#REF!*Sheet1!#REF!*4+Sheet1!#REF!*Sheet1!#REF!)/10</f>
        <v>#REF!</v>
      </c>
      <c r="AD24" s="1" t="e">
        <f>(Sheet1!#REF!*Sheet1!#REF!*4+Sheet1!#REF!*Sheet1!#REF!)/10</f>
        <v>#REF!</v>
      </c>
      <c r="AE24" s="1" t="e">
        <f>(Sheet1!#REF!*Sheet1!#REF!*4+Sheet1!#REF!*Sheet1!#REF!)/10</f>
        <v>#REF!</v>
      </c>
      <c r="AF24" s="1" t="e">
        <f>(Sheet1!#REF!*Sheet1!#REF!*4+Sheet1!#REF!*Sheet1!#REF!)/10</f>
        <v>#REF!</v>
      </c>
      <c r="AG24" s="1" t="e">
        <f>(Sheet1!#REF!*Sheet1!#REF!*4+Sheet1!#REF!*Sheet1!#REF!)/10</f>
        <v>#REF!</v>
      </c>
      <c r="AH24" s="1" t="e">
        <f>(Sheet1!#REF!*Sheet1!#REF!*4+Sheet1!#REF!*Sheet1!#REF!)/10</f>
        <v>#REF!</v>
      </c>
      <c r="AI24" s="1" t="e">
        <f>(Sheet1!#REF!*Sheet1!#REF!*4+Sheet1!#REF!*Sheet1!#REF!)/10</f>
        <v>#REF!</v>
      </c>
      <c r="AJ24" s="1" t="e">
        <f>(Sheet1!#REF!*Sheet1!#REF!*4+Sheet1!#REF!*Sheet1!#REF!)/10</f>
        <v>#REF!</v>
      </c>
      <c r="AK24" s="1" t="e">
        <f>(Sheet1!#REF!*Sheet1!#REF!*4+Sheet1!#REF!*Sheet1!#REF!)/10</f>
        <v>#REF!</v>
      </c>
      <c r="AL24" s="1" t="e">
        <f>(Sheet1!#REF!*Sheet1!#REF!*4+Sheet1!#REF!*Sheet1!#REF!)/10</f>
        <v>#REF!</v>
      </c>
      <c r="AM24" s="1" t="e">
        <f>(Sheet1!#REF!*Sheet1!#REF!*4+Sheet1!#REF!*Sheet1!#REF!)/10</f>
        <v>#REF!</v>
      </c>
      <c r="AN24" s="1" t="e">
        <f>(Sheet1!#REF!*Sheet1!#REF!*4+Sheet1!#REF!*Sheet1!#REF!)/10</f>
        <v>#REF!</v>
      </c>
      <c r="AO24" s="1" t="e">
        <f>(Sheet1!#REF!*Sheet1!#REF!*4+Sheet1!#REF!*Sheet1!#REF!)/10</f>
        <v>#REF!</v>
      </c>
      <c r="AP24" s="1" t="e">
        <f>(Sheet1!#REF!*Sheet1!#REF!*4+Sheet1!#REF!*Sheet1!#REF!)/10</f>
        <v>#REF!</v>
      </c>
      <c r="AQ24" s="1" t="e">
        <f>(Sheet1!#REF!*Sheet1!#REF!*4+Sheet1!#REF!*Sheet1!#REF!)/10</f>
        <v>#REF!</v>
      </c>
      <c r="AR24" s="1" t="e">
        <f>(Sheet1!#REF!*Sheet1!#REF!*4+Sheet1!#REF!*Sheet1!#REF!)/10</f>
        <v>#REF!</v>
      </c>
    </row>
    <row r="25" spans="1:44" x14ac:dyDescent="0.25">
      <c r="A25" t="s">
        <v>230</v>
      </c>
      <c r="B25" s="1" t="e">
        <f>(Sheet1!#REF!*Sheet1!#REF!*2+Sheet1!#REF!*Sheet1!#REF!+Sheet1!#REF!)*2</f>
        <v>#REF!</v>
      </c>
      <c r="C25" s="1" t="e">
        <f>(Sheet1!#REF!*Sheet1!#REF!*2+Sheet1!#REF!*Sheet1!#REF!+Sheet1!#REF!)*2</f>
        <v>#REF!</v>
      </c>
      <c r="D25" s="1" t="e">
        <f>(Sheet1!#REF!*Sheet1!#REF!*2+Sheet1!#REF!*Sheet1!#REF!+Sheet1!#REF!)*2</f>
        <v>#REF!</v>
      </c>
      <c r="E25" s="1" t="e">
        <f>(Sheet1!#REF!*Sheet1!#REF!*2+Sheet1!#REF!*Sheet1!#REF!+Sheet1!#REF!)*2</f>
        <v>#REF!</v>
      </c>
      <c r="F25" s="1" t="e">
        <f>(Sheet1!#REF!*Sheet1!#REF!*2+Sheet1!#REF!*Sheet1!#REF!+Sheet1!#REF!)*2</f>
        <v>#REF!</v>
      </c>
      <c r="G25" s="1" t="e">
        <f>(Sheet1!#REF!*Sheet1!#REF!*2+Sheet1!#REF!*Sheet1!#REF!+Sheet1!#REF!)*2</f>
        <v>#REF!</v>
      </c>
      <c r="H25" s="1" t="e">
        <f>(Sheet1!#REF!*Sheet1!#REF!*2+Sheet1!#REF!*Sheet1!#REF!+Sheet1!#REF!)*2</f>
        <v>#REF!</v>
      </c>
      <c r="I25" s="1" t="e">
        <f>(Sheet1!#REF!*Sheet1!#REF!*2+Sheet1!#REF!*Sheet1!#REF!+Sheet1!#REF!)*2</f>
        <v>#REF!</v>
      </c>
      <c r="J25" s="1" t="e">
        <f>(Sheet1!#REF!*Sheet1!#REF!*2+Sheet1!#REF!*Sheet1!#REF!+Sheet1!#REF!)*2</f>
        <v>#REF!</v>
      </c>
      <c r="K25" s="1" t="e">
        <f>(Sheet1!#REF!*Sheet1!#REF!*2+Sheet1!#REF!*Sheet1!#REF!+Sheet1!#REF!)*2</f>
        <v>#REF!</v>
      </c>
      <c r="L25" s="1" t="e">
        <f>(Sheet1!#REF!*Sheet1!#REF!*2+Sheet1!#REF!*Sheet1!#REF!+Sheet1!#REF!)*2</f>
        <v>#REF!</v>
      </c>
      <c r="M25" s="1" t="e">
        <f>(Sheet1!#REF!*Sheet1!#REF!*2+Sheet1!#REF!*Sheet1!#REF!+Sheet1!#REF!)*2</f>
        <v>#REF!</v>
      </c>
      <c r="N25" s="1" t="e">
        <f>(Sheet1!#REF!*Sheet1!#REF!*2+Sheet1!#REF!*Sheet1!#REF!+Sheet1!#REF!)*2</f>
        <v>#REF!</v>
      </c>
      <c r="O25" s="1" t="e">
        <f>(Sheet1!#REF!*Sheet1!#REF!*2+Sheet1!#REF!*Sheet1!#REF!+Sheet1!#REF!)*2</f>
        <v>#REF!</v>
      </c>
      <c r="P25" s="1" t="e">
        <f>(Sheet1!#REF!*Sheet1!#REF!*2+Sheet1!#REF!*Sheet1!#REF!+Sheet1!#REF!)*2</f>
        <v>#REF!</v>
      </c>
      <c r="Q25" s="1" t="e">
        <f>(Sheet1!#REF!*Sheet1!#REF!*2+Sheet1!#REF!*Sheet1!#REF!+Sheet1!#REF!)*2</f>
        <v>#REF!</v>
      </c>
      <c r="R25" s="1" t="e">
        <f>(Sheet1!#REF!*Sheet1!#REF!*2+Sheet1!#REF!*Sheet1!#REF!+Sheet1!#REF!)*2</f>
        <v>#REF!</v>
      </c>
      <c r="S25" s="1" t="e">
        <f>(Sheet1!#REF!*Sheet1!#REF!*2+Sheet1!#REF!*Sheet1!#REF!+Sheet1!#REF!)*2</f>
        <v>#REF!</v>
      </c>
      <c r="T25" s="1" t="e">
        <f>(Sheet1!#REF!*Sheet1!#REF!*2+Sheet1!#REF!*Sheet1!#REF!+Sheet1!#REF!)*2</f>
        <v>#REF!</v>
      </c>
      <c r="U25" s="1" t="e">
        <f>(Sheet1!#REF!*Sheet1!#REF!*2+Sheet1!#REF!*Sheet1!#REF!+Sheet1!#REF!)*2</f>
        <v>#REF!</v>
      </c>
      <c r="V25" s="1" t="e">
        <f>(Sheet1!#REF!*Sheet1!#REF!*2+Sheet1!#REF!*Sheet1!#REF!+Sheet1!#REF!)*2</f>
        <v>#REF!</v>
      </c>
      <c r="W25" s="1" t="e">
        <f>(Sheet1!#REF!*Sheet1!#REF!*2+Sheet1!#REF!*Sheet1!#REF!+Sheet1!#REF!)*2</f>
        <v>#REF!</v>
      </c>
      <c r="X25" s="1" t="e">
        <f>(Sheet1!#REF!*Sheet1!#REF!*2+Sheet1!#REF!*Sheet1!#REF!+Sheet1!#REF!)*2</f>
        <v>#REF!</v>
      </c>
      <c r="Y25" s="1" t="e">
        <f>(Sheet1!#REF!*Sheet1!#REF!*2+Sheet1!#REF!*Sheet1!#REF!+Sheet1!#REF!)*2</f>
        <v>#REF!</v>
      </c>
      <c r="Z25" s="1">
        <f>(Sheet1!C351*Sheet1!C352*2+Sheet1!C353*Sheet1!C354+Sheet1!C346)*2</f>
        <v>6</v>
      </c>
      <c r="AA25" s="1" t="e">
        <f>(Sheet1!#REF!*Sheet1!#REF!*2+Sheet1!#REF!*Sheet1!#REF!+Sheet1!#REF!)*2</f>
        <v>#REF!</v>
      </c>
      <c r="AB25" s="1" t="e">
        <f>(Sheet1!#REF!*Sheet1!#REF!*2+Sheet1!#REF!*Sheet1!#REF!+Sheet1!#REF!)*2</f>
        <v>#REF!</v>
      </c>
      <c r="AC25" s="1" t="e">
        <f>(Sheet1!#REF!*Sheet1!#REF!*2+Sheet1!#REF!*Sheet1!#REF!+Sheet1!#REF!)*2</f>
        <v>#REF!</v>
      </c>
      <c r="AD25" s="1" t="e">
        <f>(Sheet1!#REF!*Sheet1!#REF!*2+Sheet1!#REF!*Sheet1!#REF!+Sheet1!#REF!)*2</f>
        <v>#REF!</v>
      </c>
      <c r="AE25" s="1" t="e">
        <f>(Sheet1!#REF!*Sheet1!#REF!*2+Sheet1!#REF!*Sheet1!#REF!+Sheet1!#REF!)*2</f>
        <v>#REF!</v>
      </c>
      <c r="AF25" s="1" t="e">
        <f>(Sheet1!#REF!*Sheet1!#REF!*2+Sheet1!#REF!*Sheet1!#REF!+Sheet1!#REF!)*2</f>
        <v>#REF!</v>
      </c>
      <c r="AG25" s="1" t="e">
        <f>(Sheet1!#REF!*Sheet1!#REF!*2+Sheet1!#REF!*Sheet1!#REF!+Sheet1!#REF!)*2</f>
        <v>#REF!</v>
      </c>
      <c r="AH25" s="1" t="e">
        <f>(Sheet1!#REF!*Sheet1!#REF!*2+Sheet1!#REF!*Sheet1!#REF!+Sheet1!#REF!)*2</f>
        <v>#REF!</v>
      </c>
      <c r="AI25" s="1" t="e">
        <f>(Sheet1!#REF!*Sheet1!#REF!*2+Sheet1!#REF!*Sheet1!#REF!+Sheet1!#REF!)*2</f>
        <v>#REF!</v>
      </c>
      <c r="AJ25" s="1" t="e">
        <f>(Sheet1!#REF!*Sheet1!#REF!*2+Sheet1!#REF!*Sheet1!#REF!+Sheet1!#REF!)*2</f>
        <v>#REF!</v>
      </c>
      <c r="AK25" s="1" t="e">
        <f>(Sheet1!#REF!*Sheet1!#REF!*2+Sheet1!#REF!*Sheet1!#REF!+Sheet1!#REF!)*2</f>
        <v>#REF!</v>
      </c>
      <c r="AL25" s="1" t="e">
        <f>(Sheet1!#REF!*Sheet1!#REF!*2+Sheet1!#REF!*Sheet1!#REF!+Sheet1!#REF!)*2</f>
        <v>#REF!</v>
      </c>
      <c r="AM25" s="1" t="e">
        <f>(Sheet1!#REF!*Sheet1!#REF!*2+Sheet1!#REF!*Sheet1!#REF!+Sheet1!#REF!)*2</f>
        <v>#REF!</v>
      </c>
      <c r="AN25" s="1" t="e">
        <f>(Sheet1!#REF!*Sheet1!#REF!*2+Sheet1!#REF!*Sheet1!#REF!+Sheet1!#REF!)*2</f>
        <v>#REF!</v>
      </c>
      <c r="AO25" s="1" t="e">
        <f>(Sheet1!#REF!*Sheet1!#REF!*2+Sheet1!#REF!*Sheet1!#REF!+Sheet1!#REF!)*2</f>
        <v>#REF!</v>
      </c>
      <c r="AP25" s="1" t="e">
        <f>(Sheet1!#REF!*Sheet1!#REF!*2+Sheet1!#REF!*Sheet1!#REF!+Sheet1!#REF!)*2</f>
        <v>#REF!</v>
      </c>
      <c r="AQ25" s="1" t="e">
        <f>(Sheet1!#REF!*Sheet1!#REF!*2+Sheet1!#REF!*Sheet1!#REF!+Sheet1!#REF!)*2</f>
        <v>#REF!</v>
      </c>
      <c r="AR25" s="1" t="e">
        <f>(Sheet1!#REF!*Sheet1!#REF!*2+Sheet1!#REF!*Sheet1!#REF!+Sheet1!#REF!)*2</f>
        <v>#REF!</v>
      </c>
    </row>
    <row r="26" spans="1:44" x14ac:dyDescent="0.25">
      <c r="A26" t="s">
        <v>231</v>
      </c>
      <c r="B26">
        <v>15</v>
      </c>
      <c r="C26">
        <v>40</v>
      </c>
      <c r="D26">
        <v>40</v>
      </c>
      <c r="E26">
        <v>40</v>
      </c>
      <c r="F26">
        <v>2</v>
      </c>
      <c r="G26">
        <v>5</v>
      </c>
      <c r="H26">
        <v>20</v>
      </c>
      <c r="I26">
        <v>35</v>
      </c>
      <c r="J26">
        <v>15</v>
      </c>
      <c r="K26">
        <v>15</v>
      </c>
      <c r="L26">
        <v>25</v>
      </c>
      <c r="M26">
        <v>10</v>
      </c>
      <c r="N26">
        <v>12</v>
      </c>
      <c r="O26">
        <v>15</v>
      </c>
      <c r="P26">
        <v>5</v>
      </c>
      <c r="Q26">
        <v>12</v>
      </c>
      <c r="R26">
        <v>18</v>
      </c>
      <c r="S26">
        <v>30</v>
      </c>
      <c r="T26">
        <v>20</v>
      </c>
      <c r="U26">
        <v>25</v>
      </c>
      <c r="V26">
        <v>5</v>
      </c>
      <c r="W26">
        <v>2</v>
      </c>
      <c r="X26">
        <v>20</v>
      </c>
      <c r="Y26">
        <v>18</v>
      </c>
      <c r="Z26">
        <v>5</v>
      </c>
      <c r="AA26">
        <v>30</v>
      </c>
      <c r="AB26">
        <v>50</v>
      </c>
      <c r="AC26">
        <v>25</v>
      </c>
      <c r="AD26">
        <v>40</v>
      </c>
      <c r="AE26">
        <v>10</v>
      </c>
      <c r="AF26">
        <v>15</v>
      </c>
      <c r="AG26">
        <v>20</v>
      </c>
      <c r="AH26">
        <v>20</v>
      </c>
      <c r="AI26">
        <v>17</v>
      </c>
      <c r="AJ26">
        <v>20</v>
      </c>
      <c r="AN26">
        <v>25</v>
      </c>
      <c r="AO26">
        <v>26</v>
      </c>
      <c r="AP26">
        <v>18</v>
      </c>
      <c r="AQ26">
        <v>25</v>
      </c>
      <c r="AR26">
        <v>5</v>
      </c>
    </row>
  </sheetData>
  <phoneticPr fontId="1" type="noConversion"/>
  <pageMargins left="0.75" right="0.75" top="1" bottom="1" header="0.51111111111111107" footer="0.51111111111111107"/>
  <pageSetup paperSize="9" orientation="portrait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5"/>
  <sheetViews>
    <sheetView topLeftCell="P1" zoomScaleSheetLayoutView="100" workbookViewId="0">
      <selection activeCell="AE8" sqref="AE8"/>
    </sheetView>
  </sheetViews>
  <sheetFormatPr defaultColWidth="8.69921875" defaultRowHeight="15.6" x14ac:dyDescent="0.25"/>
  <cols>
    <col min="1" max="1" width="18.59765625" customWidth="1"/>
    <col min="2" max="2" width="12.69921875" style="1" bestFit="1" customWidth="1"/>
    <col min="24" max="24" width="12.69921875" bestFit="1" customWidth="1"/>
  </cols>
  <sheetData>
    <row r="1" spans="1:30" x14ac:dyDescent="0.25">
      <c r="A1" t="s">
        <v>232</v>
      </c>
      <c r="B1" s="1" t="e">
        <f>Sheet3!B2</f>
        <v>#REF!</v>
      </c>
      <c r="C1" t="e">
        <f>Sheet3!C2</f>
        <v>#REF!</v>
      </c>
      <c r="D1" t="e">
        <f>Sheet3!D2</f>
        <v>#REF!</v>
      </c>
      <c r="E1" t="e">
        <f>Sheet3!E2</f>
        <v>#REF!</v>
      </c>
      <c r="F1" t="e">
        <f>Sheet3!F2</f>
        <v>#REF!</v>
      </c>
      <c r="G1" t="e">
        <f>Sheet3!G2</f>
        <v>#REF!</v>
      </c>
      <c r="H1" t="e">
        <f>Sheet3!H2</f>
        <v>#REF!</v>
      </c>
      <c r="I1" t="e">
        <f>Sheet3!I2</f>
        <v>#REF!</v>
      </c>
      <c r="J1" t="e">
        <f>Sheet3!J2</f>
        <v>#REF!</v>
      </c>
      <c r="K1" t="e">
        <f>Sheet3!K2</f>
        <v>#REF!</v>
      </c>
      <c r="L1" t="e">
        <f>Sheet3!L2</f>
        <v>#REF!</v>
      </c>
      <c r="M1" t="e">
        <f>Sheet3!M2</f>
        <v>#REF!</v>
      </c>
      <c r="N1" t="e">
        <f>Sheet3!N2</f>
        <v>#REF!</v>
      </c>
      <c r="O1" t="e">
        <f>Sheet3!O2</f>
        <v>#REF!</v>
      </c>
      <c r="P1" t="e">
        <f>Sheet3!P2</f>
        <v>#REF!</v>
      </c>
      <c r="Q1" t="e">
        <f>Sheet3!Q2</f>
        <v>#REF!</v>
      </c>
      <c r="R1" t="e">
        <f>Sheet3!R2</f>
        <v>#REF!</v>
      </c>
      <c r="S1" t="e">
        <f>Sheet3!S2</f>
        <v>#REF!</v>
      </c>
      <c r="T1" t="e">
        <f>Sheet3!T2</f>
        <v>#REF!</v>
      </c>
      <c r="U1" t="e">
        <f>Sheet3!U2</f>
        <v>#REF!</v>
      </c>
      <c r="V1" t="e">
        <f>Sheet3!V2</f>
        <v>#REF!</v>
      </c>
      <c r="W1" t="e">
        <f>Sheet3!W2</f>
        <v>#REF!</v>
      </c>
      <c r="X1" t="e">
        <f>Sheet3!X2</f>
        <v>#REF!</v>
      </c>
      <c r="Y1" t="e">
        <f>Sheet3!Y2</f>
        <v>#REF!</v>
      </c>
      <c r="Z1" t="str">
        <f>Sheet3!Z2</f>
        <v>ZL02</v>
      </c>
      <c r="AA1" t="e">
        <f>Sheet3!AA2</f>
        <v>#REF!</v>
      </c>
      <c r="AB1" t="e">
        <f>Sheet3!AB2</f>
        <v>#REF!</v>
      </c>
      <c r="AC1" t="e">
        <f>Sheet3!AC2</f>
        <v>#REF!</v>
      </c>
      <c r="AD1" t="e">
        <f>Sheet3!AD2</f>
        <v>#REF!</v>
      </c>
    </row>
    <row r="2" spans="1:30" x14ac:dyDescent="0.25">
      <c r="A2" t="s">
        <v>4</v>
      </c>
    </row>
    <row r="3" spans="1:30" x14ac:dyDescent="0.25">
      <c r="A3" t="s">
        <v>233</v>
      </c>
      <c r="B3" s="2" t="e">
        <f>Sheet3!B24/Sheet3!B23</f>
        <v>#REF!</v>
      </c>
      <c r="W3" s="2" t="e">
        <f>Sheet3!B24/Sheet3!W23</f>
        <v>#REF!</v>
      </c>
      <c r="X3" s="2" t="e">
        <f>Sheet3!B24/Sheet3!X23</f>
        <v>#REF!</v>
      </c>
    </row>
    <row r="4" spans="1:30" x14ac:dyDescent="0.25">
      <c r="A4" t="s">
        <v>234</v>
      </c>
      <c r="B4" s="1" t="e">
        <f>Sheet3!B18*4/3-Sheet3!B20*2/3</f>
        <v>#REF!</v>
      </c>
      <c r="W4" s="1" t="e">
        <f>Sheet3!B18*4/3-Sheet3!W20*2/3</f>
        <v>#REF!</v>
      </c>
      <c r="X4" s="1" t="e">
        <f>Sheet3!B18*4/3-Sheet3!X20*2/3</f>
        <v>#REF!</v>
      </c>
    </row>
    <row r="5" spans="1:30" x14ac:dyDescent="0.25">
      <c r="A5" t="s">
        <v>235</v>
      </c>
      <c r="B5" s="1" t="e">
        <f>Sheet3!B18*2/3-Sheet3!B20*4/3</f>
        <v>#REF!</v>
      </c>
      <c r="W5" s="1" t="e">
        <f>Sheet3!B18*2/3-Sheet3!W20*4/3</f>
        <v>#REF!</v>
      </c>
      <c r="X5" s="1" t="e">
        <f>Sheet3!B18*2/3-Sheet3!X20*4/3</f>
        <v>#REF!</v>
      </c>
    </row>
    <row r="6" spans="1:30" x14ac:dyDescent="0.25">
      <c r="A6" t="s">
        <v>236</v>
      </c>
      <c r="B6" s="3">
        <f>Sheet3!B26/15/(Sheet3!B26/15)</f>
        <v>1</v>
      </c>
      <c r="W6" s="3">
        <f>Sheet3!B26/15/(Sheet3!W26/15)</f>
        <v>7.5</v>
      </c>
      <c r="X6" s="3">
        <f>Sheet3!B26/15/(Sheet3!X26/15)</f>
        <v>0.75</v>
      </c>
    </row>
    <row r="7" spans="1:30" x14ac:dyDescent="0.25">
      <c r="A7" t="s">
        <v>237</v>
      </c>
      <c r="B7" s="1" t="e">
        <f>(B4-B5)/2*B6+B5</f>
        <v>#REF!</v>
      </c>
      <c r="W7" s="1" t="e">
        <f>(W4-W5)/2*W6+W5</f>
        <v>#REF!</v>
      </c>
      <c r="X7" s="1" t="e">
        <f>(X4-X5)/2*X6+X5</f>
        <v>#REF!</v>
      </c>
    </row>
    <row r="8" spans="1:30" x14ac:dyDescent="0.25">
      <c r="A8" t="s">
        <v>238</v>
      </c>
      <c r="B8" s="1" t="e">
        <f>B3*B7</f>
        <v>#REF!</v>
      </c>
      <c r="W8" s="1" t="e">
        <f>W3*W7</f>
        <v>#REF!</v>
      </c>
      <c r="X8" s="1" t="e">
        <f>X3*X7</f>
        <v>#REF!</v>
      </c>
    </row>
    <row r="9" spans="1:30" x14ac:dyDescent="0.25">
      <c r="A9" t="s">
        <v>239</v>
      </c>
      <c r="B9" s="4" t="e">
        <f>Sheet3!B17/B8</f>
        <v>#REF!</v>
      </c>
      <c r="W9" s="4" t="e">
        <f>Sheet3!W17/W8</f>
        <v>#REF!</v>
      </c>
      <c r="X9" s="4" t="e">
        <f>Sheet3!X17/X8</f>
        <v>#REF!</v>
      </c>
    </row>
    <row r="10" spans="1:30" x14ac:dyDescent="0.25">
      <c r="A10" t="s">
        <v>5</v>
      </c>
      <c r="W10" s="1"/>
      <c r="X10" s="1"/>
    </row>
    <row r="11" spans="1:30" x14ac:dyDescent="0.25">
      <c r="A11" t="s">
        <v>233</v>
      </c>
      <c r="B11" s="2" t="e">
        <f>Sheet3!N24/Sheet3!B23</f>
        <v>#REF!</v>
      </c>
      <c r="W11" s="2" t="e">
        <f>Sheet3!N24/Sheet3!W23</f>
        <v>#REF!</v>
      </c>
      <c r="X11" s="2" t="e">
        <f>Sheet3!N24/Sheet3!X23</f>
        <v>#REF!</v>
      </c>
    </row>
    <row r="12" spans="1:30" x14ac:dyDescent="0.25">
      <c r="A12" t="s">
        <v>234</v>
      </c>
      <c r="B12" s="1" t="e">
        <f>Sheet3!N18*4/3-Sheet3!B20*2/3</f>
        <v>#REF!</v>
      </c>
      <c r="W12" s="1" t="e">
        <f>Sheet3!N18*4/3-Sheet3!W20*2/3</f>
        <v>#REF!</v>
      </c>
      <c r="X12" s="1" t="e">
        <f>Sheet3!N18*4/3-Sheet3!X20*2/3</f>
        <v>#REF!</v>
      </c>
    </row>
    <row r="13" spans="1:30" x14ac:dyDescent="0.25">
      <c r="A13" t="s">
        <v>235</v>
      </c>
      <c r="B13" s="1" t="e">
        <f>Sheet3!N18*2/3-Sheet3!B20*4/3</f>
        <v>#REF!</v>
      </c>
      <c r="W13" s="1" t="e">
        <f>Sheet3!N18*2/3-Sheet3!W20*4/3</f>
        <v>#REF!</v>
      </c>
      <c r="X13" s="1" t="e">
        <f>Sheet3!N18*2/3-Sheet3!X20*4/3</f>
        <v>#REF!</v>
      </c>
    </row>
    <row r="14" spans="1:30" x14ac:dyDescent="0.25">
      <c r="A14" t="s">
        <v>236</v>
      </c>
      <c r="B14" s="3">
        <f>Sheet3!N26/15/(Sheet3!B26/15)</f>
        <v>0.8</v>
      </c>
      <c r="W14" s="3">
        <f>Sheet3!N26/15/(Sheet3!W26/15)</f>
        <v>6</v>
      </c>
      <c r="X14" s="3">
        <f>Sheet3!N26/15/(Sheet3!X26/15)</f>
        <v>0.60000000000000009</v>
      </c>
    </row>
    <row r="15" spans="1:30" x14ac:dyDescent="0.25">
      <c r="A15" t="s">
        <v>237</v>
      </c>
      <c r="B15" s="1" t="e">
        <f>(B12-B13)/2*B14+B13</f>
        <v>#REF!</v>
      </c>
      <c r="W15" s="1" t="e">
        <f>(W12-W13)/2*W14+W13</f>
        <v>#REF!</v>
      </c>
      <c r="X15" s="1" t="e">
        <f>(X12-X13)/2*X14+X13</f>
        <v>#REF!</v>
      </c>
    </row>
    <row r="16" spans="1:30" x14ac:dyDescent="0.25">
      <c r="A16" t="s">
        <v>238</v>
      </c>
      <c r="B16" s="1" t="e">
        <f>B11*B15</f>
        <v>#REF!</v>
      </c>
      <c r="W16" s="1" t="e">
        <f>W11*W15</f>
        <v>#REF!</v>
      </c>
      <c r="X16" s="1" t="e">
        <f>X11*X15</f>
        <v>#REF!</v>
      </c>
    </row>
    <row r="17" spans="1:24" x14ac:dyDescent="0.25">
      <c r="A17" t="s">
        <v>239</v>
      </c>
      <c r="B17" s="4" t="e">
        <f>Sheet3!B17/B16</f>
        <v>#REF!</v>
      </c>
      <c r="W17" s="4" t="e">
        <f>Sheet3!W17/W16</f>
        <v>#REF!</v>
      </c>
      <c r="X17" s="4" t="e">
        <f>Sheet3!X17/X16</f>
        <v>#REF!</v>
      </c>
    </row>
    <row r="18" spans="1:24" x14ac:dyDescent="0.25">
      <c r="A18" t="s">
        <v>6</v>
      </c>
    </row>
    <row r="19" spans="1:24" x14ac:dyDescent="0.25">
      <c r="A19" t="s">
        <v>233</v>
      </c>
      <c r="B19" s="2" t="e">
        <f>Sheet3!W24/Sheet3!B23</f>
        <v>#REF!</v>
      </c>
      <c r="W19" s="2" t="e">
        <f>Sheet3!W24/Sheet3!W23</f>
        <v>#REF!</v>
      </c>
      <c r="X19" s="2" t="e">
        <f>Sheet3!W24/Sheet3!X23</f>
        <v>#REF!</v>
      </c>
    </row>
    <row r="20" spans="1:24" x14ac:dyDescent="0.25">
      <c r="A20" t="s">
        <v>234</v>
      </c>
      <c r="B20" s="1" t="e">
        <f>Sheet3!W18*4/3-Sheet3!B20*2/3</f>
        <v>#REF!</v>
      </c>
      <c r="W20" s="1" t="e">
        <f>Sheet3!W18*4/3-Sheet3!W20*2/3</f>
        <v>#REF!</v>
      </c>
      <c r="X20" s="1" t="e">
        <f>Sheet3!W18*4/3-Sheet3!X20*2/3</f>
        <v>#REF!</v>
      </c>
    </row>
    <row r="21" spans="1:24" x14ac:dyDescent="0.25">
      <c r="A21" t="s">
        <v>235</v>
      </c>
      <c r="B21" s="1" t="e">
        <f>Sheet3!W18*2/3-Sheet3!B20*4/3</f>
        <v>#REF!</v>
      </c>
      <c r="W21" s="1" t="e">
        <f>Sheet3!W18*2/3-Sheet3!W20*4/3</f>
        <v>#REF!</v>
      </c>
      <c r="X21" s="1" t="e">
        <f>Sheet3!W18*2/3-Sheet3!X20*4/3</f>
        <v>#REF!</v>
      </c>
    </row>
    <row r="22" spans="1:24" x14ac:dyDescent="0.25">
      <c r="A22" t="s">
        <v>236</v>
      </c>
      <c r="B22" s="3">
        <f>Sheet3!W26/15/(Sheet3!B26/15)</f>
        <v>0.13333333333333333</v>
      </c>
      <c r="W22" s="3">
        <f>Sheet3!W26/15/(Sheet3!W26/15)</f>
        <v>1</v>
      </c>
      <c r="X22" s="3">
        <f>Sheet3!W26/15/(Sheet3!X26/15)</f>
        <v>0.1</v>
      </c>
    </row>
    <row r="23" spans="1:24" x14ac:dyDescent="0.25">
      <c r="A23" t="s">
        <v>237</v>
      </c>
      <c r="B23" s="1" t="e">
        <f>(B20-B21)/2*B22+B21</f>
        <v>#REF!</v>
      </c>
      <c r="W23" s="1" t="e">
        <f>(W20-W21)/2*W22+W21</f>
        <v>#REF!</v>
      </c>
      <c r="X23" s="1" t="e">
        <f>(X20-X21)/2*X22+X21</f>
        <v>#REF!</v>
      </c>
    </row>
    <row r="24" spans="1:24" x14ac:dyDescent="0.25">
      <c r="A24" t="s">
        <v>238</v>
      </c>
      <c r="B24" s="1" t="e">
        <f>B19*B23</f>
        <v>#REF!</v>
      </c>
      <c r="W24" s="1" t="e">
        <f>W19*W23</f>
        <v>#REF!</v>
      </c>
      <c r="X24" s="1" t="e">
        <f>X19*X23</f>
        <v>#REF!</v>
      </c>
    </row>
    <row r="25" spans="1:24" x14ac:dyDescent="0.25">
      <c r="A25" t="s">
        <v>239</v>
      </c>
      <c r="B25" s="4" t="e">
        <f>Sheet3!B17/B24</f>
        <v>#REF!</v>
      </c>
      <c r="W25" s="4" t="e">
        <f>Sheet3!W17/W24</f>
        <v>#REF!</v>
      </c>
      <c r="X25" s="4" t="e">
        <f>Sheet3!X17/X24</f>
        <v>#REF!</v>
      </c>
    </row>
  </sheetData>
  <phoneticPr fontId="1" type="noConversion"/>
  <pageMargins left="0.75" right="0.75" top="1" bottom="1" header="0.51111111111111107" footer="0.5111111111111110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roseyanyh</dc:creator>
  <cp:keywords/>
  <dc:description/>
  <cp:lastModifiedBy>zbh</cp:lastModifiedBy>
  <cp:revision/>
  <dcterms:created xsi:type="dcterms:W3CDTF">2012-06-06T01:30:27Z</dcterms:created>
  <dcterms:modified xsi:type="dcterms:W3CDTF">2019-07-09T09:12:58Z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