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GitHub\ShipGame\data\"/>
    </mc:Choice>
  </mc:AlternateContent>
  <xr:revisionPtr revIDLastSave="0" documentId="13_ncr:1_{8DDEBF97-ABFD-4096-80E6-0375739C2DAC}" xr6:coauthVersionLast="36" xr6:coauthVersionMax="36" xr10:uidLastSave="{00000000-0000-0000-0000-000000000000}"/>
  <bookViews>
    <workbookView xWindow="0" yWindow="0" windowWidth="19200" windowHeight="896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9" i="1" l="1"/>
  <c r="E219" i="1"/>
  <c r="C219" i="1"/>
  <c r="D218" i="1"/>
  <c r="E218" i="1"/>
  <c r="C218" i="1"/>
  <c r="D217" i="1"/>
  <c r="D221" i="1" s="1"/>
  <c r="D8" i="1" s="1"/>
  <c r="E217" i="1"/>
  <c r="C217" i="1"/>
  <c r="E186" i="1"/>
  <c r="E331" i="1" s="1"/>
  <c r="D89" i="1"/>
  <c r="E89" i="1"/>
  <c r="C89" i="1"/>
  <c r="C90" i="1" s="1"/>
  <c r="C98" i="1" s="1"/>
  <c r="D90" i="1"/>
  <c r="D91" i="1"/>
  <c r="D99" i="1" s="1"/>
  <c r="D88" i="1"/>
  <c r="E88" i="1"/>
  <c r="C88" i="1"/>
  <c r="D86" i="1"/>
  <c r="E86" i="1"/>
  <c r="C86" i="1"/>
  <c r="E247" i="1"/>
  <c r="E248" i="1"/>
  <c r="E309" i="1" s="1"/>
  <c r="E242" i="1"/>
  <c r="E243" i="1"/>
  <c r="E244" i="1" s="1"/>
  <c r="E227" i="1"/>
  <c r="E230" i="1" s="1"/>
  <c r="E71" i="1"/>
  <c r="E77" i="1"/>
  <c r="E81" i="1" s="1"/>
  <c r="E82" i="1" s="1"/>
  <c r="E78" i="1"/>
  <c r="E79" i="1" s="1"/>
  <c r="C313" i="1"/>
  <c r="D73" i="1"/>
  <c r="C73" i="1"/>
  <c r="D259" i="1"/>
  <c r="E259" i="1"/>
  <c r="E73" i="1" s="1"/>
  <c r="C259" i="1"/>
  <c r="E72" i="1"/>
  <c r="E311" i="1"/>
  <c r="E312" i="1"/>
  <c r="E313" i="1"/>
  <c r="E340" i="1"/>
  <c r="E337" i="1"/>
  <c r="E335" i="1"/>
  <c r="E330" i="1"/>
  <c r="E323" i="1"/>
  <c r="E317" i="1"/>
  <c r="E314" i="1"/>
  <c r="E276" i="1"/>
  <c r="E277" i="1"/>
  <c r="E280" i="1"/>
  <c r="E281" i="1"/>
  <c r="E282" i="1"/>
  <c r="E283" i="1"/>
  <c r="E288" i="1"/>
  <c r="E289" i="1"/>
  <c r="E298" i="1"/>
  <c r="D220" i="1"/>
  <c r="C220" i="1"/>
  <c r="D123" i="1"/>
  <c r="E123" i="1"/>
  <c r="C123" i="1"/>
  <c r="E109" i="1"/>
  <c r="E272" i="1"/>
  <c r="E273" i="1" s="1"/>
  <c r="E268" i="1"/>
  <c r="D270" i="1"/>
  <c r="E270" i="1"/>
  <c r="C270" i="1"/>
  <c r="E271" i="1"/>
  <c r="E67" i="1"/>
  <c r="E63" i="1"/>
  <c r="E51" i="1"/>
  <c r="E19" i="1"/>
  <c r="E24" i="1"/>
  <c r="E41" i="1"/>
  <c r="E17" i="1"/>
  <c r="E215" i="1"/>
  <c r="E181" i="1"/>
  <c r="E163" i="1"/>
  <c r="E164" i="1"/>
  <c r="E165" i="1"/>
  <c r="E166" i="1"/>
  <c r="E167" i="1"/>
  <c r="E168" i="1"/>
  <c r="E169" i="1"/>
  <c r="E170" i="1"/>
  <c r="E172" i="1"/>
  <c r="E173" i="1"/>
  <c r="E174" i="1"/>
  <c r="E175" i="1"/>
  <c r="E176" i="1"/>
  <c r="E180" i="1"/>
  <c r="E154" i="1"/>
  <c r="E155" i="1"/>
  <c r="E156" i="1"/>
  <c r="E157" i="1"/>
  <c r="E158" i="1"/>
  <c r="E144" i="1"/>
  <c r="E145" i="1"/>
  <c r="E146" i="1"/>
  <c r="E147" i="1"/>
  <c r="E148" i="1"/>
  <c r="E149" i="1"/>
  <c r="E150" i="1"/>
  <c r="E151" i="1"/>
  <c r="E152" i="1"/>
  <c r="E133" i="1"/>
  <c r="E134" i="1"/>
  <c r="E135" i="1"/>
  <c r="E136" i="1"/>
  <c r="E137" i="1"/>
  <c r="E138" i="1"/>
  <c r="E139" i="1"/>
  <c r="E140" i="1"/>
  <c r="E141" i="1"/>
  <c r="E127" i="1"/>
  <c r="E128" i="1" s="1"/>
  <c r="E129" i="1"/>
  <c r="E130" i="1"/>
  <c r="E132" i="1"/>
  <c r="E125" i="1"/>
  <c r="E131" i="1" s="1"/>
  <c r="E118" i="1"/>
  <c r="D83" i="1"/>
  <c r="D84" i="1" s="1"/>
  <c r="C83" i="1"/>
  <c r="C84" i="1" s="1"/>
  <c r="D326" i="1"/>
  <c r="C326" i="1"/>
  <c r="D301" i="1"/>
  <c r="D302" i="1"/>
  <c r="D303" i="1"/>
  <c r="C303" i="1"/>
  <c r="C301" i="1"/>
  <c r="C302" i="1"/>
  <c r="D340" i="1"/>
  <c r="D337" i="1"/>
  <c r="D335" i="1"/>
  <c r="D330" i="1"/>
  <c r="D323" i="1"/>
  <c r="D77" i="1"/>
  <c r="D81" i="1" s="1"/>
  <c r="D82" i="1" s="1"/>
  <c r="D71" i="1"/>
  <c r="D333" i="1" s="1"/>
  <c r="D72" i="1"/>
  <c r="D78" i="1"/>
  <c r="D79" i="1" s="1"/>
  <c r="D343" i="1"/>
  <c r="D313" i="1"/>
  <c r="D227" i="1"/>
  <c r="D230" i="1" s="1"/>
  <c r="D247" i="1"/>
  <c r="D311" i="1" s="1"/>
  <c r="D248" i="1"/>
  <c r="D312" i="1" s="1"/>
  <c r="D298" i="1"/>
  <c r="D281" i="1"/>
  <c r="D282" i="1"/>
  <c r="D288" i="1"/>
  <c r="D276" i="1"/>
  <c r="D277" i="1"/>
  <c r="C242" i="1"/>
  <c r="D242" i="1"/>
  <c r="D243" i="1"/>
  <c r="D244" i="1" s="1"/>
  <c r="D274" i="1" s="1"/>
  <c r="D216" i="1"/>
  <c r="D186" i="1"/>
  <c r="D172" i="1"/>
  <c r="D173" i="1"/>
  <c r="D174" i="1"/>
  <c r="D175" i="1"/>
  <c r="D129" i="1"/>
  <c r="D130" i="1"/>
  <c r="D176" i="1" s="1"/>
  <c r="D127" i="1"/>
  <c r="D128" i="1" s="1"/>
  <c r="D125" i="1"/>
  <c r="D139" i="1" s="1"/>
  <c r="D150" i="1" s="1"/>
  <c r="D118" i="1"/>
  <c r="F118" i="1"/>
  <c r="G118" i="1"/>
  <c r="C118" i="1"/>
  <c r="D109" i="1"/>
  <c r="D331" i="1" s="1"/>
  <c r="D272" i="1"/>
  <c r="D273" i="1" s="1"/>
  <c r="D279" i="1" s="1"/>
  <c r="D268" i="1"/>
  <c r="D67" i="1"/>
  <c r="D63" i="1"/>
  <c r="D51" i="1"/>
  <c r="D41" i="1"/>
  <c r="D24" i="1"/>
  <c r="D19" i="1"/>
  <c r="D283" i="1" s="1"/>
  <c r="D17" i="1"/>
  <c r="D29" i="1" s="1"/>
  <c r="C17" i="1"/>
  <c r="C19" i="1"/>
  <c r="C314" i="1" s="1"/>
  <c r="G130" i="1"/>
  <c r="G127" i="1"/>
  <c r="G128" i="1" s="1"/>
  <c r="G129" i="1"/>
  <c r="G125" i="1"/>
  <c r="G131" i="1" s="1"/>
  <c r="C125" i="1"/>
  <c r="F125" i="1"/>
  <c r="F134" i="1" s="1"/>
  <c r="F127" i="1"/>
  <c r="F128" i="1" s="1"/>
  <c r="F129" i="1"/>
  <c r="F130" i="1"/>
  <c r="E220" i="1" l="1"/>
  <c r="E221" i="1"/>
  <c r="E332" i="1"/>
  <c r="E91" i="1"/>
  <c r="E99" i="1" s="1"/>
  <c r="C91" i="1"/>
  <c r="C99" i="1" s="1"/>
  <c r="E305" i="1"/>
  <c r="E232" i="1"/>
  <c r="E306" i="1" s="1"/>
  <c r="E233" i="1"/>
  <c r="E307" i="1" s="1"/>
  <c r="E274" i="1"/>
  <c r="E284" i="1" s="1"/>
  <c r="E302" i="1" s="1"/>
  <c r="E275" i="1"/>
  <c r="E279" i="1"/>
  <c r="E278" i="1"/>
  <c r="E286" i="1"/>
  <c r="E285" i="1"/>
  <c r="E301" i="1" s="1"/>
  <c r="E14" i="1"/>
  <c r="E87" i="1" s="1"/>
  <c r="E320" i="1"/>
  <c r="E322" i="1" s="1"/>
  <c r="E325" i="1" s="1"/>
  <c r="E326" i="1" s="1"/>
  <c r="E92" i="1"/>
  <c r="E83" i="1"/>
  <c r="E84" i="1" s="1"/>
  <c r="E333" i="1"/>
  <c r="E287" i="1"/>
  <c r="E303" i="1" s="1"/>
  <c r="E343" i="1"/>
  <c r="E124" i="1"/>
  <c r="E216" i="1"/>
  <c r="E29" i="1"/>
  <c r="D287" i="1"/>
  <c r="D289" i="1"/>
  <c r="D332" i="1"/>
  <c r="D275" i="1"/>
  <c r="D271" i="1"/>
  <c r="D169" i="1"/>
  <c r="D168" i="1"/>
  <c r="D314" i="1"/>
  <c r="D170" i="1"/>
  <c r="D280" i="1"/>
  <c r="F133" i="1"/>
  <c r="D278" i="1"/>
  <c r="D286" i="1" s="1"/>
  <c r="D124" i="1"/>
  <c r="D10" i="1" s="1"/>
  <c r="D141" i="1"/>
  <c r="D152" i="1" s="1"/>
  <c r="D140" i="1"/>
  <c r="D151" i="1" s="1"/>
  <c r="D133" i="1"/>
  <c r="D144" i="1" s="1"/>
  <c r="D138" i="1"/>
  <c r="D149" i="1" s="1"/>
  <c r="D131" i="1"/>
  <c r="D137" i="1"/>
  <c r="D148" i="1" s="1"/>
  <c r="D136" i="1"/>
  <c r="D147" i="1" s="1"/>
  <c r="D135" i="1"/>
  <c r="D134" i="1"/>
  <c r="D145" i="1" s="1"/>
  <c r="D284" i="1"/>
  <c r="D285" i="1"/>
  <c r="D290" i="1" s="1"/>
  <c r="D299" i="1" s="1"/>
  <c r="D232" i="1"/>
  <c r="D233" i="1"/>
  <c r="D307" i="1" s="1"/>
  <c r="D305" i="1"/>
  <c r="D14" i="1"/>
  <c r="D87" i="1" s="1"/>
  <c r="F140" i="1"/>
  <c r="F141" i="1"/>
  <c r="F137" i="1"/>
  <c r="F139" i="1"/>
  <c r="F136" i="1"/>
  <c r="F131" i="1"/>
  <c r="F135" i="1"/>
  <c r="F132" i="1" s="1"/>
  <c r="F138" i="1"/>
  <c r="G135" i="1"/>
  <c r="G132" i="1" s="1"/>
  <c r="G134" i="1"/>
  <c r="G133" i="1"/>
  <c r="G141" i="1"/>
  <c r="G140" i="1"/>
  <c r="G139" i="1"/>
  <c r="G138" i="1"/>
  <c r="G137" i="1"/>
  <c r="G136" i="1"/>
  <c r="C343" i="1"/>
  <c r="C282" i="1"/>
  <c r="C24" i="1"/>
  <c r="C77" i="1"/>
  <c r="C78" i="1"/>
  <c r="C72" i="1"/>
  <c r="C71" i="1"/>
  <c r="C288" i="1"/>
  <c r="C268" i="1"/>
  <c r="C283" i="1"/>
  <c r="C243" i="1"/>
  <c r="C244" i="1" s="1"/>
  <c r="C248" i="1"/>
  <c r="C272" i="1"/>
  <c r="E304" i="1" l="1"/>
  <c r="E308" i="1" s="1"/>
  <c r="E310" i="1" s="1"/>
  <c r="E316" i="1"/>
  <c r="E93" i="1"/>
  <c r="E290" i="1"/>
  <c r="E299" i="1" s="1"/>
  <c r="E341" i="1" s="1"/>
  <c r="D92" i="1"/>
  <c r="D320" i="1"/>
  <c r="D322" i="1" s="1"/>
  <c r="D325" i="1" s="1"/>
  <c r="D341" i="1" s="1"/>
  <c r="C280" i="1"/>
  <c r="D304" i="1"/>
  <c r="D308" i="1" s="1"/>
  <c r="D156" i="1"/>
  <c r="D165" i="1" s="1"/>
  <c r="D155" i="1"/>
  <c r="D164" i="1" s="1"/>
  <c r="D309" i="1"/>
  <c r="D181" i="1"/>
  <c r="D180" i="1"/>
  <c r="D146" i="1"/>
  <c r="D132" i="1"/>
  <c r="D157" i="1"/>
  <c r="D166" i="1" s="1"/>
  <c r="D154" i="1"/>
  <c r="D163" i="1" s="1"/>
  <c r="D158" i="1"/>
  <c r="D167" i="1" s="1"/>
  <c r="D306" i="1"/>
  <c r="C278" i="1"/>
  <c r="C274" i="1"/>
  <c r="C273" i="1"/>
  <c r="C79" i="1" s="1"/>
  <c r="C276" i="1"/>
  <c r="C130" i="1"/>
  <c r="E342" i="1" l="1"/>
  <c r="E100" i="1" s="1"/>
  <c r="E13" i="1"/>
  <c r="E90" i="1" s="1"/>
  <c r="E98" i="1" s="1"/>
  <c r="E15" i="1"/>
  <c r="D342" i="1"/>
  <c r="D100" i="1" s="1"/>
  <c r="D13" i="1"/>
  <c r="D21" i="1" s="1"/>
  <c r="D94" i="1" s="1"/>
  <c r="D95" i="1" s="1"/>
  <c r="D15" i="1"/>
  <c r="D93" i="1"/>
  <c r="D316" i="1"/>
  <c r="D310" i="1"/>
  <c r="D317" i="1"/>
  <c r="D215" i="1"/>
  <c r="D101" i="1"/>
  <c r="D104" i="1" s="1"/>
  <c r="D103" i="1" s="1"/>
  <c r="C275" i="1"/>
  <c r="C284" i="1" s="1"/>
  <c r="C281" i="1"/>
  <c r="C287" i="1" s="1"/>
  <c r="C289" i="1"/>
  <c r="C277" i="1"/>
  <c r="C285" i="1" s="1"/>
  <c r="C279" i="1"/>
  <c r="C286" i="1" s="1"/>
  <c r="C81" i="1"/>
  <c r="E101" i="1" l="1"/>
  <c r="E104" i="1" s="1"/>
  <c r="E103" i="1" s="1"/>
  <c r="E315" i="1"/>
  <c r="E21" i="1"/>
  <c r="E300" i="1"/>
  <c r="D98" i="1"/>
  <c r="D315" i="1"/>
  <c r="D11" i="1"/>
  <c r="D300" i="1"/>
  <c r="D22" i="1"/>
  <c r="D96" i="1"/>
  <c r="D97" i="1"/>
  <c r="C290" i="1"/>
  <c r="E22" i="1" l="1"/>
  <c r="E94" i="1"/>
  <c r="E95" i="1" s="1"/>
  <c r="C67" i="1"/>
  <c r="C63" i="1"/>
  <c r="C51" i="1"/>
  <c r="C41" i="1"/>
  <c r="E96" i="1" l="1"/>
  <c r="E97" i="1"/>
  <c r="C14" i="1"/>
  <c r="C87" i="1" s="1"/>
  <c r="C92" i="1" l="1"/>
  <c r="C320" i="1"/>
  <c r="C322" i="1" s="1"/>
  <c r="AK25" i="3"/>
  <c r="AL25" i="3"/>
  <c r="AM25" i="3"/>
  <c r="AK24" i="3"/>
  <c r="AL24" i="3"/>
  <c r="AM24" i="3"/>
  <c r="AK7" i="3"/>
  <c r="AL7" i="3"/>
  <c r="AM7" i="3"/>
  <c r="AL2" i="3"/>
  <c r="AM2" i="3"/>
  <c r="AL3" i="3"/>
  <c r="AM3" i="3"/>
  <c r="AK3" i="3"/>
  <c r="AK2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8" i="3"/>
  <c r="D18" i="3"/>
  <c r="E18" i="3"/>
  <c r="F18" i="3"/>
  <c r="B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0" i="3"/>
  <c r="C316" i="1" l="1"/>
  <c r="C323" i="1"/>
  <c r="C330" i="1"/>
  <c r="C325" i="1" l="1"/>
  <c r="G5" i="3" l="1"/>
  <c r="H5" i="3"/>
  <c r="Q5" i="3"/>
  <c r="T5" i="3"/>
  <c r="U5" i="3"/>
  <c r="Y5" i="3"/>
  <c r="AB5" i="3"/>
  <c r="AC5" i="3"/>
  <c r="AG5" i="3"/>
  <c r="AL5" i="3"/>
  <c r="AO5" i="3"/>
  <c r="AQ5" i="3"/>
  <c r="C29" i="1"/>
  <c r="C82" i="1"/>
  <c r="B8" i="3"/>
  <c r="D8" i="3"/>
  <c r="F8" i="3"/>
  <c r="H8" i="3"/>
  <c r="I8" i="3"/>
  <c r="N8" i="3"/>
  <c r="T8" i="3"/>
  <c r="U8" i="3"/>
  <c r="V8" i="3"/>
  <c r="X8" i="3"/>
  <c r="Y8" i="3"/>
  <c r="C109" i="1"/>
  <c r="C124" i="1" s="1"/>
  <c r="AC8" i="3"/>
  <c r="AH8" i="3"/>
  <c r="AI8" i="3"/>
  <c r="AJ8" i="3"/>
  <c r="AK8" i="3"/>
  <c r="AM8" i="3"/>
  <c r="AN8" i="3"/>
  <c r="AO8" i="3"/>
  <c r="AQ19" i="3"/>
  <c r="C127" i="1"/>
  <c r="C128" i="1" s="1"/>
  <c r="C129" i="1"/>
  <c r="C186" i="1"/>
  <c r="B21" i="3"/>
  <c r="C21" i="3"/>
  <c r="E21" i="3"/>
  <c r="F21" i="3"/>
  <c r="G21" i="3"/>
  <c r="H21" i="3"/>
  <c r="I21" i="3"/>
  <c r="J21" i="3"/>
  <c r="K21" i="3"/>
  <c r="N21" i="3"/>
  <c r="O21" i="3"/>
  <c r="P21" i="3"/>
  <c r="Q21" i="3"/>
  <c r="R21" i="3"/>
  <c r="S21" i="3"/>
  <c r="T21" i="3"/>
  <c r="U21" i="3"/>
  <c r="V21" i="3"/>
  <c r="W21" i="3"/>
  <c r="Y21" i="3"/>
  <c r="C213" i="1"/>
  <c r="Z21" i="3" s="1"/>
  <c r="AA21" i="3"/>
  <c r="AB21" i="3"/>
  <c r="AC21" i="3"/>
  <c r="AD21" i="3"/>
  <c r="AE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P19" i="3"/>
  <c r="C227" i="1"/>
  <c r="C230" i="1" s="1"/>
  <c r="C247" i="1"/>
  <c r="C311" i="1" s="1"/>
  <c r="C271" i="1"/>
  <c r="C298" i="1"/>
  <c r="C333" i="1"/>
  <c r="C335" i="1"/>
  <c r="C337" i="1"/>
  <c r="C340" i="1"/>
  <c r="B2" i="3"/>
  <c r="B1" i="4" s="1"/>
  <c r="C2" i="3"/>
  <c r="C1" i="4" s="1"/>
  <c r="D2" i="3"/>
  <c r="D1" i="4" s="1"/>
  <c r="E2" i="3"/>
  <c r="E1" i="4" s="1"/>
  <c r="F2" i="3"/>
  <c r="F1" i="4" s="1"/>
  <c r="G2" i="3"/>
  <c r="G1" i="4" s="1"/>
  <c r="H2" i="3"/>
  <c r="H1" i="4" s="1"/>
  <c r="I2" i="3"/>
  <c r="I1" i="4" s="1"/>
  <c r="J2" i="3"/>
  <c r="J1" i="4" s="1"/>
  <c r="K2" i="3"/>
  <c r="K1" i="4" s="1"/>
  <c r="L2" i="3"/>
  <c r="L1" i="4" s="1"/>
  <c r="M2" i="3"/>
  <c r="M1" i="4" s="1"/>
  <c r="N2" i="3"/>
  <c r="N1" i="4" s="1"/>
  <c r="O2" i="3"/>
  <c r="O1" i="4" s="1"/>
  <c r="P2" i="3"/>
  <c r="P1" i="4" s="1"/>
  <c r="Q2" i="3"/>
  <c r="Q1" i="4" s="1"/>
  <c r="R2" i="3"/>
  <c r="R1" i="4" s="1"/>
  <c r="S2" i="3"/>
  <c r="S1" i="4" s="1"/>
  <c r="T2" i="3"/>
  <c r="T1" i="4" s="1"/>
  <c r="U2" i="3"/>
  <c r="U1" i="4" s="1"/>
  <c r="V2" i="3"/>
  <c r="V1" i="4" s="1"/>
  <c r="W2" i="3"/>
  <c r="W1" i="4" s="1"/>
  <c r="X2" i="3"/>
  <c r="X1" i="4" s="1"/>
  <c r="Y2" i="3"/>
  <c r="Y1" i="4" s="1"/>
  <c r="Z2" i="3"/>
  <c r="Z1" i="4" s="1"/>
  <c r="AA2" i="3"/>
  <c r="AA1" i="4" s="1"/>
  <c r="AB2" i="3"/>
  <c r="AB1" i="4" s="1"/>
  <c r="AC2" i="3"/>
  <c r="AC1" i="4" s="1"/>
  <c r="AD2" i="3"/>
  <c r="AD1" i="4" s="1"/>
  <c r="AE2" i="3"/>
  <c r="AF2" i="3"/>
  <c r="AG2" i="3"/>
  <c r="AH2" i="3"/>
  <c r="AI2" i="3"/>
  <c r="AJ2" i="3"/>
  <c r="AN2" i="3"/>
  <c r="AO2" i="3"/>
  <c r="AP2" i="3"/>
  <c r="AQ2" i="3"/>
  <c r="AR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N3" i="3"/>
  <c r="AO3" i="3"/>
  <c r="AP3" i="3"/>
  <c r="AQ3" i="3"/>
  <c r="AR3" i="3"/>
  <c r="D5" i="3"/>
  <c r="E5" i="3"/>
  <c r="I5" i="3"/>
  <c r="L5" i="3"/>
  <c r="M5" i="3"/>
  <c r="P5" i="3"/>
  <c r="R5" i="3"/>
  <c r="V5" i="3"/>
  <c r="AD5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N7" i="3"/>
  <c r="AO7" i="3"/>
  <c r="AP7" i="3"/>
  <c r="AQ7" i="3"/>
  <c r="AR7" i="3"/>
  <c r="C8" i="3"/>
  <c r="G8" i="3"/>
  <c r="K8" i="3"/>
  <c r="L8" i="3"/>
  <c r="O8" i="3"/>
  <c r="P8" i="3"/>
  <c r="S8" i="3"/>
  <c r="W8" i="3"/>
  <c r="AB8" i="3"/>
  <c r="AD8" i="3"/>
  <c r="AE8" i="3"/>
  <c r="AF8" i="3"/>
  <c r="AP8" i="3"/>
  <c r="AQ8" i="3"/>
  <c r="D21" i="3"/>
  <c r="L21" i="3"/>
  <c r="M21" i="3"/>
  <c r="X21" i="3"/>
  <c r="AF21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N24" i="3"/>
  <c r="AO24" i="3"/>
  <c r="AP24" i="3"/>
  <c r="AQ24" i="3"/>
  <c r="A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N25" i="3"/>
  <c r="AO25" i="3"/>
  <c r="AP25" i="3"/>
  <c r="AQ25" i="3"/>
  <c r="AR25" i="3"/>
  <c r="B6" i="4"/>
  <c r="W6" i="4"/>
  <c r="X6" i="4"/>
  <c r="B14" i="4"/>
  <c r="W14" i="4"/>
  <c r="X14" i="4"/>
  <c r="B22" i="4"/>
  <c r="W22" i="4"/>
  <c r="X22" i="4"/>
  <c r="C232" i="1" l="1"/>
  <c r="C233" i="1"/>
  <c r="C307" i="1" s="1"/>
  <c r="C331" i="1"/>
  <c r="C332" i="1"/>
  <c r="C312" i="1"/>
  <c r="Z8" i="3"/>
  <c r="C216" i="1"/>
  <c r="AA8" i="3"/>
  <c r="AH5" i="3"/>
  <c r="AK5" i="3"/>
  <c r="AL8" i="3"/>
  <c r="AM5" i="3"/>
  <c r="E19" i="3"/>
  <c r="C131" i="1"/>
  <c r="J8" i="3"/>
  <c r="AR5" i="3"/>
  <c r="R8" i="3"/>
  <c r="C19" i="3"/>
  <c r="C174" i="1"/>
  <c r="C168" i="1"/>
  <c r="C169" i="1"/>
  <c r="C170" i="1"/>
  <c r="AF5" i="3"/>
  <c r="K5" i="3"/>
  <c r="AN5" i="3"/>
  <c r="AE19" i="3"/>
  <c r="AG8" i="3"/>
  <c r="Q8" i="3"/>
  <c r="E8" i="3"/>
  <c r="M8" i="3"/>
  <c r="AJ5" i="3"/>
  <c r="O5" i="3"/>
  <c r="AR8" i="3"/>
  <c r="X5" i="3"/>
  <c r="C5" i="3"/>
  <c r="Y19" i="3"/>
  <c r="C176" i="1"/>
  <c r="C136" i="1"/>
  <c r="C172" i="1"/>
  <c r="C135" i="1"/>
  <c r="C132" i="1" s="1"/>
  <c r="AG19" i="3"/>
  <c r="AM19" i="3"/>
  <c r="AC19" i="3"/>
  <c r="M19" i="3"/>
  <c r="I19" i="3"/>
  <c r="AO19" i="3"/>
  <c r="AK19" i="3"/>
  <c r="U19" i="3"/>
  <c r="AL19" i="3"/>
  <c r="AH19" i="3"/>
  <c r="N19" i="3"/>
  <c r="AD18" i="3"/>
  <c r="AP5" i="3"/>
  <c r="AI5" i="3"/>
  <c r="AE5" i="3"/>
  <c r="W5" i="3"/>
  <c r="S5" i="3"/>
  <c r="AD19" i="3"/>
  <c r="N5" i="3"/>
  <c r="J5" i="3"/>
  <c r="F5" i="3"/>
  <c r="B5" i="3"/>
  <c r="Q19" i="3"/>
  <c r="C133" i="1"/>
  <c r="C137" i="1"/>
  <c r="C148" i="1" s="1"/>
  <c r="C140" i="1"/>
  <c r="C151" i="1" s="1"/>
  <c r="C134" i="1"/>
  <c r="C145" i="1" s="1"/>
  <c r="C139" i="1"/>
  <c r="C150" i="1" s="1"/>
  <c r="C173" i="1"/>
  <c r="C175" i="1"/>
  <c r="C138" i="1"/>
  <c r="C149" i="1" s="1"/>
  <c r="C141" i="1"/>
  <c r="C152" i="1" s="1"/>
  <c r="AA19" i="3"/>
  <c r="W19" i="3"/>
  <c r="K19" i="3"/>
  <c r="G19" i="3"/>
  <c r="V19" i="3"/>
  <c r="R19" i="3"/>
  <c r="F19" i="3"/>
  <c r="B19" i="3"/>
  <c r="S19" i="3"/>
  <c r="J19" i="3"/>
  <c r="C299" i="1"/>
  <c r="AI19" i="3"/>
  <c r="O19" i="3"/>
  <c r="AG18" i="3"/>
  <c r="AN19" i="3"/>
  <c r="AJ19" i="3"/>
  <c r="AF19" i="3"/>
  <c r="AB19" i="3"/>
  <c r="X19" i="3"/>
  <c r="T19" i="3"/>
  <c r="P19" i="3"/>
  <c r="L19" i="3"/>
  <c r="H19" i="3"/>
  <c r="D19" i="3"/>
  <c r="C305" i="1"/>
  <c r="Z19" i="3" l="1"/>
  <c r="C221" i="1"/>
  <c r="C8" i="1" s="1"/>
  <c r="C10" i="1" s="1"/>
  <c r="C309" i="1"/>
  <c r="C146" i="1"/>
  <c r="C147" i="1"/>
  <c r="AK4" i="3"/>
  <c r="AK17" i="3" s="1"/>
  <c r="AR19" i="3"/>
  <c r="AL4" i="3"/>
  <c r="AL17" i="3" s="1"/>
  <c r="AQ18" i="3"/>
  <c r="AF18" i="3"/>
  <c r="C304" i="1"/>
  <c r="C308" i="1" s="1"/>
  <c r="AR18" i="3"/>
  <c r="C144" i="1"/>
  <c r="C154" i="1"/>
  <c r="C163" i="1" s="1"/>
  <c r="C157" i="1"/>
  <c r="C166" i="1" s="1"/>
  <c r="C156" i="1"/>
  <c r="C165" i="1" s="1"/>
  <c r="C155" i="1"/>
  <c r="C164" i="1" s="1"/>
  <c r="C158" i="1"/>
  <c r="C167" i="1" s="1"/>
  <c r="C341" i="1"/>
  <c r="C15" i="1" s="1"/>
  <c r="AJ18" i="3"/>
  <c r="C306" i="1"/>
  <c r="AC20" i="3"/>
  <c r="J22" i="3"/>
  <c r="J23" i="3" s="1"/>
  <c r="C180" i="1"/>
  <c r="C181" i="1"/>
  <c r="AI18" i="3"/>
  <c r="AE18" i="3"/>
  <c r="AB18" i="3"/>
  <c r="AH18" i="3"/>
  <c r="AC18" i="3"/>
  <c r="K22" i="3"/>
  <c r="K23" i="3" s="1"/>
  <c r="K4" i="3"/>
  <c r="K17" i="3" s="1"/>
  <c r="F22" i="3"/>
  <c r="F23" i="3" s="1"/>
  <c r="F4" i="3"/>
  <c r="F17" i="3" s="1"/>
  <c r="V4" i="3"/>
  <c r="V17" i="3" s="1"/>
  <c r="AL22" i="3"/>
  <c r="AL23" i="3" s="1"/>
  <c r="AN22" i="3"/>
  <c r="AN23" i="3" s="1"/>
  <c r="AN4" i="3"/>
  <c r="AN17" i="3" s="1"/>
  <c r="I22" i="3"/>
  <c r="I23" i="3" s="1"/>
  <c r="I4" i="3"/>
  <c r="I17" i="3" s="1"/>
  <c r="Y22" i="3"/>
  <c r="Y23" i="3" s="1"/>
  <c r="Y4" i="3"/>
  <c r="Y17" i="3" s="1"/>
  <c r="C215" i="1" l="1"/>
  <c r="Z18" i="3" s="1"/>
  <c r="C317" i="1"/>
  <c r="AA18" i="3"/>
  <c r="C310" i="1"/>
  <c r="AK22" i="3"/>
  <c r="AK23" i="3" s="1"/>
  <c r="AN20" i="3"/>
  <c r="AQ20" i="3"/>
  <c r="AG4" i="3"/>
  <c r="AG17" i="3" s="1"/>
  <c r="AM18" i="3"/>
  <c r="AP18" i="3"/>
  <c r="AM4" i="3"/>
  <c r="AM17" i="3" s="1"/>
  <c r="AO18" i="3"/>
  <c r="AL18" i="3"/>
  <c r="AN18" i="3"/>
  <c r="AK18" i="3"/>
  <c r="AP22" i="3"/>
  <c r="AP23" i="3" s="1"/>
  <c r="AC22" i="3"/>
  <c r="AC23" i="3" s="1"/>
  <c r="D22" i="3"/>
  <c r="D23" i="3" s="1"/>
  <c r="E22" i="3"/>
  <c r="E23" i="3" s="1"/>
  <c r="G4" i="3"/>
  <c r="G17" i="3" s="1"/>
  <c r="V22" i="3"/>
  <c r="V23" i="3" s="1"/>
  <c r="D4" i="3"/>
  <c r="D17" i="3" s="1"/>
  <c r="N22" i="3"/>
  <c r="N23" i="3" s="1"/>
  <c r="AI22" i="3"/>
  <c r="AI23" i="3" s="1"/>
  <c r="L4" i="3"/>
  <c r="L17" i="3" s="1"/>
  <c r="L22" i="3"/>
  <c r="L23" i="3" s="1"/>
  <c r="U4" i="3"/>
  <c r="U17" i="3" s="1"/>
  <c r="AC4" i="3"/>
  <c r="AC17" i="3" s="1"/>
  <c r="AE22" i="3"/>
  <c r="AE23" i="3" s="1"/>
  <c r="AP4" i="3"/>
  <c r="AP17" i="3" s="1"/>
  <c r="E4" i="3"/>
  <c r="E17" i="3" s="1"/>
  <c r="AE4" i="3"/>
  <c r="AE17" i="3" s="1"/>
  <c r="AI20" i="3"/>
  <c r="AQ4" i="3"/>
  <c r="AQ17" i="3" s="1"/>
  <c r="AG20" i="3"/>
  <c r="C13" i="1"/>
  <c r="C342" i="1"/>
  <c r="C100" i="1" s="1"/>
  <c r="AF4" i="3"/>
  <c r="AF17" i="3" s="1"/>
  <c r="T4" i="3"/>
  <c r="T17" i="3" s="1"/>
  <c r="R4" i="3"/>
  <c r="R17" i="3" s="1"/>
  <c r="R22" i="3"/>
  <c r="R23" i="3" s="1"/>
  <c r="P22" i="3"/>
  <c r="P23" i="3" s="1"/>
  <c r="P4" i="3"/>
  <c r="P17" i="3" s="1"/>
  <c r="O22" i="3"/>
  <c r="O23" i="3" s="1"/>
  <c r="M22" i="3"/>
  <c r="M23" i="3" s="1"/>
  <c r="M4" i="3"/>
  <c r="M17" i="3" s="1"/>
  <c r="AG22" i="3"/>
  <c r="AG23" i="3" s="1"/>
  <c r="Q4" i="3"/>
  <c r="Q17" i="3" s="1"/>
  <c r="G22" i="3"/>
  <c r="G23" i="3" s="1"/>
  <c r="N4" i="3"/>
  <c r="N17" i="3" s="1"/>
  <c r="AI4" i="3"/>
  <c r="AI17" i="3" s="1"/>
  <c r="O4" i="3"/>
  <c r="O17" i="3" s="1"/>
  <c r="AF22" i="3"/>
  <c r="AF23" i="3" s="1"/>
  <c r="X22" i="3"/>
  <c r="X23" i="3" s="1"/>
  <c r="X19" i="4" s="1"/>
  <c r="U22" i="3"/>
  <c r="U23" i="3" s="1"/>
  <c r="X4" i="3"/>
  <c r="X17" i="3" s="1"/>
  <c r="S22" i="3"/>
  <c r="S23" i="3" s="1"/>
  <c r="W22" i="3"/>
  <c r="W23" i="3" s="1"/>
  <c r="W19" i="4" s="1"/>
  <c r="J4" i="3"/>
  <c r="J17" i="3" s="1"/>
  <c r="W4" i="3"/>
  <c r="W17" i="3" s="1"/>
  <c r="S4" i="3"/>
  <c r="S17" i="3" s="1"/>
  <c r="AE20" i="3"/>
  <c r="X20" i="4"/>
  <c r="W4" i="4"/>
  <c r="AR20" i="3"/>
  <c r="AF20" i="3"/>
  <c r="Q22" i="3"/>
  <c r="Q23" i="3" s="1"/>
  <c r="H22" i="3"/>
  <c r="H23" i="3" s="1"/>
  <c r="H4" i="3"/>
  <c r="H17" i="3" s="1"/>
  <c r="AO4" i="3"/>
  <c r="AO17" i="3" s="1"/>
  <c r="AR4" i="3"/>
  <c r="AR17" i="3" s="1"/>
  <c r="AM22" i="3"/>
  <c r="AM23" i="3" s="1"/>
  <c r="C101" i="1" l="1"/>
  <c r="C104" i="1" s="1"/>
  <c r="C103" i="1" s="1"/>
  <c r="C21" i="1"/>
  <c r="C22" i="1" s="1"/>
  <c r="AK20" i="3"/>
  <c r="AQ22" i="3"/>
  <c r="AQ23" i="3" s="1"/>
  <c r="AL20" i="3"/>
  <c r="AO20" i="3"/>
  <c r="AM20" i="3"/>
  <c r="AP20" i="3"/>
  <c r="C22" i="3"/>
  <c r="C23" i="3" s="1"/>
  <c r="C4" i="3"/>
  <c r="C17" i="3"/>
  <c r="T22" i="3"/>
  <c r="T23" i="3" s="1"/>
  <c r="AD20" i="3"/>
  <c r="AD4" i="3"/>
  <c r="AD17" i="3" s="1"/>
  <c r="AD22" i="3"/>
  <c r="AD23" i="3" s="1"/>
  <c r="AB20" i="3"/>
  <c r="AB22" i="3"/>
  <c r="AB23" i="3" s="1"/>
  <c r="AB4" i="3"/>
  <c r="AB17" i="3" s="1"/>
  <c r="C315" i="1"/>
  <c r="Z20" i="3" s="1"/>
  <c r="Z22" i="3"/>
  <c r="Z23" i="3" s="1"/>
  <c r="C300" i="1"/>
  <c r="Z4" i="3"/>
  <c r="C11" i="1"/>
  <c r="B17" i="3"/>
  <c r="B22" i="3"/>
  <c r="B23" i="3" s="1"/>
  <c r="B3" i="4" s="1"/>
  <c r="B4" i="3"/>
  <c r="AH4" i="3"/>
  <c r="AH17" i="3" s="1"/>
  <c r="AH22" i="3"/>
  <c r="AH23" i="3" s="1"/>
  <c r="AJ20" i="3"/>
  <c r="AJ22" i="3"/>
  <c r="AJ23" i="3" s="1"/>
  <c r="AJ4" i="3"/>
  <c r="AJ17" i="3" s="1"/>
  <c r="AH20" i="3"/>
  <c r="X3" i="4"/>
  <c r="X11" i="4"/>
  <c r="X12" i="4"/>
  <c r="X13" i="4"/>
  <c r="X21" i="4"/>
  <c r="X23" i="4" s="1"/>
  <c r="X24" i="4" s="1"/>
  <c r="X25" i="4" s="1"/>
  <c r="X4" i="4"/>
  <c r="W11" i="4"/>
  <c r="W5" i="4"/>
  <c r="W7" i="4" s="1"/>
  <c r="W3" i="4"/>
  <c r="W13" i="4"/>
  <c r="W20" i="4"/>
  <c r="X5" i="4"/>
  <c r="W12" i="4"/>
  <c r="W21" i="4"/>
  <c r="AR22" i="3"/>
  <c r="AR23" i="3" s="1"/>
  <c r="AO22" i="3"/>
  <c r="AO23" i="3" s="1"/>
  <c r="Z5" i="3" l="1"/>
  <c r="Z17" i="3" s="1"/>
  <c r="B19" i="4"/>
  <c r="X15" i="4"/>
  <c r="X16" i="4" s="1"/>
  <c r="X17" i="4" s="1"/>
  <c r="B11" i="4"/>
  <c r="B21" i="4"/>
  <c r="B4" i="4"/>
  <c r="B20" i="4"/>
  <c r="B13" i="4"/>
  <c r="B5" i="4"/>
  <c r="B12" i="4"/>
  <c r="C94" i="1"/>
  <c r="C93" i="1"/>
  <c r="W23" i="4"/>
  <c r="W24" i="4" s="1"/>
  <c r="W25" i="4" s="1"/>
  <c r="X7" i="4"/>
  <c r="X8" i="4" s="1"/>
  <c r="X9" i="4" s="1"/>
  <c r="W8" i="4"/>
  <c r="W9" i="4" s="1"/>
  <c r="W15" i="4"/>
  <c r="W16" i="4" s="1"/>
  <c r="W17" i="4" s="1"/>
  <c r="C95" i="1" l="1"/>
  <c r="C96" i="1" s="1"/>
  <c r="B15" i="4"/>
  <c r="B16" i="4" s="1"/>
  <c r="B17" i="4" s="1"/>
  <c r="B7" i="4"/>
  <c r="B8" i="4" s="1"/>
  <c r="B9" i="4" s="1"/>
  <c r="B23" i="4"/>
  <c r="B24" i="4" s="1"/>
  <c r="B25" i="4" s="1"/>
  <c r="C97" i="1" l="1"/>
  <c r="AA22" i="3" l="1"/>
  <c r="AA23" i="3" s="1"/>
  <c r="AA4" i="3"/>
  <c r="AA20" i="3"/>
  <c r="AA5" i="3" l="1"/>
  <c r="AA17" i="3" s="1"/>
</calcChain>
</file>

<file path=xl/sharedStrings.xml><?xml version="1.0" encoding="utf-8"?>
<sst xmlns="http://schemas.openxmlformats.org/spreadsheetml/2006/main" count="558" uniqueCount="497">
  <si>
    <t>名称</t>
  </si>
  <si>
    <t>类型</t>
  </si>
  <si>
    <t>战列舰</t>
  </si>
  <si>
    <t>舷号</t>
  </si>
  <si>
    <t>BB1</t>
  </si>
  <si>
    <t>BB11</t>
  </si>
  <si>
    <t>BB27</t>
  </si>
  <si>
    <t>ZL02</t>
  </si>
  <si>
    <t>所属级别</t>
  </si>
  <si>
    <t>所属国家</t>
  </si>
  <si>
    <t>ADLY</t>
  </si>
  <si>
    <t>开工日期</t>
  </si>
  <si>
    <t>服役日期</t>
  </si>
  <si>
    <t>工时（万）</t>
  </si>
  <si>
    <t>每工时价值</t>
  </si>
  <si>
    <t>造价（万美元）</t>
  </si>
  <si>
    <t>每吨造价（美元）</t>
  </si>
  <si>
    <t>设计排水量（吨）</t>
  </si>
  <si>
    <t>标准排水量（吨）</t>
  </si>
  <si>
    <t>满载排水量（吨）</t>
  </si>
  <si>
    <t>轻载排水量（吨）</t>
  </si>
  <si>
    <t>全长（米）</t>
  </si>
  <si>
    <t>水线长（米）</t>
  </si>
  <si>
    <t>宽（米）</t>
  </si>
  <si>
    <t>水线宽（米）</t>
  </si>
  <si>
    <t>型深（米）</t>
  </si>
  <si>
    <t>标准吃水（米）</t>
  </si>
  <si>
    <t>标准干舷高（米）</t>
  </si>
  <si>
    <t>满载吃水（米）</t>
  </si>
  <si>
    <t>全高（米）</t>
  </si>
  <si>
    <t>船只结构高（米）</t>
  </si>
  <si>
    <t>船型</t>
  </si>
  <si>
    <t>长艏楼</t>
  </si>
  <si>
    <t>水线长宽比</t>
  </si>
  <si>
    <t>主机型号</t>
  </si>
  <si>
    <t>DLT-ST800</t>
  </si>
  <si>
    <t>主机功率（轴马力）</t>
  </si>
  <si>
    <t>主机数量</t>
  </si>
  <si>
    <t>单台主机重量（吨）</t>
  </si>
  <si>
    <t>总功率（轴马力）</t>
  </si>
  <si>
    <t>最大航速（节）</t>
  </si>
  <si>
    <t>储油量（吨）</t>
  </si>
  <si>
    <t>续航速度输出功率（轴马力）</t>
  </si>
  <si>
    <t>主机效率</t>
  </si>
  <si>
    <t>续航力（海里/16节）</t>
  </si>
  <si>
    <t>主炮台数量</t>
  </si>
  <si>
    <t>主炮型号</t>
  </si>
  <si>
    <t>BMG6</t>
  </si>
  <si>
    <t>主炮联装数</t>
  </si>
  <si>
    <t>主炮管数</t>
  </si>
  <si>
    <t>主炮口径（毫米）</t>
  </si>
  <si>
    <t>主炮身管比</t>
  </si>
  <si>
    <t>主炮俯仰角</t>
  </si>
  <si>
    <t>-5～30</t>
  </si>
  <si>
    <t>主炮最优仰角（角度）</t>
  </si>
  <si>
    <t>主炮射速（发/分种）</t>
  </si>
  <si>
    <t>单门主炮备弹量</t>
  </si>
  <si>
    <t>穿甲弹型号</t>
  </si>
  <si>
    <t>MAP2</t>
  </si>
  <si>
    <t>穿甲弹质量（千克）</t>
  </si>
  <si>
    <t>推进药重量（千克）</t>
  </si>
  <si>
    <t>穿甲弹初速（米/秒）</t>
  </si>
  <si>
    <t>穿甲弹长度（毫米）</t>
  </si>
  <si>
    <t>穿甲弹体积（立方分米）</t>
  </si>
  <si>
    <t>穿甲弹平均密度</t>
  </si>
  <si>
    <t>穿甲弹重量比</t>
  </si>
  <si>
    <t>穿甲弹空气阻力值</t>
  </si>
  <si>
    <t>炮口动能（千焦）</t>
  </si>
  <si>
    <t>穿甲弹射程（米）</t>
  </si>
  <si>
    <t>口径指数</t>
  </si>
  <si>
    <t>穿甲弹效能</t>
  </si>
  <si>
    <t>穿甲弹垂直穿深（炮口）（毫米）</t>
  </si>
  <si>
    <t>穿甲弹垂直穿深（5000米）（毫米）</t>
  </si>
  <si>
    <t>穿甲弹垂直穿深（10000米）（毫米）</t>
  </si>
  <si>
    <t>穿甲弹垂直穿深（15000米）（毫米）</t>
  </si>
  <si>
    <t>穿甲弹垂直穿深（20000米）（毫米）</t>
  </si>
  <si>
    <t>穿甲弹垂直穿深（25000米）（毫米）</t>
  </si>
  <si>
    <t>穿甲弹垂直穿深（30000米）（毫米）</t>
  </si>
  <si>
    <t>穿甲弹垂直穿深（35000米）（毫米）</t>
  </si>
  <si>
    <t>/</t>
  </si>
  <si>
    <t>穿甲弹垂直穿深（40000米）（毫米）</t>
  </si>
  <si>
    <t>穿甲弹水平穿深（炮口）（毫米）</t>
  </si>
  <si>
    <t>穿甲弹水平穿深（5000米）（毫米）</t>
  </si>
  <si>
    <t>穿甲弹水平穿深（10000米）（毫米）</t>
  </si>
  <si>
    <t>穿甲弹水平穿深（15000米）（毫米）</t>
  </si>
  <si>
    <t>穿甲弹水平穿深（20000米）（毫米）</t>
  </si>
  <si>
    <t>穿甲弹水平穿深（25000米）（毫米）</t>
  </si>
  <si>
    <t>穿甲弹水平穿深（30000米）（毫米）</t>
  </si>
  <si>
    <t>穿甲弹水平穿深（35000米）（毫米）</t>
  </si>
  <si>
    <t>穿甲弹水平穿深（40000米）（毫米）</t>
  </si>
  <si>
    <t>主炮效能评分</t>
  </si>
  <si>
    <t>主炮威力评分</t>
  </si>
  <si>
    <t>主炮对空能力</t>
  </si>
  <si>
    <t>弹丸重（千克）</t>
  </si>
  <si>
    <t>副炮型号</t>
  </si>
  <si>
    <t>BSG6</t>
  </si>
  <si>
    <t>副炮台数量</t>
  </si>
  <si>
    <t>副炮联装数</t>
  </si>
  <si>
    <t>副炮管数</t>
  </si>
  <si>
    <t>副炮口径（毫米）</t>
  </si>
  <si>
    <t>副炮身管比</t>
  </si>
  <si>
    <t>副炮射速（发/分钟）</t>
  </si>
  <si>
    <t>单门副炮备弹量</t>
  </si>
  <si>
    <t>副炮对空能力</t>
  </si>
  <si>
    <t>防空炮1型号</t>
  </si>
  <si>
    <t>防空炮1管数</t>
  </si>
  <si>
    <t>防空炮1口径（毫米）</t>
  </si>
  <si>
    <t>防空炮1射速（发/分钟）</t>
  </si>
  <si>
    <t>弹丸1重（克）</t>
  </si>
  <si>
    <t>单门防空炮1备弹量</t>
  </si>
  <si>
    <t>防空炮2型号</t>
  </si>
  <si>
    <t>防空炮2管数</t>
  </si>
  <si>
    <t>防空炮2口径（毫米）</t>
  </si>
  <si>
    <t>防空炮2射速（发/分钟）</t>
  </si>
  <si>
    <t>弹丸2重（克）</t>
  </si>
  <si>
    <t>单门防空炮2备弹量</t>
  </si>
  <si>
    <t>鱼雷发射管型号</t>
  </si>
  <si>
    <t>鱼雷发射管数量</t>
  </si>
  <si>
    <t>鱼雷发射管口径（毫米）</t>
  </si>
  <si>
    <t>鱼雷型号</t>
  </si>
  <si>
    <t>鱼雷全重（千克）</t>
  </si>
  <si>
    <t>装药重（千克）</t>
  </si>
  <si>
    <t>炸药种类</t>
  </si>
  <si>
    <t>炸药效率</t>
  </si>
  <si>
    <t>当量（千克TNT）</t>
  </si>
  <si>
    <t>备雷</t>
  </si>
  <si>
    <t>主火力强度</t>
  </si>
  <si>
    <t>舷侧理论最大对海投弹量（千克/分钟）</t>
  </si>
  <si>
    <t>倾斜角度（度）</t>
  </si>
  <si>
    <t>钢质</t>
  </si>
  <si>
    <t>WC</t>
  </si>
  <si>
    <t>WC2</t>
  </si>
  <si>
    <t>WC4</t>
  </si>
  <si>
    <t>WH2</t>
  </si>
  <si>
    <t>VH-SL</t>
  </si>
  <si>
    <t>钢材性能</t>
  </si>
  <si>
    <t>等效厚度（毫米）</t>
  </si>
  <si>
    <t>外板厚度（毫米）</t>
  </si>
  <si>
    <t>内板厚度（毫米）</t>
  </si>
  <si>
    <t>垂直装甲实际等效厚度（毫米）</t>
  </si>
  <si>
    <t>司令塔装甲厚度（毫米）</t>
  </si>
  <si>
    <t>弹药库垂直装甲等效厚度（毫米）</t>
  </si>
  <si>
    <t>主机组垂直装甲等效厚度（毫米）</t>
  </si>
  <si>
    <t>表层水平装甲厚度（毫米）</t>
  </si>
  <si>
    <t>下层防御板厚度（毫米）</t>
  </si>
  <si>
    <t>WH</t>
  </si>
  <si>
    <t>水平装甲实际等效厚度（毫米）</t>
  </si>
  <si>
    <t>核心部分水平装甲实际等效厚度（毫米）</t>
  </si>
  <si>
    <t>舷侧上部装甲厚度（毫米）</t>
  </si>
  <si>
    <t>WW</t>
  </si>
  <si>
    <t>WW2</t>
  </si>
  <si>
    <t>船底层数</t>
  </si>
  <si>
    <t>防鱼雷隔舱等效</t>
  </si>
  <si>
    <t>主装甲带长度（米）</t>
  </si>
  <si>
    <t>主装甲带宽度（米）</t>
  </si>
  <si>
    <t>上部装甲宽度（米）</t>
  </si>
  <si>
    <t>下部装甲宽度（米）</t>
  </si>
  <si>
    <t>主装甲带与水线长度比</t>
  </si>
  <si>
    <t>主装甲总重（吨）（不含炮塔）</t>
  </si>
  <si>
    <t>主炮台长（米）</t>
  </si>
  <si>
    <t>主炮台宽（米）</t>
  </si>
  <si>
    <t>主炮台高（米）</t>
  </si>
  <si>
    <t>炮台正面装甲（毫米）</t>
  </si>
  <si>
    <t>炮台侧面装甲（毫米）</t>
  </si>
  <si>
    <t>炮台后部装甲（毫米）</t>
  </si>
  <si>
    <t>炮台顶部装甲（毫米）</t>
  </si>
  <si>
    <t>炮台装甲总重（吨）</t>
  </si>
  <si>
    <t>装甲总重（吨）</t>
  </si>
  <si>
    <t>装甲重量比</t>
  </si>
  <si>
    <t>核心部分垂直防护评分</t>
  </si>
  <si>
    <t>水平防护水平（3000米投下炸弹重量）（千克）</t>
  </si>
  <si>
    <t>核心水平防护水平（3000米投下炸弹重量）（千克）</t>
  </si>
  <si>
    <t>水下防护水平（千克TNT）</t>
  </si>
  <si>
    <t>防护评分</t>
  </si>
  <si>
    <t>生存能力评分</t>
  </si>
  <si>
    <t>结构密集度</t>
  </si>
  <si>
    <t>武器系统重量（吨）</t>
  </si>
  <si>
    <t>弹药总重（吨）</t>
  </si>
  <si>
    <t>动力系统重量（吨）</t>
  </si>
  <si>
    <t>防御板重量（吨）</t>
  </si>
  <si>
    <t>舾装及其他设备重量（吨）</t>
  </si>
  <si>
    <t>人员数量</t>
  </si>
  <si>
    <t>人员及给养重量（吨）</t>
  </si>
  <si>
    <t>滑油及备用锅炉水重量（吨）</t>
  </si>
  <si>
    <t>舰载机架数</t>
  </si>
  <si>
    <t>舰载机及系统重量（吨）</t>
  </si>
  <si>
    <t>空船总重量（吨）</t>
  </si>
  <si>
    <t>剩余重量（吨）</t>
  </si>
  <si>
    <t>主装甲堡容积（立方米）</t>
  </si>
  <si>
    <t>对海雷达数量</t>
  </si>
  <si>
    <t>对海雷达效率</t>
  </si>
  <si>
    <t>对空雷达数量</t>
  </si>
  <si>
    <t>对空雷达效率</t>
  </si>
  <si>
    <t>火控雷达数量</t>
  </si>
  <si>
    <t>火控雷达效率</t>
  </si>
  <si>
    <t>光学瞄准镜数量</t>
  </si>
  <si>
    <t>光学瞄准镜基线长（米）</t>
  </si>
  <si>
    <t>注释</t>
  </si>
  <si>
    <t>*1</t>
  </si>
  <si>
    <t>吴式表面渗碳硬化钢</t>
  </si>
  <si>
    <t>*2</t>
  </si>
  <si>
    <t>吴式表面渗碳硬化钢二型</t>
  </si>
  <si>
    <t>*3</t>
  </si>
  <si>
    <t>吴式硬化钢</t>
  </si>
  <si>
    <t>*4</t>
  </si>
  <si>
    <t>吴式表面渗碳硬化钢四型</t>
  </si>
  <si>
    <t>*5</t>
  </si>
  <si>
    <t>吴式硬化钢二型</t>
  </si>
  <si>
    <t>*6</t>
  </si>
  <si>
    <t>维氏硬化钢-沈国生产</t>
  </si>
  <si>
    <t>*7</t>
  </si>
  <si>
    <t>吴式高韧性钢</t>
  </si>
  <si>
    <t>*8</t>
  </si>
  <si>
    <t>吴式高韧性钢二型</t>
  </si>
  <si>
    <t>舰名</t>
  </si>
  <si>
    <t>风</t>
  </si>
  <si>
    <t>火</t>
  </si>
  <si>
    <t>林</t>
  </si>
  <si>
    <t>山</t>
  </si>
  <si>
    <t>海啸</t>
  </si>
  <si>
    <t>海神</t>
  </si>
  <si>
    <t>舰型编号</t>
  </si>
  <si>
    <t>主炮门数</t>
  </si>
  <si>
    <t>耐久度</t>
  </si>
  <si>
    <t>火力</t>
  </si>
  <si>
    <t>对空</t>
  </si>
  <si>
    <t>装甲</t>
  </si>
  <si>
    <t>鱼雷</t>
  </si>
  <si>
    <t>速度</t>
  </si>
  <si>
    <t>回避</t>
  </si>
  <si>
    <t>命中</t>
  </si>
  <si>
    <t>索敌</t>
  </si>
  <si>
    <t>幸运</t>
  </si>
  <si>
    <t>挑战方/主战方</t>
  </si>
  <si>
    <t>炮击命中率</t>
  </si>
  <si>
    <t>最大伤害</t>
  </si>
  <si>
    <t>最小伤害</t>
  </si>
  <si>
    <t>浮动</t>
  </si>
  <si>
    <t>平均伤害</t>
  </si>
  <si>
    <t>实际平均伤害</t>
  </si>
  <si>
    <t>击沉次数</t>
  </si>
  <si>
    <t>主装甲带自身主炮防御距离（米）</t>
    <phoneticPr fontId="1" type="noConversion"/>
  </si>
  <si>
    <t>弹药库处自身主炮防御距离（米）</t>
    <phoneticPr fontId="1" type="noConversion"/>
  </si>
  <si>
    <t>主机处自身主炮防御距离（米）</t>
    <phoneticPr fontId="1" type="noConversion"/>
  </si>
  <si>
    <t>压载重量（吨）</t>
    <phoneticPr fontId="1" type="noConversion"/>
  </si>
  <si>
    <t>结构重量（吨）</t>
    <phoneticPr fontId="1" type="noConversion"/>
  </si>
  <si>
    <t>船壳重量（吨）</t>
    <phoneticPr fontId="1" type="noConversion"/>
  </si>
  <si>
    <t>标准排水量下浮心位置与船底距离（米）</t>
    <phoneticPr fontId="1" type="noConversion"/>
  </si>
  <si>
    <t>上层建筑重量（吨）</t>
    <phoneticPr fontId="1" type="noConversion"/>
  </si>
  <si>
    <t>水上二层甲板主炮台数量</t>
    <phoneticPr fontId="1" type="noConversion"/>
  </si>
  <si>
    <t>水上三层甲板主炮台数量</t>
    <phoneticPr fontId="1" type="noConversion"/>
  </si>
  <si>
    <t>主炮台中心与甲板平均距离（米）</t>
    <phoneticPr fontId="1" type="noConversion"/>
  </si>
  <si>
    <t>标准排水量下浮心以下截面重量</t>
    <phoneticPr fontId="1" type="noConversion"/>
  </si>
  <si>
    <t>标准排水量下浮心以上截面重量</t>
    <phoneticPr fontId="1" type="noConversion"/>
  </si>
  <si>
    <t>稳定性</t>
    <phoneticPr fontId="1" type="noConversion"/>
  </si>
  <si>
    <t>最大横摆回复角度</t>
    <phoneticPr fontId="1" type="noConversion"/>
  </si>
  <si>
    <t>横摆频率</t>
    <phoneticPr fontId="1" type="noConversion"/>
  </si>
  <si>
    <t>穿甲弹落角（炮口）（度）</t>
    <phoneticPr fontId="1" type="noConversion"/>
  </si>
  <si>
    <r>
      <t>穿甲弹落角（5000米）（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</si>
  <si>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穿甲弹落角（10000米）（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</si>
  <si>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</si>
  <si>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</si>
  <si>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</si>
  <si>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</si>
  <si>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</si>
  <si>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穿甲弹落角（40000米）（度）</t>
    </r>
    <r>
      <rPr>
        <sz val="12"/>
        <rFont val="宋体"/>
        <family val="3"/>
        <charset val="134"/>
      </rPr>
      <t/>
    </r>
    <phoneticPr fontId="1" type="noConversion"/>
  </si>
  <si>
    <t>/</t>
    <phoneticPr fontId="1" type="noConversion"/>
  </si>
  <si>
    <t>核心部分自身主炮垂直防御距离（水上弹）（米）</t>
    <phoneticPr fontId="1" type="noConversion"/>
  </si>
  <si>
    <t>核心部分自身主炮水平防御距离（米）</t>
    <phoneticPr fontId="1" type="noConversion"/>
  </si>
  <si>
    <t>免疫区范围（米）</t>
    <phoneticPr fontId="1" type="noConversion"/>
  </si>
  <si>
    <t>攻击</t>
    <phoneticPr fontId="1" type="noConversion"/>
  </si>
  <si>
    <t>防御</t>
    <phoneticPr fontId="1" type="noConversion"/>
  </si>
  <si>
    <t>消耗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</si>
  <si>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</si>
  <si>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</si>
  <si>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</si>
  <si>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</si>
  <si>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</si>
  <si>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</si>
  <si>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</si>
  <si>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</si>
  <si>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</si>
  <si>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</si>
  <si>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</si>
  <si>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</si>
  <si>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</si>
  <si>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</si>
  <si>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</si>
  <si>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</si>
  <si>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</si>
  <si>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r>
      <t>S</t>
    </r>
    <r>
      <rPr>
        <sz val="12"/>
        <rFont val="宋体"/>
        <family val="3"/>
        <charset val="134"/>
      </rPr>
      <t>S</t>
    </r>
    <phoneticPr fontId="1" type="noConversion"/>
  </si>
  <si>
    <t>S</t>
    <phoneticPr fontId="1" type="noConversion"/>
  </si>
  <si>
    <t>S</t>
    <phoneticPr fontId="1" type="noConversion"/>
  </si>
  <si>
    <t>1层深度</t>
    <phoneticPr fontId="3" type="noConversion"/>
  </si>
  <si>
    <t>2层深度</t>
    <phoneticPr fontId="3" type="noConversion"/>
  </si>
  <si>
    <t>3层深度</t>
    <phoneticPr fontId="3" type="noConversion"/>
  </si>
  <si>
    <t>4层深度</t>
    <phoneticPr fontId="3" type="noConversion"/>
  </si>
  <si>
    <t>舰身舯部长</t>
    <phoneticPr fontId="3" type="noConversion"/>
  </si>
  <si>
    <t>水线宽度</t>
    <phoneticPr fontId="3" type="noConversion"/>
  </si>
  <si>
    <t>1/4宽度</t>
    <phoneticPr fontId="3" type="noConversion"/>
  </si>
  <si>
    <t>1/2宽度</t>
    <phoneticPr fontId="3" type="noConversion"/>
  </si>
  <si>
    <t>3/4宽度</t>
    <phoneticPr fontId="3" type="noConversion"/>
  </si>
  <si>
    <t>补正值</t>
    <phoneticPr fontId="3" type="noConversion"/>
  </si>
  <si>
    <t>舰身舯部满载排水量</t>
    <phoneticPr fontId="3" type="noConversion"/>
  </si>
  <si>
    <t>舰艏水线长</t>
    <phoneticPr fontId="3" type="noConversion"/>
  </si>
  <si>
    <t>舰艏中间长</t>
    <phoneticPr fontId="3" type="noConversion"/>
  </si>
  <si>
    <t>舰艏船底长</t>
    <phoneticPr fontId="3" type="noConversion"/>
  </si>
  <si>
    <t>舰艏3/4中间宽度</t>
    <phoneticPr fontId="3" type="noConversion"/>
  </si>
  <si>
    <t>舰艏底部中间宽度</t>
    <phoneticPr fontId="3" type="noConversion"/>
  </si>
  <si>
    <t>舰艏满载排水量</t>
    <phoneticPr fontId="3" type="noConversion"/>
  </si>
  <si>
    <t>舰艉1/4长</t>
    <phoneticPr fontId="3" type="noConversion"/>
  </si>
  <si>
    <t>舰艉3/4长</t>
    <phoneticPr fontId="3" type="noConversion"/>
  </si>
  <si>
    <t>舰艉底部长</t>
    <phoneticPr fontId="3" type="noConversion"/>
  </si>
  <si>
    <t>舰艉水线中间宽度</t>
    <phoneticPr fontId="3" type="noConversion"/>
  </si>
  <si>
    <t>舰艉1/2中间宽度</t>
    <phoneticPr fontId="3" type="noConversion"/>
  </si>
  <si>
    <t>舰艉底部中间宽度</t>
    <phoneticPr fontId="3" type="noConversion"/>
  </si>
  <si>
    <t>舰艉满载排水量</t>
    <phoneticPr fontId="3" type="noConversion"/>
  </si>
  <si>
    <t>附加部分长度</t>
    <phoneticPr fontId="3" type="noConversion"/>
  </si>
  <si>
    <t>附加部分宽度</t>
    <phoneticPr fontId="3" type="noConversion"/>
  </si>
  <si>
    <t>附加部分排水量</t>
    <phoneticPr fontId="3" type="noConversion"/>
  </si>
  <si>
    <t>底部宽度</t>
    <phoneticPr fontId="3" type="noConversion"/>
  </si>
  <si>
    <t>舰艏水线中间宽度</t>
    <phoneticPr fontId="3" type="noConversion"/>
  </si>
  <si>
    <t>舰艏1/4中间宽度</t>
    <phoneticPr fontId="3" type="noConversion"/>
  </si>
  <si>
    <t>舰艏1/2中间宽度</t>
    <phoneticPr fontId="3" type="noConversion"/>
  </si>
  <si>
    <t>补正值</t>
    <phoneticPr fontId="3" type="noConversion"/>
  </si>
  <si>
    <t>舰艉水线长</t>
    <phoneticPr fontId="3" type="noConversion"/>
  </si>
  <si>
    <t>舰艉1/2长</t>
    <phoneticPr fontId="3" type="noConversion"/>
  </si>
  <si>
    <t>舰艉1/4中间宽度</t>
    <phoneticPr fontId="3" type="noConversion"/>
  </si>
  <si>
    <t>舰艉3/4中间宽度</t>
    <phoneticPr fontId="3" type="noConversion"/>
  </si>
  <si>
    <t>附加部分深度</t>
    <phoneticPr fontId="3" type="noConversion"/>
  </si>
  <si>
    <t>身管材料耐久度</t>
    <phoneticPr fontId="3" type="noConversion"/>
  </si>
  <si>
    <t>身管寿命</t>
    <phoneticPr fontId="3" type="noConversion"/>
  </si>
  <si>
    <t>身管阻力值</t>
    <phoneticPr fontId="3" type="noConversion"/>
  </si>
  <si>
    <t>穿甲弹垂直存速（炮口）（米/秒）</t>
    <phoneticPr fontId="1" type="noConversion"/>
  </si>
  <si>
    <t>穿甲弹垂直存速（5000米）（米/秒）</t>
    <phoneticPr fontId="1" type="noConversion"/>
  </si>
  <si>
    <t>穿甲弹垂直存速（10000米）（米/秒）</t>
    <phoneticPr fontId="1" type="noConversion"/>
  </si>
  <si>
    <t>穿甲弹垂直存速（15000米）（米/秒）</t>
    <phoneticPr fontId="1" type="noConversion"/>
  </si>
  <si>
    <t>穿甲弹垂直存速（20000米）（米/秒）</t>
    <phoneticPr fontId="1" type="noConversion"/>
  </si>
  <si>
    <t>穿甲弹垂直存速（25000米）（米/秒）</t>
    <phoneticPr fontId="1" type="noConversion"/>
  </si>
  <si>
    <t>穿甲弹垂直存速（30000米）（米/秒）</t>
    <phoneticPr fontId="1" type="noConversion"/>
  </si>
  <si>
    <t>穿甲弹垂直存速（35000米）（米/秒）</t>
    <phoneticPr fontId="1" type="noConversion"/>
  </si>
  <si>
    <t>穿甲弹垂直存速（40000米）（米/秒）</t>
    <phoneticPr fontId="1" type="noConversion"/>
  </si>
  <si>
    <t>防鱼雷空舱厚度（毫米）</t>
    <phoneticPr fontId="1" type="noConversion"/>
  </si>
  <si>
    <t>防雷隔舱钢板厚度（毫米）</t>
    <phoneticPr fontId="1" type="noConversion"/>
  </si>
  <si>
    <t>防鱼雷隔舱层数</t>
    <phoneticPr fontId="1" type="noConversion"/>
  </si>
  <si>
    <t>最大储备浮力</t>
    <phoneticPr fontId="1" type="noConversion"/>
  </si>
  <si>
    <t>火力评分</t>
    <phoneticPr fontId="1" type="noConversion"/>
  </si>
  <si>
    <t>主机重量比</t>
    <phoneticPr fontId="1" type="noConversion"/>
  </si>
  <si>
    <t>横向最大水密舱数量</t>
    <phoneticPr fontId="1" type="noConversion"/>
  </si>
  <si>
    <t>纵向最大水密舱数量</t>
    <phoneticPr fontId="1" type="noConversion"/>
  </si>
  <si>
    <t>水密舱数量</t>
    <phoneticPr fontId="1" type="noConversion"/>
  </si>
  <si>
    <t>平均耗油量（海里/吨/16节）</t>
    <phoneticPr fontId="1" type="noConversion"/>
  </si>
  <si>
    <t>方形系数</t>
    <phoneticPr fontId="1" type="noConversion"/>
  </si>
  <si>
    <t>弹药库区长度（米）</t>
    <phoneticPr fontId="1" type="noConversion"/>
  </si>
  <si>
    <t>主机区长度（米）</t>
    <phoneticPr fontId="1" type="noConversion"/>
  </si>
  <si>
    <t>弹药库区水平装甲重量（吨）</t>
    <phoneticPr fontId="1" type="noConversion"/>
  </si>
  <si>
    <t>主机区水平装甲重量（吨）</t>
    <phoneticPr fontId="1" type="noConversion"/>
  </si>
  <si>
    <t>弹药库区主装甲带重量（吨）</t>
    <phoneticPr fontId="1" type="noConversion"/>
  </si>
  <si>
    <t>主机区主装甲带重量（吨）</t>
    <phoneticPr fontId="1" type="noConversion"/>
  </si>
  <si>
    <t>弹药库区水下装甲重量（吨）</t>
    <phoneticPr fontId="1" type="noConversion"/>
  </si>
  <si>
    <t>主机区水下装甲重量（吨）</t>
    <phoneticPr fontId="1" type="noConversion"/>
  </si>
  <si>
    <t>水平装甲总重（吨）</t>
    <phoneticPr fontId="1" type="noConversion"/>
  </si>
  <si>
    <t>主装甲带总重（吨）</t>
    <phoneticPr fontId="1" type="noConversion"/>
  </si>
  <si>
    <t>水下装甲总重（吨）</t>
    <phoneticPr fontId="1" type="noConversion"/>
  </si>
  <si>
    <t>侧舷水线主装甲带厚度（主机区）（毫米）</t>
    <phoneticPr fontId="1" type="noConversion"/>
  </si>
  <si>
    <t>侧舷水线主装甲带厚度（弹药库区）（毫米）</t>
    <phoneticPr fontId="1" type="noConversion"/>
  </si>
  <si>
    <t>主水平装甲厚度（主机区）（毫米）</t>
    <phoneticPr fontId="1" type="noConversion"/>
  </si>
  <si>
    <t>主水平装甲厚度（弹药库区）（毫米）</t>
    <phoneticPr fontId="1" type="noConversion"/>
  </si>
  <si>
    <t>Type</t>
    <phoneticPr fontId="1" type="noConversion"/>
  </si>
  <si>
    <t>Class</t>
    <phoneticPr fontId="1" type="noConversion"/>
  </si>
  <si>
    <t>Number</t>
    <phoneticPr fontId="1" type="noConversion"/>
  </si>
  <si>
    <t>Disp-design</t>
    <phoneticPr fontId="1" type="noConversion"/>
  </si>
  <si>
    <t>Disp-std</t>
    <phoneticPr fontId="1" type="noConversion"/>
  </si>
  <si>
    <t>Disp-full</t>
    <phoneticPr fontId="1" type="noConversion"/>
  </si>
  <si>
    <t>Disp-light</t>
    <phoneticPr fontId="1" type="noConversion"/>
  </si>
  <si>
    <t>Length</t>
    <phoneticPr fontId="1" type="noConversion"/>
  </si>
  <si>
    <t>Length-water</t>
    <phoneticPr fontId="1" type="noConversion"/>
  </si>
  <si>
    <t>Width</t>
    <phoneticPr fontId="1" type="noConversion"/>
  </si>
  <si>
    <t>Width-water</t>
    <phoneticPr fontId="1" type="noConversion"/>
  </si>
  <si>
    <t>水下装甲厚度（主机区）（毫米）</t>
    <phoneticPr fontId="1" type="noConversion"/>
  </si>
  <si>
    <t>水下装甲厚度（弹药库区）（毫米）</t>
    <phoneticPr fontId="1" type="noConversion"/>
  </si>
  <si>
    <t>主装甲带与上甲板距离（米）</t>
    <phoneticPr fontId="1" type="noConversion"/>
  </si>
  <si>
    <t>主炮组数</t>
    <phoneticPr fontId="1" type="noConversion"/>
  </si>
  <si>
    <t>纵向隔断装甲重量（吨）</t>
    <phoneticPr fontId="1" type="noConversion"/>
  </si>
  <si>
    <t>纵向隔断装甲厚度（毫米）</t>
    <phoneticPr fontId="1" type="noConversion"/>
  </si>
  <si>
    <t>穹甲角度</t>
    <phoneticPr fontId="1" type="noConversion"/>
  </si>
  <si>
    <t>倾斜穹甲厚度（主机区）（毫米）</t>
    <phoneticPr fontId="1" type="noConversion"/>
  </si>
  <si>
    <t>倾斜穹甲厚度（弹药库区）（毫米）</t>
    <phoneticPr fontId="1" type="noConversion"/>
  </si>
  <si>
    <t>弹药库区倾斜穹甲重量（吨）</t>
    <phoneticPr fontId="1" type="noConversion"/>
  </si>
  <si>
    <t>主机区倾斜穹甲重量（吨）</t>
    <phoneticPr fontId="1" type="noConversion"/>
  </si>
  <si>
    <t>穹甲顶与主装甲带顶距离（米）</t>
    <phoneticPr fontId="1" type="noConversion"/>
  </si>
  <si>
    <t>倾斜穹甲占用宽度（米）</t>
    <phoneticPr fontId="1" type="noConversion"/>
  </si>
  <si>
    <t>倾斜穹甲钢材宽度（米）</t>
    <phoneticPr fontId="1" type="noConversion"/>
  </si>
  <si>
    <t>水平装甲宽度（米）</t>
    <phoneticPr fontId="1" type="noConversion"/>
  </si>
  <si>
    <t>倾斜穹甲总重（吨）</t>
    <phoneticPr fontId="1" type="noConversion"/>
  </si>
  <si>
    <t>其他装甲总重（吨）</t>
    <phoneticPr fontId="1" type="noConversion"/>
  </si>
  <si>
    <t>上部装甲总重（吨）</t>
    <phoneticPr fontId="1" type="noConversion"/>
  </si>
  <si>
    <t>舵机舱垂直装甲厚度（毫米）</t>
    <phoneticPr fontId="1" type="noConversion"/>
  </si>
  <si>
    <t>舵机舱水平装甲厚度（毫米）</t>
    <phoneticPr fontId="1" type="noConversion"/>
  </si>
  <si>
    <t>装甲区高度（米）</t>
    <phoneticPr fontId="1" type="noConversion"/>
  </si>
  <si>
    <t>主机排数</t>
    <phoneticPr fontId="1" type="noConversion"/>
  </si>
  <si>
    <t>每排主机数量</t>
    <phoneticPr fontId="1" type="noConversion"/>
  </si>
  <si>
    <t>单台主机长度（米）</t>
    <phoneticPr fontId="1" type="noConversion"/>
  </si>
  <si>
    <t>单台主机宽度（米）</t>
    <phoneticPr fontId="1" type="noConversion"/>
  </si>
  <si>
    <t>单台主机高度（米）</t>
    <phoneticPr fontId="1" type="noConversion"/>
  </si>
  <si>
    <t>主机区实际宽度（米）</t>
    <phoneticPr fontId="1" type="noConversion"/>
  </si>
  <si>
    <t>主机区剩余长度（米）</t>
    <phoneticPr fontId="1" type="noConversion"/>
  </si>
  <si>
    <t>主机区总长（米）</t>
    <phoneticPr fontId="1" type="noConversion"/>
  </si>
  <si>
    <t>Draft-full</t>
    <phoneticPr fontId="1" type="noConversion"/>
  </si>
  <si>
    <t>Moduled-depth</t>
    <phoneticPr fontId="1" type="noConversion"/>
  </si>
  <si>
    <t>满载干舷高（米）</t>
    <phoneticPr fontId="1" type="noConversion"/>
  </si>
  <si>
    <t>Freeboard</t>
    <phoneticPr fontId="1" type="noConversion"/>
  </si>
  <si>
    <t>Speed</t>
    <phoneticPr fontId="1" type="noConversion"/>
  </si>
  <si>
    <t>Turrets</t>
    <phoneticPr fontId="1" type="noConversion"/>
  </si>
  <si>
    <t>Turrets-group</t>
    <phoneticPr fontId="1" type="noConversion"/>
  </si>
  <si>
    <t>Mount</t>
    <phoneticPr fontId="1" type="noConversion"/>
  </si>
  <si>
    <t>AP-mass</t>
    <phoneticPr fontId="1" type="noConversion"/>
  </si>
  <si>
    <t>AP-resist</t>
    <phoneticPr fontId="1" type="noConversion"/>
  </si>
  <si>
    <t>Elevation</t>
    <phoneticPr fontId="1" type="noConversion"/>
  </si>
  <si>
    <t>Firing-rate</t>
    <phoneticPr fontId="1" type="noConversion"/>
  </si>
  <si>
    <t>Caliber</t>
    <phoneticPr fontId="1" type="noConversion"/>
  </si>
  <si>
    <t>Belt-engine</t>
    <phoneticPr fontId="1" type="noConversion"/>
  </si>
  <si>
    <t>Belt-magazine</t>
    <phoneticPr fontId="1" type="noConversion"/>
  </si>
  <si>
    <t>Belt-angle</t>
    <phoneticPr fontId="1" type="noConversion"/>
  </si>
  <si>
    <t>Belt-steel</t>
    <phoneticPr fontId="1" type="noConversion"/>
  </si>
  <si>
    <t>Belt-outer</t>
    <phoneticPr fontId="1" type="noConversion"/>
  </si>
  <si>
    <t>Belt-inner</t>
    <phoneticPr fontId="1" type="noConversion"/>
  </si>
  <si>
    <t>Tower</t>
    <phoneticPr fontId="1" type="noConversion"/>
  </si>
  <si>
    <t>Deck-outer</t>
    <phoneticPr fontId="1" type="noConversion"/>
  </si>
  <si>
    <t>Deck-engine</t>
    <phoneticPr fontId="1" type="noConversion"/>
  </si>
  <si>
    <t>Deck-magazine</t>
    <phoneticPr fontId="1" type="noConversion"/>
  </si>
  <si>
    <t>Deck-inner</t>
    <phoneticPr fontId="1" type="noConversion"/>
  </si>
  <si>
    <t>Dome-angle</t>
    <phoneticPr fontId="1" type="noConversion"/>
  </si>
  <si>
    <t>Dome-engine</t>
    <phoneticPr fontId="1" type="noConversion"/>
  </si>
  <si>
    <t>Dome-magazine</t>
    <phoneticPr fontId="1" type="noConversion"/>
  </si>
  <si>
    <t>Dome-height</t>
    <phoneticPr fontId="1" type="noConversion"/>
  </si>
  <si>
    <t>Deck-width</t>
    <phoneticPr fontId="1" type="noConversion"/>
  </si>
  <si>
    <t>Deck-steel</t>
    <phoneticPr fontId="1" type="noConversion"/>
  </si>
  <si>
    <t>Belt-upper</t>
    <phoneticPr fontId="1" type="noConversion"/>
  </si>
  <si>
    <t>Underwater-engine</t>
    <phoneticPr fontId="1" type="noConversion"/>
  </si>
  <si>
    <t>Underwater-magazine</t>
    <phoneticPr fontId="1" type="noConversion"/>
  </si>
  <si>
    <t>Underwater-steel</t>
    <phoneticPr fontId="1" type="noConversion"/>
  </si>
  <si>
    <t>TDS-layers</t>
    <phoneticPr fontId="1" type="noConversion"/>
  </si>
  <si>
    <t>TDS-space</t>
    <phoneticPr fontId="1" type="noConversion"/>
  </si>
  <si>
    <t>Hull-layers</t>
    <phoneticPr fontId="1" type="noConversion"/>
  </si>
  <si>
    <t>Belt-length</t>
    <phoneticPr fontId="1" type="noConversion"/>
  </si>
  <si>
    <t>艏艉装甲长度（米）</t>
    <phoneticPr fontId="1" type="noConversion"/>
  </si>
  <si>
    <t>艏艉装甲厚度（毫米）</t>
    <phoneticPr fontId="1" type="noConversion"/>
  </si>
  <si>
    <t>艏艉装甲重量（吨）</t>
    <phoneticPr fontId="1" type="noConversion"/>
  </si>
  <si>
    <t>Belt-width</t>
    <phoneticPr fontId="1" type="noConversion"/>
  </si>
  <si>
    <t>Upper-width</t>
    <phoneticPr fontId="1" type="noConversion"/>
  </si>
  <si>
    <t>Underwater-width</t>
    <phoneticPr fontId="1" type="noConversion"/>
  </si>
  <si>
    <t>Belt-below</t>
    <phoneticPr fontId="1" type="noConversion"/>
  </si>
  <si>
    <t>Magazine-length</t>
    <phoneticPr fontId="1" type="noConversion"/>
  </si>
  <si>
    <t>Engine-length</t>
    <phoneticPr fontId="1" type="noConversion"/>
  </si>
  <si>
    <t>Aft</t>
    <phoneticPr fontId="1" type="noConversion"/>
  </si>
  <si>
    <t>Turret-front</t>
    <phoneticPr fontId="1" type="noConversion"/>
  </si>
  <si>
    <t>Turret-side</t>
    <phoneticPr fontId="1" type="noConversion"/>
  </si>
  <si>
    <t>Turret-top</t>
    <phoneticPr fontId="1" type="noConversion"/>
  </si>
  <si>
    <t>Armored-vol</t>
    <phoneticPr fontId="1" type="noConversion"/>
  </si>
  <si>
    <t>Iowa</t>
    <phoneticPr fontId="1" type="noConversion"/>
  </si>
  <si>
    <t>AP-velocity</t>
    <phoneticPr fontId="1" type="noConversion"/>
  </si>
  <si>
    <t>AP-ef</t>
    <phoneticPr fontId="1" type="noConversion"/>
  </si>
  <si>
    <t>Atago</t>
    <phoneticPr fontId="1" type="noConversion"/>
  </si>
  <si>
    <t>战列舰</t>
    <phoneticPr fontId="1" type="noConversion"/>
  </si>
  <si>
    <t>GLBS-26</t>
    <phoneticPr fontId="1" type="noConversion"/>
  </si>
  <si>
    <t>GL</t>
    <phoneticPr fontId="1" type="noConversion"/>
  </si>
  <si>
    <t>长艏楼</t>
    <phoneticPr fontId="1" type="noConversion"/>
  </si>
  <si>
    <t>楼长度（米）</t>
    <phoneticPr fontId="1" type="noConversion"/>
  </si>
  <si>
    <t>穿甲弹质量（磅）</t>
    <phoneticPr fontId="1" type="noConversion"/>
  </si>
  <si>
    <t>76X2</t>
    <phoneticPr fontId="1" type="noConversion"/>
  </si>
  <si>
    <t>单门主炮工时（万）</t>
    <phoneticPr fontId="1" type="noConversion"/>
  </si>
  <si>
    <t>主炮总工时（万）</t>
    <phoneticPr fontId="1" type="noConversion"/>
  </si>
  <si>
    <t>单台主机工时（万）</t>
    <phoneticPr fontId="1" type="noConversion"/>
  </si>
  <si>
    <t>主机总工时（万）</t>
    <phoneticPr fontId="1" type="noConversion"/>
  </si>
  <si>
    <t>主装甲带工时（万）</t>
    <phoneticPr fontId="1" type="noConversion"/>
  </si>
  <si>
    <t>水平装甲工时（万）</t>
    <phoneticPr fontId="1" type="noConversion"/>
  </si>
  <si>
    <t>其他装甲工时（万）</t>
    <phoneticPr fontId="1" type="noConversion"/>
  </si>
  <si>
    <t>船壳工时（万）</t>
    <phoneticPr fontId="1" type="noConversion"/>
  </si>
  <si>
    <t>设备工时（万）</t>
    <phoneticPr fontId="1" type="noConversion"/>
  </si>
  <si>
    <t>/</t>
    <phoneticPr fontId="1" type="noConversion"/>
  </si>
  <si>
    <t>XBC1</t>
    <phoneticPr fontId="1" type="noConversion"/>
  </si>
  <si>
    <t>平甲板</t>
    <phoneticPr fontId="1" type="noConversion"/>
  </si>
  <si>
    <t>主装甲带水线下延申（米）</t>
    <phoneticPr fontId="1" type="noConversion"/>
  </si>
  <si>
    <t>副炮总工时（万）</t>
    <phoneticPr fontId="1" type="noConversion"/>
  </si>
  <si>
    <t>防空炮总工时（万）</t>
    <phoneticPr fontId="1" type="noConversion"/>
  </si>
  <si>
    <t>防鱼雷系统总厚度（毫米）</t>
    <phoneticPr fontId="1" type="noConversion"/>
  </si>
  <si>
    <t>菱形系数</t>
    <phoneticPr fontId="1" type="noConversion"/>
  </si>
  <si>
    <t>中横剖面面积（平方米）</t>
    <phoneticPr fontId="1" type="noConversion"/>
  </si>
  <si>
    <t>总阻力值（标准排水量）</t>
    <phoneticPr fontId="1" type="noConversion"/>
  </si>
  <si>
    <t>总阻力值（满载排水量）</t>
    <phoneticPr fontId="1" type="noConversion"/>
  </si>
  <si>
    <t>建造阻力系数</t>
    <phoneticPr fontId="1" type="noConversion"/>
  </si>
  <si>
    <t>船型阻力系数</t>
    <phoneticPr fontId="1" type="noConversion"/>
  </si>
  <si>
    <t>满载最大航速（节）</t>
    <phoneticPr fontId="1" type="noConversion"/>
  </si>
  <si>
    <t>舷侧远程对空投弹量（千克/分钟）</t>
    <phoneticPr fontId="1" type="noConversion"/>
  </si>
  <si>
    <t>舷侧中程对空投弹量（千克/分钟）</t>
    <phoneticPr fontId="1" type="noConversion"/>
  </si>
  <si>
    <t>舷侧近程对空投弹量（千克/分钟）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</si>
</sst>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0_);[Red]\(0.00\)"/>
    <numFmt numFmtId="180" formatCode="0.0_);[Red]\(0.0\)"/>
    <numFmt numFmtId="181" formatCode="0_);[Red]\(0\)"/>
    <numFmt numFmtId="182" formatCode="0.000_);[Red]\(0.000\)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0" borderId="0" xfId="0" applyFont="1" applyFill="1">
      <alignment vertical="center"/>
    </xf>
    <xf numFmtId="177" fontId="2" fillId="0" borderId="0" xfId="0" applyNumberFormat="1" applyFo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Alignment="1"/>
    <xf numFmtId="177" fontId="0" fillId="0" borderId="0" xfId="0" applyNumberForma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0" borderId="0" xfId="0" applyNumberFormat="1" applyFont="1">
      <alignment vertical="center"/>
    </xf>
    <xf numFmtId="0" fontId="0" fillId="0" borderId="0" xfId="0" applyFont="1" applyAlignment="1"/>
    <xf numFmtId="0" fontId="0" fillId="0" borderId="0" xfId="0" applyNumberFormat="1" applyFont="1">
      <alignment vertical="center"/>
    </xf>
    <xf numFmtId="177" fontId="2" fillId="0" borderId="0" xfId="0" applyNumberFormat="1" applyFont="1" applyAlignment="1"/>
    <xf numFmtId="177" fontId="0" fillId="0" borderId="0" xfId="0" applyNumberFormat="1" applyAlignment="1"/>
    <xf numFmtId="179" fontId="0" fillId="5" borderId="0" xfId="0" applyNumberFormat="1" applyFill="1">
      <alignment vertical="center"/>
    </xf>
    <xf numFmtId="179" fontId="2" fillId="5" borderId="0" xfId="0" applyNumberFormat="1" applyFont="1" applyFill="1">
      <alignment vertical="center"/>
    </xf>
    <xf numFmtId="0" fontId="0" fillId="5" borderId="0" xfId="0" applyFill="1">
      <alignment vertical="center"/>
    </xf>
    <xf numFmtId="0" fontId="2" fillId="5" borderId="0" xfId="0" applyNumberFormat="1" applyFon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7" fontId="2" fillId="5" borderId="0" xfId="0" applyNumberFormat="1" applyFont="1" applyFill="1" applyAlignment="1"/>
    <xf numFmtId="177" fontId="0" fillId="5" borderId="0" xfId="0" applyNumberFormat="1" applyFill="1" applyAlignment="1"/>
    <xf numFmtId="176" fontId="2" fillId="5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182" fontId="0" fillId="0" borderId="0" xfId="0" applyNumberFormat="1" applyFill="1">
      <alignment vertical="center"/>
    </xf>
    <xf numFmtId="182" fontId="2" fillId="0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zoomScaleSheetLayoutView="100" workbookViewId="0">
      <pane ySplit="4" topLeftCell="A79" activePane="bottomLeft" state="frozen"/>
      <selection pane="bottomLeft" activeCell="F77" sqref="F77"/>
    </sheetView>
  </sheetViews>
  <sheetFormatPr defaultColWidth="9" defaultRowHeight="15.6" x14ac:dyDescent="0.25"/>
  <cols>
    <col min="1" max="1" width="20.796875" customWidth="1"/>
    <col min="2" max="2" width="45.69921875" customWidth="1"/>
    <col min="3" max="6" width="11.59765625" customWidth="1"/>
  </cols>
  <sheetData>
    <row r="1" spans="1:7" x14ac:dyDescent="0.25">
      <c r="A1" s="18"/>
      <c r="B1" t="s">
        <v>0</v>
      </c>
    </row>
    <row r="2" spans="1:7" x14ac:dyDescent="0.25">
      <c r="A2" s="18" t="s">
        <v>368</v>
      </c>
      <c r="B2" t="s">
        <v>1</v>
      </c>
      <c r="C2" t="s">
        <v>2</v>
      </c>
      <c r="D2" s="18" t="s">
        <v>464</v>
      </c>
      <c r="E2" s="18"/>
      <c r="F2" s="18"/>
    </row>
    <row r="3" spans="1:7" x14ac:dyDescent="0.25">
      <c r="A3" s="18" t="s">
        <v>370</v>
      </c>
      <c r="B3" t="s">
        <v>3</v>
      </c>
      <c r="C3" t="s">
        <v>7</v>
      </c>
      <c r="D3" s="18" t="s">
        <v>465</v>
      </c>
      <c r="E3" s="18" t="s">
        <v>481</v>
      </c>
      <c r="F3" s="18" t="s">
        <v>460</v>
      </c>
      <c r="G3" s="18" t="s">
        <v>463</v>
      </c>
    </row>
    <row r="4" spans="1:7" x14ac:dyDescent="0.25">
      <c r="A4" s="18" t="s">
        <v>369</v>
      </c>
      <c r="B4" t="s">
        <v>8</v>
      </c>
      <c r="C4" t="s">
        <v>7</v>
      </c>
      <c r="E4" s="18" t="s">
        <v>481</v>
      </c>
      <c r="F4" s="18"/>
    </row>
    <row r="5" spans="1:7" x14ac:dyDescent="0.25">
      <c r="B5" t="s">
        <v>9</v>
      </c>
      <c r="C5" t="s">
        <v>10</v>
      </c>
      <c r="D5" s="18" t="s">
        <v>466</v>
      </c>
      <c r="E5" s="18"/>
      <c r="F5" s="18"/>
    </row>
    <row r="6" spans="1:7" x14ac:dyDescent="0.25">
      <c r="B6" t="s">
        <v>11</v>
      </c>
    </row>
    <row r="7" spans="1:7" x14ac:dyDescent="0.25">
      <c r="B7" t="s">
        <v>12</v>
      </c>
    </row>
    <row r="8" spans="1:7" s="3" customFormat="1" x14ac:dyDescent="0.25">
      <c r="B8" s="3" t="s">
        <v>13</v>
      </c>
      <c r="C8" s="1">
        <f>SUM(C84,C124,C220,C221,C301:C303,C326,C327)</f>
        <v>822.30638749881882</v>
      </c>
      <c r="D8" s="1">
        <f>SUM(D84,D124,D220,D221,D301:D303,D326,D327)</f>
        <v>1352.6566844222662</v>
      </c>
    </row>
    <row r="9" spans="1:7" s="3" customFormat="1" x14ac:dyDescent="0.25">
      <c r="B9" s="3" t="s">
        <v>14</v>
      </c>
      <c r="C9" s="3">
        <v>10.8</v>
      </c>
      <c r="D9" s="3">
        <v>9.6</v>
      </c>
    </row>
    <row r="10" spans="1:7" s="3" customFormat="1" x14ac:dyDescent="0.25">
      <c r="B10" s="3" t="s">
        <v>15</v>
      </c>
      <c r="C10" s="1">
        <f t="shared" ref="C10:D10" si="0">C8*C9</f>
        <v>8880.9089849872435</v>
      </c>
      <c r="D10" s="1">
        <f t="shared" si="0"/>
        <v>12985.504170453754</v>
      </c>
      <c r="E10" s="1"/>
      <c r="F10" s="1"/>
    </row>
    <row r="11" spans="1:7" s="3" customFormat="1" x14ac:dyDescent="0.25">
      <c r="B11" s="3" t="s">
        <v>16</v>
      </c>
      <c r="C11" s="1">
        <f t="shared" ref="C11:D11" si="1">C10/C13*10000</f>
        <v>2338.2121675180697</v>
      </c>
      <c r="D11" s="1">
        <f t="shared" si="1"/>
        <v>2711.2670099567531</v>
      </c>
      <c r="E11" s="1"/>
      <c r="F11" s="1"/>
    </row>
    <row r="12" spans="1:7" x14ac:dyDescent="0.25">
      <c r="A12" s="18" t="s">
        <v>371</v>
      </c>
      <c r="B12" t="s">
        <v>17</v>
      </c>
      <c r="C12">
        <v>38600</v>
      </c>
      <c r="D12">
        <v>48000</v>
      </c>
      <c r="E12">
        <v>30000</v>
      </c>
    </row>
    <row r="13" spans="1:7" x14ac:dyDescent="0.25">
      <c r="A13" s="18" t="s">
        <v>372</v>
      </c>
      <c r="B13" t="s">
        <v>18</v>
      </c>
      <c r="C13" s="1">
        <f>C341+C340+C337+C332</f>
        <v>37981.621635362615</v>
      </c>
      <c r="D13" s="1">
        <f>D341+D340+D337+D332</f>
        <v>47894.597333151942</v>
      </c>
      <c r="E13" s="1">
        <f>E341+E340+E337+E332</f>
        <v>29854.671121675252</v>
      </c>
      <c r="F13" s="1"/>
    </row>
    <row r="14" spans="1:7" x14ac:dyDescent="0.25">
      <c r="A14" s="18" t="s">
        <v>373</v>
      </c>
      <c r="B14" t="s">
        <v>19</v>
      </c>
      <c r="C14" s="1">
        <f>C41+C51+C63+C67</f>
        <v>43688.558125000003</v>
      </c>
      <c r="D14" s="1">
        <f>D41+D51+D63+D67</f>
        <v>64126.295562500003</v>
      </c>
      <c r="E14" s="1">
        <f>E41+E51+E63+E67</f>
        <v>35215.078125</v>
      </c>
      <c r="F14" s="1"/>
    </row>
    <row r="15" spans="1:7" x14ac:dyDescent="0.25">
      <c r="A15" s="18" t="s">
        <v>374</v>
      </c>
      <c r="B15" t="s">
        <v>20</v>
      </c>
      <c r="C15" s="1">
        <f>C341</f>
        <v>36049.717635362613</v>
      </c>
      <c r="D15" s="1">
        <f>D341</f>
        <v>45403.407333151939</v>
      </c>
      <c r="E15" s="1">
        <f>E341</f>
        <v>28315.071121675253</v>
      </c>
      <c r="F15" s="1"/>
    </row>
    <row r="16" spans="1:7" x14ac:dyDescent="0.25">
      <c r="A16" s="18" t="s">
        <v>375</v>
      </c>
      <c r="B16" t="s">
        <v>21</v>
      </c>
      <c r="C16">
        <v>242.5</v>
      </c>
      <c r="D16">
        <v>262.39999999999998</v>
      </c>
      <c r="E16">
        <v>252</v>
      </c>
    </row>
    <row r="17" spans="1:6" x14ac:dyDescent="0.25">
      <c r="A17" s="18" t="s">
        <v>376</v>
      </c>
      <c r="B17" t="s">
        <v>22</v>
      </c>
      <c r="C17">
        <f>C34+C42+C52</f>
        <v>239.9</v>
      </c>
      <c r="D17">
        <f>D34+D42+D52</f>
        <v>255.75</v>
      </c>
      <c r="E17">
        <f>E34+E42+E52</f>
        <v>250.75</v>
      </c>
    </row>
    <row r="18" spans="1:6" x14ac:dyDescent="0.25">
      <c r="A18" s="18" t="s">
        <v>377</v>
      </c>
      <c r="B18" t="s">
        <v>23</v>
      </c>
      <c r="C18">
        <v>33</v>
      </c>
      <c r="D18">
        <v>33.5</v>
      </c>
      <c r="E18">
        <v>27.5</v>
      </c>
    </row>
    <row r="19" spans="1:6" x14ac:dyDescent="0.25">
      <c r="A19" s="18" t="s">
        <v>378</v>
      </c>
      <c r="B19" t="s">
        <v>24</v>
      </c>
      <c r="C19">
        <f>C35</f>
        <v>32.299999999999997</v>
      </c>
      <c r="D19">
        <f>D35</f>
        <v>32.1</v>
      </c>
      <c r="E19">
        <f>E35</f>
        <v>27</v>
      </c>
    </row>
    <row r="20" spans="1:6" x14ac:dyDescent="0.25">
      <c r="A20" s="18" t="s">
        <v>409</v>
      </c>
      <c r="B20" t="s">
        <v>25</v>
      </c>
      <c r="C20">
        <v>14.9</v>
      </c>
      <c r="D20">
        <v>14.9</v>
      </c>
      <c r="E20">
        <v>12</v>
      </c>
    </row>
    <row r="21" spans="1:6" x14ac:dyDescent="0.25">
      <c r="B21" t="s">
        <v>26</v>
      </c>
      <c r="C21" s="5">
        <f>(C13/C14)^C87*C23</f>
        <v>9.1413936903192639</v>
      </c>
      <c r="D21" s="5">
        <f>(D13/D14)^D87*D23</f>
        <v>9.825361035749971</v>
      </c>
      <c r="E21" s="5">
        <f>(E13/E14)^E87*E23</f>
        <v>6.6884287751767353</v>
      </c>
      <c r="F21" s="5"/>
    </row>
    <row r="22" spans="1:6" x14ac:dyDescent="0.25">
      <c r="B22" t="s">
        <v>27</v>
      </c>
      <c r="C22" s="5">
        <f t="shared" ref="C22:D22" si="2">C20-C21</f>
        <v>5.7586063096807365</v>
      </c>
      <c r="D22" s="5">
        <f t="shared" si="2"/>
        <v>5.0746389642500294</v>
      </c>
      <c r="E22" s="5">
        <f t="shared" ref="E22" si="3">E20-E21</f>
        <v>5.3115712248232647</v>
      </c>
      <c r="F22" s="5"/>
    </row>
    <row r="23" spans="1:6" x14ac:dyDescent="0.25">
      <c r="A23" s="18" t="s">
        <v>408</v>
      </c>
      <c r="B23" t="s">
        <v>28</v>
      </c>
      <c r="C23">
        <v>9.9</v>
      </c>
      <c r="D23">
        <v>11.9</v>
      </c>
      <c r="E23">
        <v>7.5</v>
      </c>
    </row>
    <row r="24" spans="1:6" x14ac:dyDescent="0.25">
      <c r="A24" s="18" t="s">
        <v>411</v>
      </c>
      <c r="B24" s="18" t="s">
        <v>410</v>
      </c>
      <c r="C24">
        <f>C20-C23</f>
        <v>5</v>
      </c>
      <c r="D24">
        <f>D20-D23</f>
        <v>3</v>
      </c>
      <c r="E24">
        <f>E20-E23</f>
        <v>4.5</v>
      </c>
    </row>
    <row r="25" spans="1:6" x14ac:dyDescent="0.25">
      <c r="B25" t="s">
        <v>29</v>
      </c>
      <c r="C25">
        <v>53.9</v>
      </c>
      <c r="D25">
        <v>50.26</v>
      </c>
      <c r="E25">
        <v>50</v>
      </c>
    </row>
    <row r="26" spans="1:6" x14ac:dyDescent="0.25">
      <c r="B26" t="s">
        <v>30</v>
      </c>
      <c r="C26">
        <v>52.7</v>
      </c>
      <c r="D26">
        <v>41.4</v>
      </c>
      <c r="E26">
        <v>40</v>
      </c>
    </row>
    <row r="27" spans="1:6" x14ac:dyDescent="0.25">
      <c r="B27" t="s">
        <v>31</v>
      </c>
      <c r="C27" t="s">
        <v>32</v>
      </c>
      <c r="D27" s="18" t="s">
        <v>467</v>
      </c>
      <c r="E27" s="18" t="s">
        <v>482</v>
      </c>
      <c r="F27" s="18"/>
    </row>
    <row r="28" spans="1:6" x14ac:dyDescent="0.25">
      <c r="B28" s="18" t="s">
        <v>468</v>
      </c>
      <c r="C28">
        <v>108</v>
      </c>
      <c r="D28">
        <v>197</v>
      </c>
      <c r="E28">
        <v>0</v>
      </c>
      <c r="F28" s="18"/>
    </row>
    <row r="29" spans="1:6" x14ac:dyDescent="0.25">
      <c r="B29" t="s">
        <v>33</v>
      </c>
      <c r="C29" s="4">
        <f>C17/C19</f>
        <v>7.4272445820433441</v>
      </c>
      <c r="D29" s="4">
        <f>D17/D19</f>
        <v>7.9672897196261676</v>
      </c>
      <c r="E29" s="4">
        <f>E17/E19</f>
        <v>9.2870370370370363</v>
      </c>
      <c r="F29" s="4"/>
    </row>
    <row r="30" spans="1:6" x14ac:dyDescent="0.25">
      <c r="B30" s="29" t="s">
        <v>293</v>
      </c>
      <c r="C30" s="29">
        <v>1</v>
      </c>
      <c r="D30" s="29">
        <v>3</v>
      </c>
      <c r="E30" s="29">
        <v>1.5</v>
      </c>
      <c r="F30" s="33"/>
    </row>
    <row r="31" spans="1:6" x14ac:dyDescent="0.25">
      <c r="B31" s="29" t="s">
        <v>294</v>
      </c>
      <c r="C31" s="29">
        <v>2.5</v>
      </c>
      <c r="D31" s="29">
        <v>2.5</v>
      </c>
      <c r="E31" s="29">
        <v>2</v>
      </c>
      <c r="F31" s="33"/>
    </row>
    <row r="32" spans="1:6" x14ac:dyDescent="0.25">
      <c r="B32" s="29" t="s">
        <v>295</v>
      </c>
      <c r="C32" s="29">
        <v>2.5</v>
      </c>
      <c r="D32" s="29">
        <v>2.5</v>
      </c>
      <c r="E32" s="29">
        <v>2</v>
      </c>
      <c r="F32" s="33"/>
    </row>
    <row r="33" spans="2:6" x14ac:dyDescent="0.25">
      <c r="B33" s="29" t="s">
        <v>296</v>
      </c>
      <c r="C33" s="29">
        <v>2.5</v>
      </c>
      <c r="D33" s="29">
        <v>2.5</v>
      </c>
      <c r="E33" s="29">
        <v>2</v>
      </c>
      <c r="F33" s="33"/>
    </row>
    <row r="34" spans="2:6" x14ac:dyDescent="0.25">
      <c r="B34" s="29" t="s">
        <v>297</v>
      </c>
      <c r="C34" s="29">
        <v>65</v>
      </c>
      <c r="D34" s="29">
        <v>56.6</v>
      </c>
      <c r="E34" s="29">
        <v>78</v>
      </c>
      <c r="F34" s="33"/>
    </row>
    <row r="35" spans="2:6" x14ac:dyDescent="0.25">
      <c r="B35" s="29" t="s">
        <v>298</v>
      </c>
      <c r="C35" s="29">
        <v>32.299999999999997</v>
      </c>
      <c r="D35" s="29">
        <v>32.1</v>
      </c>
      <c r="E35" s="29">
        <v>27</v>
      </c>
      <c r="F35" s="33"/>
    </row>
    <row r="36" spans="2:6" x14ac:dyDescent="0.25">
      <c r="B36" s="29" t="s">
        <v>299</v>
      </c>
      <c r="C36" s="29">
        <v>32.6</v>
      </c>
      <c r="D36" s="29">
        <v>30.5</v>
      </c>
      <c r="E36" s="29">
        <v>27</v>
      </c>
      <c r="F36" s="33"/>
    </row>
    <row r="37" spans="2:6" x14ac:dyDescent="0.25">
      <c r="B37" s="29" t="s">
        <v>300</v>
      </c>
      <c r="C37" s="29">
        <v>32.6</v>
      </c>
      <c r="D37" s="29">
        <v>32</v>
      </c>
      <c r="E37" s="29">
        <v>27</v>
      </c>
      <c r="F37" s="33"/>
    </row>
    <row r="38" spans="2:6" x14ac:dyDescent="0.25">
      <c r="B38" s="29" t="s">
        <v>301</v>
      </c>
      <c r="C38" s="29">
        <v>30.4</v>
      </c>
      <c r="D38" s="29">
        <v>31.5</v>
      </c>
      <c r="E38" s="29">
        <v>27</v>
      </c>
      <c r="F38" s="33"/>
    </row>
    <row r="39" spans="2:6" x14ac:dyDescent="0.25">
      <c r="B39" s="29" t="s">
        <v>320</v>
      </c>
      <c r="C39" s="29">
        <v>24.8</v>
      </c>
      <c r="D39" s="29">
        <v>28</v>
      </c>
      <c r="E39" s="29">
        <v>21</v>
      </c>
      <c r="F39" s="33"/>
    </row>
    <row r="40" spans="2:6" x14ac:dyDescent="0.25">
      <c r="B40" s="29" t="s">
        <v>302</v>
      </c>
      <c r="C40" s="29">
        <v>0</v>
      </c>
      <c r="D40" s="29">
        <v>0</v>
      </c>
      <c r="E40" s="29">
        <v>0</v>
      </c>
      <c r="F40" s="33"/>
    </row>
    <row r="41" spans="2:6" x14ac:dyDescent="0.25">
      <c r="B41" s="30" t="s">
        <v>303</v>
      </c>
      <c r="C41" s="30">
        <f>((C35+C36)/2*C30+(C36+C37)/2*C31+(C37+C38)/2*C32+(C38+C39)/2*C33)*C34*(1+C40)</f>
        <v>17010.5</v>
      </c>
      <c r="D41" s="30">
        <f>((D35+D36)/2*D30+(D36+D37)/2*D31+(D37+D38)/2*D32+(D38+D39)/2*D33)*D34*(1+D40)</f>
        <v>18438.864999999998</v>
      </c>
      <c r="E41" s="30">
        <f>((E35+E36)/2*E30+(E36+E37)/2*E31+(E37+E38)/2*E32+(E38+E39)/2*E33)*E34*(1+E40)</f>
        <v>15327</v>
      </c>
      <c r="F41" s="30"/>
    </row>
    <row r="42" spans="2:6" x14ac:dyDescent="0.25">
      <c r="B42" s="29" t="s">
        <v>304</v>
      </c>
      <c r="C42" s="29">
        <v>100</v>
      </c>
      <c r="D42" s="29">
        <v>108.8</v>
      </c>
      <c r="E42" s="29">
        <v>100.75</v>
      </c>
      <c r="F42" s="33"/>
    </row>
    <row r="43" spans="2:6" x14ac:dyDescent="0.25">
      <c r="B43" s="29" t="s">
        <v>305</v>
      </c>
      <c r="C43" s="29">
        <v>100.8</v>
      </c>
      <c r="D43" s="29">
        <v>107.8</v>
      </c>
      <c r="E43" s="29">
        <v>100</v>
      </c>
      <c r="F43" s="33"/>
    </row>
    <row r="44" spans="2:6" s="26" customFormat="1" x14ac:dyDescent="0.25">
      <c r="B44" s="29" t="s">
        <v>306</v>
      </c>
      <c r="C44" s="29">
        <v>102.25</v>
      </c>
      <c r="D44" s="29">
        <v>107</v>
      </c>
      <c r="E44" s="29">
        <v>100</v>
      </c>
      <c r="F44" s="33"/>
    </row>
    <row r="45" spans="2:6" s="32" customFormat="1" x14ac:dyDescent="0.25">
      <c r="B45" s="31" t="s">
        <v>321</v>
      </c>
      <c r="C45" s="31">
        <v>18.34</v>
      </c>
      <c r="D45" s="31">
        <v>20.95</v>
      </c>
      <c r="E45" s="31">
        <v>16.5</v>
      </c>
      <c r="F45" s="34"/>
    </row>
    <row r="46" spans="2:6" x14ac:dyDescent="0.25">
      <c r="B46" s="29" t="s">
        <v>322</v>
      </c>
      <c r="C46" s="29">
        <v>17.54</v>
      </c>
      <c r="D46" s="31">
        <v>18.59</v>
      </c>
      <c r="E46" s="31">
        <v>15</v>
      </c>
      <c r="F46" s="34"/>
    </row>
    <row r="47" spans="2:6" x14ac:dyDescent="0.25">
      <c r="B47" s="29" t="s">
        <v>323</v>
      </c>
      <c r="C47" s="29">
        <v>16.54</v>
      </c>
      <c r="D47" s="31">
        <v>18.09</v>
      </c>
      <c r="E47" s="31">
        <v>13.5</v>
      </c>
      <c r="F47" s="34"/>
    </row>
    <row r="48" spans="2:6" s="4" customFormat="1" x14ac:dyDescent="0.25">
      <c r="B48" s="29" t="s">
        <v>307</v>
      </c>
      <c r="C48" s="29">
        <v>15.54</v>
      </c>
      <c r="D48" s="31">
        <v>16.29</v>
      </c>
      <c r="E48" s="31">
        <v>12</v>
      </c>
      <c r="F48" s="34"/>
    </row>
    <row r="49" spans="2:6" s="4" customFormat="1" x14ac:dyDescent="0.25">
      <c r="B49" s="29" t="s">
        <v>308</v>
      </c>
      <c r="C49" s="29">
        <v>12.44</v>
      </c>
      <c r="D49" s="31">
        <v>13.09</v>
      </c>
      <c r="E49" s="31">
        <v>10.5</v>
      </c>
      <c r="F49" s="34"/>
    </row>
    <row r="50" spans="2:6" s="11" customFormat="1" x14ac:dyDescent="0.25">
      <c r="B50" s="31" t="s">
        <v>302</v>
      </c>
      <c r="C50" s="31">
        <v>0</v>
      </c>
      <c r="D50" s="31">
        <v>0</v>
      </c>
      <c r="E50" s="31">
        <v>0</v>
      </c>
      <c r="F50" s="34"/>
    </row>
    <row r="51" spans="2:6" x14ac:dyDescent="0.25">
      <c r="B51" s="30" t="s">
        <v>309</v>
      </c>
      <c r="C51" s="30">
        <f>((((C35+C36)/2+(C45+C46)/2)*C42/4+(C45+C46)/2*C42/4)*C30+(((C36+C37)/2+(C46+C47)/2)*C43/4+(C46+C47)/2*C43/4)*C31+(((C37+C38)/2+(C47+C48)/2)*C43/4+(C47+C48)/2*C43/4)*C32+(((C38+C39)/2+(C48+C49)/2)*C44/4+(C48+C49)/2*C44/4)*C33)*(1+C50)</f>
        <v>13466.539375</v>
      </c>
      <c r="D51" s="30">
        <f>((((D35+D36)/2+(D45+D46)/2)*D42/4+(D45+D46)/2*D42/4)*D30+(((D36+D37)/2+(D46+D47)/2)*D43/4+(D46+D47)/2*D43/4)*D31+(((D37+D38)/2+(D47+D48)/2)*D43/4+(D47+D48)/2*D43/4)*D32+(((D38+D39)/2+(D48+D49)/2)*D44/4+(D48+D49)/2*D44/4)*D33)*(1+D50)</f>
        <v>18767.15525</v>
      </c>
      <c r="E51" s="30">
        <f>((((E35+E36)/2+(E45+E46)/2)*E42/4+(E45+E46)/2*E42/4)*E30+(((E36+E37)/2+(E46+E47)/2)*E43/4+(E46+E47)/2*E43/4)*E31+(((E37+E38)/2+(E47+E48)/2)*E43/4+(E47+E48)/2*E43/4)*E32+(((E38+E39)/2+(E48+E49)/2)*E44/4+(E48+E49)/2*E44/4)*E33)*(1+E50)</f>
        <v>9935.203125</v>
      </c>
      <c r="F51" s="30"/>
    </row>
    <row r="52" spans="2:6" x14ac:dyDescent="0.25">
      <c r="B52" s="29" t="s">
        <v>325</v>
      </c>
      <c r="C52" s="29">
        <v>74.900000000000006</v>
      </c>
      <c r="D52" s="31">
        <v>90.35</v>
      </c>
      <c r="E52" s="31">
        <v>72</v>
      </c>
      <c r="F52" s="34"/>
    </row>
    <row r="53" spans="2:6" x14ac:dyDescent="0.25">
      <c r="B53" s="29" t="s">
        <v>310</v>
      </c>
      <c r="C53" s="29">
        <v>74.8</v>
      </c>
      <c r="D53" s="31">
        <v>87.85</v>
      </c>
      <c r="E53" s="31">
        <v>72</v>
      </c>
      <c r="F53" s="34"/>
    </row>
    <row r="54" spans="2:6" x14ac:dyDescent="0.25">
      <c r="B54" s="29" t="s">
        <v>326</v>
      </c>
      <c r="C54" s="29">
        <v>49.16</v>
      </c>
      <c r="D54" s="31">
        <v>57.6</v>
      </c>
      <c r="E54" s="31">
        <v>61.5</v>
      </c>
      <c r="F54" s="34"/>
    </row>
    <row r="55" spans="2:6" x14ac:dyDescent="0.25">
      <c r="B55" s="29" t="s">
        <v>311</v>
      </c>
      <c r="C55" s="29">
        <v>44.12</v>
      </c>
      <c r="D55" s="31">
        <v>52.76</v>
      </c>
      <c r="E55" s="31">
        <v>51</v>
      </c>
      <c r="F55" s="34"/>
    </row>
    <row r="56" spans="2:6" x14ac:dyDescent="0.25">
      <c r="B56" s="29" t="s">
        <v>312</v>
      </c>
      <c r="C56" s="29">
        <v>40.08</v>
      </c>
      <c r="D56" s="31">
        <v>49.25</v>
      </c>
      <c r="E56" s="31">
        <v>48</v>
      </c>
      <c r="F56" s="34"/>
    </row>
    <row r="57" spans="2:6" x14ac:dyDescent="0.25">
      <c r="B57" s="29" t="s">
        <v>313</v>
      </c>
      <c r="C57" s="29">
        <v>23.9</v>
      </c>
      <c r="D57" s="31">
        <v>24.8</v>
      </c>
      <c r="E57" s="31">
        <v>16.5</v>
      </c>
      <c r="F57" s="34"/>
    </row>
    <row r="58" spans="2:6" x14ac:dyDescent="0.25">
      <c r="B58" s="29" t="s">
        <v>327</v>
      </c>
      <c r="C58" s="29">
        <v>23.4</v>
      </c>
      <c r="D58" s="31">
        <v>23.8</v>
      </c>
      <c r="E58" s="31">
        <v>15</v>
      </c>
      <c r="F58" s="34"/>
    </row>
    <row r="59" spans="2:6" x14ac:dyDescent="0.25">
      <c r="B59" s="29" t="s">
        <v>314</v>
      </c>
      <c r="C59" s="29">
        <v>16.399999999999999</v>
      </c>
      <c r="D59" s="31">
        <v>17.8</v>
      </c>
      <c r="E59" s="31">
        <v>12</v>
      </c>
      <c r="F59" s="34"/>
    </row>
    <row r="60" spans="2:6" x14ac:dyDescent="0.25">
      <c r="B60" s="29" t="s">
        <v>328</v>
      </c>
      <c r="C60" s="29">
        <v>14.2</v>
      </c>
      <c r="D60" s="31">
        <v>15.8</v>
      </c>
      <c r="E60" s="31">
        <v>10.5</v>
      </c>
      <c r="F60" s="34"/>
    </row>
    <row r="61" spans="2:6" x14ac:dyDescent="0.25">
      <c r="B61" s="29" t="s">
        <v>315</v>
      </c>
      <c r="C61" s="29">
        <v>9.4</v>
      </c>
      <c r="D61" s="31">
        <v>12.3</v>
      </c>
      <c r="E61" s="31">
        <v>9</v>
      </c>
      <c r="F61" s="34"/>
    </row>
    <row r="62" spans="2:6" x14ac:dyDescent="0.25">
      <c r="B62" s="29" t="s">
        <v>324</v>
      </c>
      <c r="C62" s="29">
        <v>0</v>
      </c>
      <c r="D62" s="31">
        <v>0</v>
      </c>
      <c r="E62" s="31">
        <v>0</v>
      </c>
      <c r="F62" s="34"/>
    </row>
    <row r="63" spans="2:6" x14ac:dyDescent="0.25">
      <c r="B63" s="30" t="s">
        <v>316</v>
      </c>
      <c r="C63" s="30">
        <f>((((C35+C36)/2+(C57+C58)/2)*(C52+C53)/4+(C57+C58)/2*(C52+C53)/4)*C30+((C36+C37)/2+((C58+C59)/2)*(C53+C54)/4+(C58+C59)/2*(C53+C54)/4)*C31+(((C37+C38)/2+(C59+C60)/2)*(C54+C55)/4+(C59+C60)/2*(C54+C55)/4)*C32+(((C38+C39)/2+(C60+C61)/2)*(C55+C56)/4+(C60+C61)/2*(C55+C56)/4)*C33)*(1+C62)</f>
        <v>12464.47875</v>
      </c>
      <c r="D63" s="30">
        <f>((((D35+D36)/2+(D57+D58)/2)*(D52+D53)/4+(D57+D58)/2*(D52+D53)/4)*D30+((D36+D37)/2+((D58+D59)/2)*(D53+D54)/4+(D58+D59)/2*(D53+D54)/4)*D31+(((D37+D38)/2+(D59+D60)/2)*(D54+D55)/4+(D59+D60)/2*(D54+D55)/4)*D32+(((D38+D39)/2+(D60+D61)/2)*(D55+D56)/4+(D60+D61)/2*(D55+D56)/4)*D33)*(1+D62)</f>
        <v>22734.275312499998</v>
      </c>
      <c r="E63" s="30">
        <f>((((E35+E36)/2+(E57+E58)/2)*(E52+E53)/4+(E57+E58)/2*(E52+E53)/4)*E30+((E36+E37)/2+((E58+E59)/2)*(E53+E54)/4+(E58+E59)/2*(E53+E54)/4)*E31+(((E37+E38)/2+(E59+E60)/2)*(E54+E55)/4+(E59+E60)/2*(E54+E55)/4)*E32+(((E38+E39)/2+(E60+E61)/2)*(E55+E56)/4+(E60+E61)/2*(E55+E56)/4)*E33)*(1+E62)</f>
        <v>9952.875</v>
      </c>
      <c r="F63" s="30"/>
    </row>
    <row r="64" spans="2:6" x14ac:dyDescent="0.25">
      <c r="B64" s="29" t="s">
        <v>317</v>
      </c>
      <c r="C64" s="29">
        <v>80.5</v>
      </c>
      <c r="D64" s="29">
        <v>130</v>
      </c>
      <c r="E64" s="31">
        <v>0</v>
      </c>
      <c r="F64" s="29"/>
    </row>
    <row r="65" spans="2:6" x14ac:dyDescent="0.25">
      <c r="B65" s="29" t="s">
        <v>318</v>
      </c>
      <c r="C65" s="29">
        <v>23.2</v>
      </c>
      <c r="D65" s="29">
        <v>23</v>
      </c>
      <c r="E65" s="31">
        <v>0</v>
      </c>
      <c r="F65" s="29"/>
    </row>
    <row r="66" spans="2:6" x14ac:dyDescent="0.25">
      <c r="B66" s="29" t="s">
        <v>329</v>
      </c>
      <c r="C66" s="29">
        <v>0.4</v>
      </c>
      <c r="D66" s="29">
        <v>1.4</v>
      </c>
      <c r="E66" s="31">
        <v>0</v>
      </c>
      <c r="F66" s="29"/>
    </row>
    <row r="67" spans="2:6" x14ac:dyDescent="0.25">
      <c r="B67" s="30" t="s">
        <v>319</v>
      </c>
      <c r="C67" s="30">
        <f>C64*C65*C66</f>
        <v>747.04</v>
      </c>
      <c r="D67" s="30">
        <f>D64*D65*D66</f>
        <v>4186</v>
      </c>
      <c r="E67" s="30">
        <f>E64*E65*E66</f>
        <v>0</v>
      </c>
      <c r="F67" s="30"/>
    </row>
    <row r="68" spans="2:6" x14ac:dyDescent="0.25">
      <c r="B68" t="s">
        <v>34</v>
      </c>
      <c r="C68" t="s">
        <v>35</v>
      </c>
      <c r="F68" s="18"/>
    </row>
    <row r="69" spans="2:6" x14ac:dyDescent="0.25">
      <c r="B69" s="40" t="s">
        <v>400</v>
      </c>
      <c r="C69" s="29">
        <v>4</v>
      </c>
      <c r="D69" s="29">
        <v>6</v>
      </c>
      <c r="E69" s="31">
        <v>8</v>
      </c>
      <c r="F69" s="18"/>
    </row>
    <row r="70" spans="2:6" x14ac:dyDescent="0.25">
      <c r="B70" s="40" t="s">
        <v>401</v>
      </c>
      <c r="C70" s="29">
        <v>2</v>
      </c>
      <c r="D70" s="29">
        <v>2</v>
      </c>
      <c r="E70" s="29">
        <v>2</v>
      </c>
      <c r="F70" s="18"/>
    </row>
    <row r="71" spans="2:6" x14ac:dyDescent="0.25">
      <c r="B71" t="s">
        <v>37</v>
      </c>
      <c r="C71">
        <f>C69*C70</f>
        <v>8</v>
      </c>
      <c r="D71">
        <f>D69*D70</f>
        <v>12</v>
      </c>
      <c r="E71">
        <f>E69*E70</f>
        <v>16</v>
      </c>
    </row>
    <row r="72" spans="2:6" x14ac:dyDescent="0.25">
      <c r="B72" s="18" t="s">
        <v>399</v>
      </c>
      <c r="C72">
        <f>C20-C269-C241-C257*0.3</f>
        <v>9</v>
      </c>
      <c r="D72">
        <f>D20-D269-D241-D257*0.3</f>
        <v>13.5</v>
      </c>
      <c r="E72">
        <f>E20-E269-E241-E257*0.3</f>
        <v>8.9</v>
      </c>
    </row>
    <row r="73" spans="2:6" s="4" customFormat="1" x14ac:dyDescent="0.25">
      <c r="B73" s="28" t="s">
        <v>405</v>
      </c>
      <c r="C73" s="4">
        <f>C37-C259/500</f>
        <v>29.0732</v>
      </c>
      <c r="D73" s="4">
        <f t="shared" ref="D73:E73" si="4">D37-D259/500</f>
        <v>22.771799999999999</v>
      </c>
      <c r="E73" s="4">
        <f t="shared" si="4"/>
        <v>22.7714</v>
      </c>
    </row>
    <row r="74" spans="2:6" x14ac:dyDescent="0.25">
      <c r="B74" s="18" t="s">
        <v>402</v>
      </c>
      <c r="C74">
        <v>10.5</v>
      </c>
      <c r="D74">
        <v>12</v>
      </c>
      <c r="E74">
        <v>11.8</v>
      </c>
    </row>
    <row r="75" spans="2:6" x14ac:dyDescent="0.25">
      <c r="B75" s="18" t="s">
        <v>403</v>
      </c>
      <c r="C75">
        <v>12.5</v>
      </c>
      <c r="D75">
        <v>10.5</v>
      </c>
      <c r="E75">
        <v>10.5</v>
      </c>
    </row>
    <row r="76" spans="2:6" x14ac:dyDescent="0.25">
      <c r="B76" s="18" t="s">
        <v>404</v>
      </c>
      <c r="C76">
        <v>8.5</v>
      </c>
      <c r="D76">
        <v>12.5</v>
      </c>
      <c r="E76">
        <v>8</v>
      </c>
    </row>
    <row r="77" spans="2:6" s="1" customFormat="1" x14ac:dyDescent="0.25">
      <c r="B77" s="1" t="s">
        <v>38</v>
      </c>
      <c r="C77" s="1">
        <f>C74*C75*C76/2.5</f>
        <v>446.25</v>
      </c>
      <c r="D77" s="1">
        <f>D74*D75*D76/2.5</f>
        <v>630</v>
      </c>
      <c r="E77" s="1">
        <f>E74*E75*E76/2.5</f>
        <v>396.48</v>
      </c>
    </row>
    <row r="78" spans="2:6" x14ac:dyDescent="0.25">
      <c r="B78" s="18" t="s">
        <v>407</v>
      </c>
      <c r="C78">
        <f>C74*C69</f>
        <v>42</v>
      </c>
      <c r="D78">
        <f>D74*D69</f>
        <v>72</v>
      </c>
      <c r="E78">
        <f>E74*E69</f>
        <v>94.4</v>
      </c>
    </row>
    <row r="79" spans="2:6" s="24" customFormat="1" x14ac:dyDescent="0.25">
      <c r="B79" s="23" t="s">
        <v>406</v>
      </c>
      <c r="C79" s="24">
        <f>C273-C78</f>
        <v>4.7000000000000028</v>
      </c>
      <c r="D79" s="24">
        <f>D273-D78</f>
        <v>4</v>
      </c>
      <c r="E79" s="24">
        <f>E273-E78</f>
        <v>3.4000000000000057</v>
      </c>
    </row>
    <row r="80" spans="2:6" x14ac:dyDescent="0.25">
      <c r="B80" s="18" t="s">
        <v>347</v>
      </c>
      <c r="C80">
        <v>22.5</v>
      </c>
      <c r="D80">
        <v>25</v>
      </c>
      <c r="E80">
        <v>26.5</v>
      </c>
    </row>
    <row r="81" spans="2:6" s="1" customFormat="1" x14ac:dyDescent="0.25">
      <c r="B81" s="1" t="s">
        <v>36</v>
      </c>
      <c r="C81" s="1">
        <f>C77*C80</f>
        <v>10040.625</v>
      </c>
      <c r="D81" s="1">
        <f>D77*D80</f>
        <v>15750</v>
      </c>
      <c r="E81" s="1">
        <f>E77*E80</f>
        <v>10506.720000000001</v>
      </c>
    </row>
    <row r="82" spans="2:6" s="1" customFormat="1" x14ac:dyDescent="0.25">
      <c r="B82" s="1" t="s">
        <v>39</v>
      </c>
      <c r="C82" s="1">
        <f>C81*C71</f>
        <v>80325</v>
      </c>
      <c r="D82" s="1">
        <f>D81*D71</f>
        <v>189000</v>
      </c>
      <c r="E82" s="1">
        <f>E81*E71</f>
        <v>168107.52000000002</v>
      </c>
    </row>
    <row r="83" spans="2:6" s="1" customFormat="1" x14ac:dyDescent="0.25">
      <c r="B83" s="19" t="s">
        <v>473</v>
      </c>
      <c r="C83" s="1">
        <f>C77*C80/600</f>
        <v>16.734375</v>
      </c>
      <c r="D83" s="1">
        <f>D77*D80/600</f>
        <v>26.25</v>
      </c>
      <c r="E83" s="1">
        <f>E77*E80/600</f>
        <v>17.511200000000002</v>
      </c>
    </row>
    <row r="84" spans="2:6" s="48" customFormat="1" x14ac:dyDescent="0.25">
      <c r="B84" s="52" t="s">
        <v>474</v>
      </c>
      <c r="C84" s="48">
        <f>C83*C71</f>
        <v>133.875</v>
      </c>
      <c r="D84" s="48">
        <f>D83*D71</f>
        <v>315</v>
      </c>
      <c r="E84" s="48">
        <f>E83*E71</f>
        <v>280.17920000000004</v>
      </c>
    </row>
    <row r="85" spans="2:6" x14ac:dyDescent="0.25">
      <c r="B85" s="18" t="s">
        <v>491</v>
      </c>
      <c r="C85">
        <v>1</v>
      </c>
      <c r="D85">
        <v>1</v>
      </c>
      <c r="E85">
        <v>0.96</v>
      </c>
    </row>
    <row r="86" spans="2:6" x14ac:dyDescent="0.25">
      <c r="B86" s="19" t="s">
        <v>488</v>
      </c>
      <c r="C86">
        <f>(C35+C36)/2*C30+(C36+C37)/2*C31+(C37+C38)/2*C32+(C38+C39)/2*C33+(C39+C65)/2*C66</f>
        <v>271.3</v>
      </c>
      <c r="D86">
        <f t="shared" ref="D86:E86" si="5">(D35+D36)/2*D30+(D36+D37)/2*D31+(D37+D38)/2*D32+(D38+D39)/2*D33+(D39+D65)/2*D66</f>
        <v>361.47499999999997</v>
      </c>
      <c r="E86">
        <f t="shared" si="5"/>
        <v>196.5</v>
      </c>
    </row>
    <row r="87" spans="2:6" s="54" customFormat="1" x14ac:dyDescent="0.25">
      <c r="B87" s="54" t="s">
        <v>352</v>
      </c>
      <c r="C87" s="54">
        <f>C14/(C17*C19*C23)</f>
        <v>0.56950789211602859</v>
      </c>
      <c r="D87" s="54">
        <f>D14/(D17*D19*D23)</f>
        <v>0.65639991509709006</v>
      </c>
      <c r="E87" s="54">
        <f>E14/(E17*E19*E23)</f>
        <v>0.69352590377017098</v>
      </c>
    </row>
    <row r="88" spans="2:6" s="54" customFormat="1" x14ac:dyDescent="0.25">
      <c r="B88" s="55" t="s">
        <v>487</v>
      </c>
      <c r="C88" s="54">
        <f>C14/(C17*C86)</f>
        <v>0.67125521069643379</v>
      </c>
      <c r="D88" s="54">
        <f t="shared" ref="D88:E88" si="6">D14/(D17*D86)</f>
        <v>0.69365295959039341</v>
      </c>
      <c r="E88" s="54">
        <f t="shared" si="6"/>
        <v>0.71470226724406927</v>
      </c>
    </row>
    <row r="89" spans="2:6" s="54" customFormat="1" x14ac:dyDescent="0.25">
      <c r="B89" s="55" t="s">
        <v>492</v>
      </c>
      <c r="C89" s="54">
        <f>C85^2*C87*C88/C29^0.8*10</f>
        <v>0.76864399086674851</v>
      </c>
      <c r="D89" s="54">
        <f t="shared" ref="D89:E89" si="7">D85^2*D87*D88/D29^0.8*10</f>
        <v>0.86549043343691501</v>
      </c>
      <c r="E89" s="54">
        <f t="shared" si="7"/>
        <v>0.76811911141422828</v>
      </c>
    </row>
    <row r="90" spans="2:6" s="1" customFormat="1" x14ac:dyDescent="0.25">
      <c r="B90" s="18" t="s">
        <v>489</v>
      </c>
      <c r="C90" s="4">
        <f>C89*C13^0.5*0.55</f>
        <v>82.390033100849536</v>
      </c>
      <c r="D90" s="4">
        <f t="shared" ref="D90:E90" si="8">D89*D13^0.5*0.55</f>
        <v>104.17613109001253</v>
      </c>
      <c r="E90" s="4">
        <f t="shared" si="8"/>
        <v>72.995721577588981</v>
      </c>
      <c r="F90" s="4"/>
    </row>
    <row r="91" spans="2:6" s="1" customFormat="1" x14ac:dyDescent="0.25">
      <c r="B91" s="18" t="s">
        <v>490</v>
      </c>
      <c r="C91" s="4">
        <f>C89*C14^0.5*0.6</f>
        <v>96.396295099781739</v>
      </c>
      <c r="D91" s="4">
        <f t="shared" ref="D91:E91" si="9">D89*D14^0.5*0.6</f>
        <v>131.50176999589104</v>
      </c>
      <c r="E91" s="4">
        <f t="shared" si="9"/>
        <v>86.485669025571141</v>
      </c>
      <c r="F91" s="4"/>
    </row>
    <row r="92" spans="2:6" x14ac:dyDescent="0.25">
      <c r="B92" s="18" t="s">
        <v>247</v>
      </c>
      <c r="C92" s="4">
        <f>(1.05-C87^2)*C23</f>
        <v>7.1840415320938247</v>
      </c>
      <c r="D92" s="4">
        <f>(1.05-D87^2)*D23</f>
        <v>7.3677559023803427</v>
      </c>
      <c r="E92" s="4">
        <f>(1.05-E87^2)*E23</f>
        <v>4.2676636559982573</v>
      </c>
      <c r="F92" s="4"/>
    </row>
    <row r="93" spans="2:6" x14ac:dyDescent="0.25">
      <c r="B93" s="18" t="s">
        <v>252</v>
      </c>
      <c r="C93" s="4" t="e">
        <f>C251*C268*0.00785*(C92/2)+C324/C16*C92*2+C322/C16*C92/C20*2+(C332+C333)/C16*(C92-C257/3)/2+(#REF!/1000*((C292*3.14*C115/20)*C105+#REF!/1000*C71*C77/100*3)*7.85)*C92/3/C16</f>
        <v>#REF!</v>
      </c>
      <c r="D93" s="4" t="e">
        <f>D251*D268*0.00785*(D92/2)+D324/D16*D92*2+D322/D16*D92/D20*2+(D332+D333)/D16*(D92-D257/3)/2+(#REF!/1000*((D292*3.14*D115/20)*D105+#REF!/1000*D71*D77/100*3)*7.85)*D92/3/D16</f>
        <v>#REF!</v>
      </c>
      <c r="E93" s="4" t="e">
        <f>E251*E268*0.00785*(E92/2)+E324/E16*E92*2+E322/E16*E92/E20*2+(E332+E333)/E16*(E92-E257/3)/2+(#REF!/1000*((E292*3.14*E115/20)*E105+#REF!/1000*E71*E77/100*3)*7.85)*E92/3/E16</f>
        <v>#REF!</v>
      </c>
      <c r="F93" s="4"/>
    </row>
    <row r="94" spans="2:6" x14ac:dyDescent="0.25">
      <c r="B94" s="18" t="s">
        <v>253</v>
      </c>
      <c r="C94" s="4">
        <f>(C323+C231*180*0.00785)/C16*(C26-C92)/3+C298*(C330+C20-C92)/C16+C331/C16*(C20-C92)/10+(C235+C234)*C19/C16*0.00785*(C21-C92)</f>
        <v>161.03606562104116</v>
      </c>
      <c r="D94" s="4">
        <f>(D323+D231*180*0.00785)/D16*(D26-D92)/3+D298*(D330+D20-D92)/D16+D331/D16*(D20-D92)/10+(D235+D234)*D19/D16*0.00785*(D21-D92)</f>
        <v>127.24441846944659</v>
      </c>
      <c r="E94" s="4">
        <f>(E323+E231*180*0.00785)/E16*(E26-E92)/3+E298*(E330+E20-E92)/E16+E331/E16*(E20-E92)/10+(E235+E234)*E19/E16*0.00785*(E21-E92)</f>
        <v>59.983805516292342</v>
      </c>
      <c r="F94" s="4"/>
    </row>
    <row r="95" spans="2:6" x14ac:dyDescent="0.25">
      <c r="B95" s="18" t="s">
        <v>254</v>
      </c>
      <c r="C95" s="4" t="e">
        <f>(C93-C94)/C13*50000</f>
        <v>#REF!</v>
      </c>
      <c r="D95" s="4" t="e">
        <f>(D93-D94)/D13*50000</f>
        <v>#REF!</v>
      </c>
      <c r="E95" s="4" t="e">
        <f>(E93-E94)/E13*50000</f>
        <v>#REF!</v>
      </c>
      <c r="F95" s="4"/>
    </row>
    <row r="96" spans="2:6" x14ac:dyDescent="0.25">
      <c r="B96" s="18" t="s">
        <v>255</v>
      </c>
      <c r="C96" s="4" t="e">
        <f t="shared" ref="C96:D96" si="10">C95/2</f>
        <v>#REF!</v>
      </c>
      <c r="D96" s="4" t="e">
        <f t="shared" si="10"/>
        <v>#REF!</v>
      </c>
      <c r="E96" s="4" t="e">
        <f t="shared" ref="E96" si="11">E95/2</f>
        <v>#REF!</v>
      </c>
      <c r="F96" s="4"/>
    </row>
    <row r="97" spans="1:7" x14ac:dyDescent="0.25">
      <c r="B97" s="25" t="s">
        <v>256</v>
      </c>
      <c r="C97" s="26" t="e">
        <f>C95*C19/200</f>
        <v>#REF!</v>
      </c>
      <c r="D97" s="26" t="e">
        <f>D95*D19/200</f>
        <v>#REF!</v>
      </c>
      <c r="E97" s="26" t="e">
        <f>E95*E19/200</f>
        <v>#REF!</v>
      </c>
      <c r="F97" s="26"/>
    </row>
    <row r="98" spans="1:7" x14ac:dyDescent="0.25">
      <c r="A98" s="18" t="s">
        <v>412</v>
      </c>
      <c r="B98" s="6" t="s">
        <v>40</v>
      </c>
      <c r="C98" s="6">
        <f>(C82/C90)^0.36*2.15</f>
        <v>25.613553844356275</v>
      </c>
      <c r="D98" s="6">
        <f>(D82/D90)^0.36*2.15</f>
        <v>32.03082676356302</v>
      </c>
      <c r="E98" s="6">
        <f>(E82/E90)^0.36*2.15</f>
        <v>34.903000591139801</v>
      </c>
      <c r="F98" s="6"/>
    </row>
    <row r="99" spans="1:7" x14ac:dyDescent="0.25">
      <c r="A99" s="18"/>
      <c r="B99" s="56" t="s">
        <v>493</v>
      </c>
      <c r="C99" s="6">
        <f>(C82/C91)^0.36*2.15</f>
        <v>24.205998437946082</v>
      </c>
      <c r="D99" s="6">
        <f t="shared" ref="D99:E99" si="12">(D82/D91)^0.36*2.15</f>
        <v>29.454342596921258</v>
      </c>
      <c r="E99" s="6">
        <f t="shared" si="12"/>
        <v>32.835976563680589</v>
      </c>
      <c r="F99" s="6"/>
    </row>
    <row r="100" spans="1:7" x14ac:dyDescent="0.25">
      <c r="B100" t="s">
        <v>41</v>
      </c>
      <c r="C100" s="1">
        <f>C342</f>
        <v>5456.93648963739</v>
      </c>
      <c r="D100" s="1">
        <f>D342</f>
        <v>15881.698229348065</v>
      </c>
      <c r="E100" s="1">
        <f>E342</f>
        <v>5010.4070033247463</v>
      </c>
      <c r="F100" s="1"/>
    </row>
    <row r="101" spans="1:7" x14ac:dyDescent="0.25">
      <c r="B101" t="s">
        <v>42</v>
      </c>
      <c r="C101" s="1">
        <f>(16/2.15)^(1/0.36)*(C13^0.5*C85/C29^0.3)</f>
        <v>28175.783206403714</v>
      </c>
      <c r="D101" s="1">
        <f>(16/2.15)^(1/0.36)*(D13^0.5*D85/D29^0.3)</f>
        <v>30980.444408981763</v>
      </c>
      <c r="E101" s="1">
        <f>(16/2.15)^(1/0.36)*(E13^0.5*E85/E29^0.3)</f>
        <v>22425.998492903123</v>
      </c>
      <c r="F101" s="1"/>
    </row>
    <row r="102" spans="1:7" x14ac:dyDescent="0.25">
      <c r="B102" s="4" t="s">
        <v>43</v>
      </c>
      <c r="C102" s="4">
        <v>0.88</v>
      </c>
      <c r="D102" s="4">
        <v>0.65</v>
      </c>
      <c r="E102" s="4">
        <v>0.9</v>
      </c>
      <c r="F102" s="4"/>
    </row>
    <row r="103" spans="1:7" x14ac:dyDescent="0.25">
      <c r="B103" s="28" t="s">
        <v>351</v>
      </c>
      <c r="C103" s="4">
        <f>C100/C104</f>
        <v>0.64035870923644811</v>
      </c>
      <c r="D103" s="4">
        <f t="shared" ref="D103:E103" si="13">D100/D104</f>
        <v>0.95324444335328506</v>
      </c>
      <c r="E103" s="4">
        <f t="shared" si="13"/>
        <v>0.49835552206451383</v>
      </c>
      <c r="F103" s="4"/>
    </row>
    <row r="104" spans="1:7" x14ac:dyDescent="0.25">
      <c r="B104" s="7" t="s">
        <v>44</v>
      </c>
      <c r="C104" s="13">
        <f t="shared" ref="C104:E104" si="14">C100/C101*50000*C102</f>
        <v>8521.6870028115027</v>
      </c>
      <c r="D104" s="13">
        <f t="shared" si="14"/>
        <v>16660.677478989612</v>
      </c>
      <c r="E104" s="13">
        <f t="shared" si="14"/>
        <v>10053.880776856591</v>
      </c>
      <c r="F104" s="13"/>
    </row>
    <row r="105" spans="1:7" x14ac:dyDescent="0.25">
      <c r="A105" s="18" t="s">
        <v>413</v>
      </c>
      <c r="B105" t="s">
        <v>45</v>
      </c>
      <c r="C105">
        <v>6</v>
      </c>
      <c r="D105">
        <v>3</v>
      </c>
      <c r="E105">
        <v>3</v>
      </c>
    </row>
    <row r="106" spans="1:7" x14ac:dyDescent="0.25">
      <c r="A106" s="18" t="s">
        <v>414</v>
      </c>
      <c r="B106" s="18" t="s">
        <v>382</v>
      </c>
      <c r="C106">
        <v>3</v>
      </c>
      <c r="D106">
        <v>2</v>
      </c>
      <c r="E106">
        <v>2</v>
      </c>
    </row>
    <row r="107" spans="1:7" x14ac:dyDescent="0.25">
      <c r="B107" t="s">
        <v>46</v>
      </c>
      <c r="C107" t="s">
        <v>47</v>
      </c>
    </row>
    <row r="108" spans="1:7" x14ac:dyDescent="0.25">
      <c r="A108" s="18" t="s">
        <v>415</v>
      </c>
      <c r="B108" t="s">
        <v>48</v>
      </c>
      <c r="C108">
        <v>2</v>
      </c>
      <c r="D108">
        <v>3</v>
      </c>
      <c r="E108">
        <v>3</v>
      </c>
      <c r="F108" s="3"/>
    </row>
    <row r="109" spans="1:7" x14ac:dyDescent="0.25">
      <c r="B109" t="s">
        <v>49</v>
      </c>
      <c r="C109">
        <f>C105*C108</f>
        <v>12</v>
      </c>
      <c r="D109">
        <f>D105*D108</f>
        <v>9</v>
      </c>
      <c r="E109">
        <f>E105*E108</f>
        <v>9</v>
      </c>
    </row>
    <row r="110" spans="1:7" x14ac:dyDescent="0.25">
      <c r="A110" s="18" t="s">
        <v>420</v>
      </c>
      <c r="B110" t="s">
        <v>50</v>
      </c>
      <c r="C110">
        <v>356</v>
      </c>
      <c r="D110">
        <v>406</v>
      </c>
      <c r="E110">
        <v>305</v>
      </c>
      <c r="F110">
        <v>406</v>
      </c>
      <c r="G110">
        <v>203</v>
      </c>
    </row>
    <row r="111" spans="1:7" x14ac:dyDescent="0.25">
      <c r="B111" t="s">
        <v>51</v>
      </c>
      <c r="C111">
        <v>50</v>
      </c>
      <c r="D111">
        <v>50</v>
      </c>
      <c r="E111">
        <v>55</v>
      </c>
      <c r="F111">
        <v>50</v>
      </c>
      <c r="G111">
        <v>50</v>
      </c>
    </row>
    <row r="112" spans="1:7" x14ac:dyDescent="0.25">
      <c r="B112" t="s">
        <v>52</v>
      </c>
      <c r="C112" s="17" t="s">
        <v>53</v>
      </c>
      <c r="D112" s="17"/>
      <c r="E112" s="17"/>
      <c r="F112" s="20"/>
    </row>
    <row r="113" spans="1:7" x14ac:dyDescent="0.25">
      <c r="A113" s="18" t="s">
        <v>418</v>
      </c>
      <c r="B113" t="s">
        <v>54</v>
      </c>
      <c r="C113">
        <v>30</v>
      </c>
      <c r="D113">
        <v>40</v>
      </c>
      <c r="E113">
        <v>40</v>
      </c>
      <c r="F113">
        <v>40</v>
      </c>
      <c r="G113">
        <v>40</v>
      </c>
    </row>
    <row r="114" spans="1:7" s="24" customFormat="1" x14ac:dyDescent="0.25">
      <c r="A114" s="23" t="s">
        <v>419</v>
      </c>
      <c r="B114" t="s">
        <v>55</v>
      </c>
      <c r="C114">
        <v>2</v>
      </c>
      <c r="D114">
        <v>2</v>
      </c>
      <c r="E114">
        <v>3</v>
      </c>
      <c r="F114"/>
    </row>
    <row r="115" spans="1:7" s="24" customFormat="1" x14ac:dyDescent="0.25">
      <c r="B115" t="s">
        <v>56</v>
      </c>
      <c r="C115">
        <v>120</v>
      </c>
      <c r="D115">
        <v>120</v>
      </c>
      <c r="E115">
        <v>150</v>
      </c>
      <c r="F115"/>
    </row>
    <row r="116" spans="1:7" s="24" customFormat="1" x14ac:dyDescent="0.25">
      <c r="B116" t="s">
        <v>57</v>
      </c>
      <c r="C116" t="s">
        <v>58</v>
      </c>
      <c r="D116"/>
      <c r="E116"/>
      <c r="F116" s="18"/>
    </row>
    <row r="117" spans="1:7" s="24" customFormat="1" x14ac:dyDescent="0.25">
      <c r="A117" s="23" t="s">
        <v>416</v>
      </c>
      <c r="B117" t="s">
        <v>59</v>
      </c>
      <c r="C117">
        <v>693</v>
      </c>
      <c r="D117">
        <v>1135</v>
      </c>
      <c r="E117">
        <v>500</v>
      </c>
      <c r="F117">
        <v>1225</v>
      </c>
      <c r="G117" s="24">
        <v>126</v>
      </c>
    </row>
    <row r="118" spans="1:7" s="38" customFormat="1" x14ac:dyDescent="0.25">
      <c r="A118" s="39"/>
      <c r="B118" s="39" t="s">
        <v>469</v>
      </c>
      <c r="C118" s="38">
        <f>C117/0.454</f>
        <v>1526.431718061674</v>
      </c>
      <c r="D118" s="38">
        <f t="shared" ref="D118:G118" si="15">D117/0.454</f>
        <v>2500</v>
      </c>
      <c r="E118" s="38">
        <f t="shared" si="15"/>
        <v>1101.3215859030836</v>
      </c>
      <c r="F118" s="38">
        <f t="shared" si="15"/>
        <v>2698.2378854625549</v>
      </c>
      <c r="G118" s="38">
        <f t="shared" si="15"/>
        <v>277.53303964757708</v>
      </c>
    </row>
    <row r="119" spans="1:7" s="24" customFormat="1" x14ac:dyDescent="0.25">
      <c r="B119" t="s">
        <v>60</v>
      </c>
      <c r="C119">
        <v>170</v>
      </c>
      <c r="D119">
        <v>300</v>
      </c>
      <c r="E119">
        <v>125</v>
      </c>
      <c r="F119">
        <v>300</v>
      </c>
      <c r="G119" s="24">
        <v>33.799999999999997</v>
      </c>
    </row>
    <row r="120" spans="1:7" s="24" customFormat="1" x14ac:dyDescent="0.25">
      <c r="B120" s="29" t="s">
        <v>332</v>
      </c>
      <c r="C120" s="29">
        <v>1</v>
      </c>
      <c r="D120" s="29">
        <v>1</v>
      </c>
      <c r="E120" s="29">
        <v>1</v>
      </c>
      <c r="F120" s="29">
        <v>1</v>
      </c>
      <c r="G120" s="24">
        <v>1</v>
      </c>
    </row>
    <row r="121" spans="1:7" s="24" customFormat="1" x14ac:dyDescent="0.25">
      <c r="B121" s="29" t="s">
        <v>330</v>
      </c>
      <c r="C121" s="29">
        <v>1</v>
      </c>
      <c r="D121" s="29">
        <v>1</v>
      </c>
      <c r="E121" s="29">
        <v>1</v>
      </c>
      <c r="F121" s="29">
        <v>1</v>
      </c>
      <c r="G121" s="24">
        <v>1</v>
      </c>
    </row>
    <row r="122" spans="1:7" x14ac:dyDescent="0.25">
      <c r="B122" s="29" t="s">
        <v>331</v>
      </c>
      <c r="C122" s="29"/>
      <c r="D122" s="29"/>
      <c r="E122" s="29"/>
      <c r="F122" s="29"/>
    </row>
    <row r="123" spans="1:7" s="4" customFormat="1" x14ac:dyDescent="0.25">
      <c r="B123" s="42" t="s">
        <v>471</v>
      </c>
      <c r="C123" s="43">
        <f>C121*C110^3*C111^1.2*C113/10000000000</f>
        <v>14.799098263789801</v>
      </c>
      <c r="D123" s="43">
        <f t="shared" ref="D123:E123" si="16">D121*D110^3*D111^1.2*D113/10000000000</f>
        <v>29.268609965251507</v>
      </c>
      <c r="E123" s="43">
        <f t="shared" si="16"/>
        <v>13.912165542971088</v>
      </c>
      <c r="F123" s="43"/>
    </row>
    <row r="124" spans="1:7" s="49" customFormat="1" x14ac:dyDescent="0.25">
      <c r="B124" s="50" t="s">
        <v>472</v>
      </c>
      <c r="C124" s="51">
        <f>C123*C109</f>
        <v>177.58917916547762</v>
      </c>
      <c r="D124" s="51">
        <f>D123*D109</f>
        <v>263.41748968726358</v>
      </c>
      <c r="E124" s="51">
        <f>E123*E109</f>
        <v>125.20948988673979</v>
      </c>
      <c r="F124" s="51"/>
    </row>
    <row r="125" spans="1:7" x14ac:dyDescent="0.25">
      <c r="A125" s="18" t="s">
        <v>461</v>
      </c>
      <c r="B125" t="s">
        <v>61</v>
      </c>
      <c r="C125" s="1">
        <f>C119/C117*(C111/C120)^0.8*136</f>
        <v>762.83497839536699</v>
      </c>
      <c r="D125" s="1">
        <f>D119/D117*(D111/D120)^0.8*136</f>
        <v>821.94035764911541</v>
      </c>
      <c r="E125" s="1">
        <f>E119/E117*(E111/E120)^0.8*136</f>
        <v>839.01373146737467</v>
      </c>
      <c r="F125" s="1">
        <f>F119/F117*(F111/F120)^0.8*136</f>
        <v>761.55290280142515</v>
      </c>
      <c r="G125" s="1">
        <f>G119/G117*(G111/G120)^0.8*136</f>
        <v>834.18248519822782</v>
      </c>
    </row>
    <row r="126" spans="1:7" x14ac:dyDescent="0.25">
      <c r="B126" t="s">
        <v>62</v>
      </c>
      <c r="C126" s="1">
        <v>1650</v>
      </c>
      <c r="D126" s="1">
        <v>2000</v>
      </c>
      <c r="E126" s="1">
        <v>1500</v>
      </c>
      <c r="F126" s="1">
        <v>2050</v>
      </c>
      <c r="G126">
        <v>950</v>
      </c>
    </row>
    <row r="127" spans="1:7" x14ac:dyDescent="0.25">
      <c r="B127" t="s">
        <v>63</v>
      </c>
      <c r="C127" s="1">
        <f>((C110/2)^2*PI()*(C126*2/3))/1000000</f>
        <v>109.4920437999729</v>
      </c>
      <c r="D127" s="1">
        <f>((D110/2)^2*PI()*(D126*2/3))/1000000</f>
        <v>172.61585554904238</v>
      </c>
      <c r="E127" s="1">
        <f>((E110/2)^2*PI()*(E126*2/3))/1000000</f>
        <v>73.061664150047633</v>
      </c>
      <c r="F127" s="1">
        <f>((F110/2)^2*PI()*(F126*2/3))/1000000</f>
        <v>176.93125193776845</v>
      </c>
      <c r="G127" s="1">
        <f>((G110/2)^2*PI()*(G126*2/3))/1000000</f>
        <v>20.498132846448783</v>
      </c>
    </row>
    <row r="128" spans="1:7" x14ac:dyDescent="0.25">
      <c r="B128" t="s">
        <v>64</v>
      </c>
      <c r="C128" s="4">
        <f>C117/C127</f>
        <v>6.3292270008770402</v>
      </c>
      <c r="D128" s="4">
        <f>D117/D127</f>
        <v>6.5752940040756105</v>
      </c>
      <c r="E128" s="4">
        <f>E117/E127</f>
        <v>6.8435342366845608</v>
      </c>
      <c r="F128" s="4">
        <f>F117/F127</f>
        <v>6.9235931277469618</v>
      </c>
      <c r="G128" s="4">
        <f>G117/G127</f>
        <v>6.1469013272508368</v>
      </c>
    </row>
    <row r="129" spans="1:7" x14ac:dyDescent="0.25">
      <c r="B129" t="s">
        <v>65</v>
      </c>
      <c r="C129" s="4">
        <f>C117/(C110/2)^3*PI()*10000</f>
        <v>3.8603181645890219</v>
      </c>
      <c r="D129" s="4">
        <f>D117/(D110/2)^3*PI()*10000</f>
        <v>4.2624335396440793</v>
      </c>
      <c r="E129" s="4">
        <f>E117/(E110/2)^3*PI()*10000</f>
        <v>4.4290475817303374</v>
      </c>
      <c r="F129" s="4">
        <f>F117/(F110/2)^3*PI()*10000</f>
        <v>4.6004238643735658</v>
      </c>
      <c r="G129" s="4">
        <f>G117/(G110/2)^3*PI()*10000</f>
        <v>3.7854916369702485</v>
      </c>
    </row>
    <row r="130" spans="1:7" x14ac:dyDescent="0.25">
      <c r="A130" s="18" t="s">
        <v>417</v>
      </c>
      <c r="B130" t="s">
        <v>66</v>
      </c>
      <c r="C130" s="4">
        <f>(C110^2+C126*4)/10850</f>
        <v>12.289032258064516</v>
      </c>
      <c r="D130" s="4">
        <f>(D110^2+D126*4)/10850</f>
        <v>15.929585253456221</v>
      </c>
      <c r="E130" s="4">
        <f>(E110^2+E126*4)/10850</f>
        <v>9.1267281105990783</v>
      </c>
      <c r="F130" s="4">
        <f>(F110^2+F126*4)/10850</f>
        <v>15.948018433179724</v>
      </c>
      <c r="G130" s="4">
        <f>(G110^2+G126*4)/10850</f>
        <v>4.1482949308755757</v>
      </c>
    </row>
    <row r="131" spans="1:7" x14ac:dyDescent="0.25">
      <c r="B131" t="s">
        <v>67</v>
      </c>
      <c r="C131" s="1">
        <f>C117*C125*C125/2000</f>
        <v>201634.31127728889</v>
      </c>
      <c r="D131" s="1">
        <f>D117*D125*D125/2000</f>
        <v>383395.02749461192</v>
      </c>
      <c r="E131" s="1">
        <f>E117*E125*E125/2000</f>
        <v>175986.01039770199</v>
      </c>
      <c r="F131" s="1">
        <f>F117*F125*F125/2000</f>
        <v>355227.22955623211</v>
      </c>
      <c r="G131" s="1">
        <f>G117*G125*G125/2000</f>
        <v>43839.206372523964</v>
      </c>
    </row>
    <row r="132" spans="1:7" x14ac:dyDescent="0.25">
      <c r="B132" s="8" t="s">
        <v>68</v>
      </c>
      <c r="C132" s="9">
        <f>C135^2*SIN(C113*2*PI()/180)/9.8</f>
        <v>31168.174456938366</v>
      </c>
      <c r="D132" s="9">
        <f>D135^2*SIN(D113*2*PI()/180)/9.8</f>
        <v>47597.847494279427</v>
      </c>
      <c r="E132" s="9">
        <f>E135^2*SIN(E113*2*PI()/180)/9.8</f>
        <v>44453.820326520065</v>
      </c>
      <c r="F132" s="9">
        <f>F135^2*SIN(F113*2*PI()/180)/9.8</f>
        <v>40842.428448728489</v>
      </c>
      <c r="G132" s="9">
        <f>G135^2*SIN(G113*2*PI()/180)/9.8</f>
        <v>27226.535654569165</v>
      </c>
    </row>
    <row r="133" spans="1:7" x14ac:dyDescent="0.25">
      <c r="B133" s="19" t="s">
        <v>333</v>
      </c>
      <c r="C133" s="1">
        <f>C125-(C130*0^0.82/C117*4.6)</f>
        <v>762.83497839536699</v>
      </c>
      <c r="D133" s="1">
        <f>D125-(D130*0^0.82/D117*4.6)</f>
        <v>821.94035764911541</v>
      </c>
      <c r="E133" s="1">
        <f>E125-(E130*0^0.82/E117*4.6)</f>
        <v>839.01373146737467</v>
      </c>
      <c r="F133" s="1">
        <f>F125-(F130*0^0.82/F117*4.6)</f>
        <v>761.55290280142515</v>
      </c>
      <c r="G133" s="1">
        <f>G125-(G130*0^0.82/G117*4.6)</f>
        <v>834.18248519822782</v>
      </c>
    </row>
    <row r="134" spans="1:7" x14ac:dyDescent="0.25">
      <c r="B134" s="18" t="s">
        <v>334</v>
      </c>
      <c r="C134" s="1">
        <f>C125-(C130*5000^0.82/C117*5)</f>
        <v>667.1354367972682</v>
      </c>
      <c r="D134" s="1">
        <f>D125-(D130*5000^0.82/D117*5)</f>
        <v>746.1988379088973</v>
      </c>
      <c r="E134" s="1">
        <f>E125-(E130*5000^0.82/E117*5)</f>
        <v>740.50595494822073</v>
      </c>
      <c r="F134" s="1">
        <f>F125-(F130*5000^0.82/F117*5)</f>
        <v>691.29485987155977</v>
      </c>
      <c r="G134" s="1">
        <f>G125-(G130*5000^0.82/G117*5)</f>
        <v>656.50823613691989</v>
      </c>
    </row>
    <row r="135" spans="1:7" x14ac:dyDescent="0.25">
      <c r="B135" s="18" t="s">
        <v>335</v>
      </c>
      <c r="C135" s="1">
        <f>C125-(C130*10000^0.82/C117*5)</f>
        <v>593.88643417079891</v>
      </c>
      <c r="D135" s="1">
        <f>D125-(D130*10000^0.82/D117*5)</f>
        <v>688.22582481251857</v>
      </c>
      <c r="E135" s="1">
        <f>E125-(E130*10000^0.82/E117*5)</f>
        <v>665.10751248459985</v>
      </c>
      <c r="F135" s="1">
        <f>F125-(F130*10000^0.82/F117*5)</f>
        <v>637.51893278600573</v>
      </c>
      <c r="G135" s="1">
        <f>G125-(G130*10000^0.82/G117*5)</f>
        <v>520.51530117801042</v>
      </c>
    </row>
    <row r="136" spans="1:7" x14ac:dyDescent="0.25">
      <c r="B136" s="18" t="s">
        <v>336</v>
      </c>
      <c r="C136" s="1">
        <f>C125-(C130*15000^0.82/C117*5)</f>
        <v>527.24908254665115</v>
      </c>
      <c r="D136" s="1">
        <f>D125-(D130*15000^0.82/D117*5)</f>
        <v>635.48561102264921</v>
      </c>
      <c r="E136" s="1">
        <f>E125-(E130*15000^0.82/E117*5)</f>
        <v>596.51473521522337</v>
      </c>
      <c r="F136" s="1">
        <f>F125-(F130*15000^0.82/F117*5)</f>
        <v>588.59696479159561</v>
      </c>
      <c r="G136" s="1">
        <f>G125-(G130*15000^0.82/G117*5)</f>
        <v>396.79745246586998</v>
      </c>
    </row>
    <row r="137" spans="1:7" x14ac:dyDescent="0.25">
      <c r="B137" s="18" t="s">
        <v>337</v>
      </c>
      <c r="C137" s="1">
        <f>C125-(C130*20000^0.82/C117*5)</f>
        <v>464.5722059834265</v>
      </c>
      <c r="D137" s="1">
        <f>D125-(D130*20000^0.82/D117*5)</f>
        <v>585.87992008417746</v>
      </c>
      <c r="E137" s="1">
        <f>E125-(E130*20000^0.82/E117*5)</f>
        <v>531.99865032802677</v>
      </c>
      <c r="F137" s="1">
        <f>F125-(F130*20000^0.82/F117*5)</f>
        <v>542.5825888525535</v>
      </c>
      <c r="G137" s="1">
        <f>G125-(G130*20000^0.82/G117*5)</f>
        <v>280.43255885283224</v>
      </c>
    </row>
    <row r="138" spans="1:7" x14ac:dyDescent="0.25">
      <c r="B138" s="18" t="s">
        <v>338</v>
      </c>
      <c r="C138" s="1">
        <f>C125-(C130*25000^0.82/C117*5)</f>
        <v>404.68472640293714</v>
      </c>
      <c r="D138" s="1">
        <f>D125-(D130*25000^0.82/D117*5)</f>
        <v>538.4819008137523</v>
      </c>
      <c r="E138" s="1">
        <f>E125-(E130*25000^0.82/E117*5)</f>
        <v>470.3538152922921</v>
      </c>
      <c r="F138" s="1">
        <f>F125-(F130*25000^0.82/F117*5)</f>
        <v>498.6160552509856</v>
      </c>
      <c r="G138" s="1">
        <f>G125-(G130*25000^0.82/G117*5)</f>
        <v>169.24641537762432</v>
      </c>
    </row>
    <row r="139" spans="1:7" x14ac:dyDescent="0.25">
      <c r="B139" s="18" t="s">
        <v>339</v>
      </c>
      <c r="C139" s="1">
        <f>C125-(C130*30000^0.82/C117*5)</f>
        <v>346.93022609640792</v>
      </c>
      <c r="D139" s="1">
        <f>D125-(D130*30000^0.82/D117*5)</f>
        <v>492.77203060952218</v>
      </c>
      <c r="E139" s="1">
        <f>E125-(E130*30000^0.82/E117*5)</f>
        <v>410.9045502888743</v>
      </c>
      <c r="F139" s="1">
        <f>F125-(F130*30000^0.82/F117*5)</f>
        <v>456.2154533863507</v>
      </c>
      <c r="G139" s="1">
        <f>G125-(G130*30000^0.82/G117*5)</f>
        <v>62.020327347151124</v>
      </c>
    </row>
    <row r="140" spans="1:7" s="3" customFormat="1" x14ac:dyDescent="0.25">
      <c r="B140" s="18" t="s">
        <v>340</v>
      </c>
      <c r="C140" s="1">
        <f>C125-(C130*35000^0.82/C117*5)</f>
        <v>290.8912161582025</v>
      </c>
      <c r="D140" s="1">
        <f>D125-(D130*35000^0.82/D117*5)</f>
        <v>448.41988736434291</v>
      </c>
      <c r="E140" s="1">
        <f>E125-(E130*35000^0.82/E117*5)</f>
        <v>353.22111549740555</v>
      </c>
      <c r="F140" s="1">
        <f>F125-(F130*35000^0.82/F117*5)</f>
        <v>415.07428279934538</v>
      </c>
      <c r="G140" s="1">
        <f>G125-(G130*35000^0.82/G117*5)</f>
        <v>-42.020808510364986</v>
      </c>
    </row>
    <row r="141" spans="1:7" x14ac:dyDescent="0.25">
      <c r="B141" s="18" t="s">
        <v>341</v>
      </c>
      <c r="C141" s="1">
        <f>C125-(C130*40000^0.82/C117*5)</f>
        <v>236.28009261541251</v>
      </c>
      <c r="D141" s="1">
        <f>D125-(D130*40000^0.82/D117*5)</f>
        <v>405.1978465606083</v>
      </c>
      <c r="E141" s="1">
        <f>E125-(E130*40000^0.82/E117*5)</f>
        <v>297.00746741113358</v>
      </c>
      <c r="F141" s="1">
        <f>F125-(F130*40000^0.82/F117*5)</f>
        <v>374.98139835867676</v>
      </c>
      <c r="G141" s="1">
        <f>G125-(G130*40000^0.82/G117*5)</f>
        <v>-143.41095316339124</v>
      </c>
    </row>
    <row r="142" spans="1:7" x14ac:dyDescent="0.25">
      <c r="B142" t="s">
        <v>69</v>
      </c>
      <c r="C142">
        <v>1.25</v>
      </c>
      <c r="D142">
        <v>1</v>
      </c>
      <c r="E142">
        <v>1.4</v>
      </c>
    </row>
    <row r="143" spans="1:7" x14ac:dyDescent="0.25">
      <c r="A143" s="18" t="s">
        <v>462</v>
      </c>
      <c r="B143" t="s">
        <v>70</v>
      </c>
      <c r="C143">
        <v>1</v>
      </c>
      <c r="D143">
        <v>1</v>
      </c>
      <c r="E143">
        <v>1</v>
      </c>
      <c r="F143">
        <v>1</v>
      </c>
      <c r="G143">
        <v>1</v>
      </c>
    </row>
    <row r="144" spans="1:7" x14ac:dyDescent="0.25">
      <c r="B144" t="s">
        <v>71</v>
      </c>
      <c r="C144" s="1">
        <f>C133^1.45*C117/22400*C142*C143</f>
        <v>584.68182955506495</v>
      </c>
      <c r="D144" s="1">
        <f>D133^1.45*D117/22400*D142*D143</f>
        <v>853.62334847543104</v>
      </c>
      <c r="E144" s="1">
        <f>E133^1.45*E117/22400*E142*E143</f>
        <v>542.39436782205269</v>
      </c>
      <c r="F144" s="1"/>
    </row>
    <row r="145" spans="2:6" x14ac:dyDescent="0.25">
      <c r="B145" t="s">
        <v>72</v>
      </c>
      <c r="C145" s="1">
        <f>C134^1.45*C117/22400*C142*C143</f>
        <v>481.39939912726135</v>
      </c>
      <c r="D145" s="1">
        <f>D134^1.45*D117/22400*D142*D143</f>
        <v>741.97106174344469</v>
      </c>
      <c r="E145" s="1">
        <f>E134^1.45*E117/22400*E142*E143</f>
        <v>452.54985172538011</v>
      </c>
      <c r="F145" s="1"/>
    </row>
    <row r="146" spans="2:6" x14ac:dyDescent="0.25">
      <c r="B146" t="s">
        <v>73</v>
      </c>
      <c r="C146" s="1">
        <f>C135^1.45*C117/22400*C142*C143</f>
        <v>406.69156648604212</v>
      </c>
      <c r="D146" s="1">
        <f>D135^1.45*D117/22400*D142*D143</f>
        <v>659.86902470132031</v>
      </c>
      <c r="E146" s="1">
        <f>E135^1.45*E117/22400*E142*E143</f>
        <v>387.29617597389006</v>
      </c>
      <c r="F146" s="1"/>
    </row>
    <row r="147" spans="2:6" x14ac:dyDescent="0.25">
      <c r="B147" t="s">
        <v>74</v>
      </c>
      <c r="C147" s="1">
        <f>C136^1.45*C117/22400*C142*C143</f>
        <v>342.23008623438545</v>
      </c>
      <c r="D147" s="1">
        <f>D136^1.45*D117/22400*D142*D143</f>
        <v>587.82917809327978</v>
      </c>
      <c r="E147" s="1">
        <f>E136^1.45*E117/22400*E142*E143</f>
        <v>330.75066581390161</v>
      </c>
      <c r="F147" s="1"/>
    </row>
    <row r="148" spans="2:6" x14ac:dyDescent="0.25">
      <c r="B148" t="s">
        <v>75</v>
      </c>
      <c r="C148" s="1">
        <f>C137^1.45*C117/22400*C142*C143</f>
        <v>284.85405330043073</v>
      </c>
      <c r="D148" s="1">
        <f>D137^1.45*D117/22400*D142*D143</f>
        <v>522.4807967022391</v>
      </c>
      <c r="E148" s="1">
        <f>E137^1.45*E117/22400*E142*E143</f>
        <v>280.16913605063854</v>
      </c>
      <c r="F148" s="1"/>
    </row>
    <row r="149" spans="2:6" x14ac:dyDescent="0.25">
      <c r="B149" t="s">
        <v>76</v>
      </c>
      <c r="C149" s="1">
        <f>C138^1.45*C117/22400*C142*C143</f>
        <v>233.19251640460297</v>
      </c>
      <c r="D149" s="1">
        <f>D138^1.45*D117/22400*D142*D143</f>
        <v>462.32348325533934</v>
      </c>
      <c r="E149" s="1">
        <f>E138^1.45*E117/22400*E142*E143</f>
        <v>234.35045166639981</v>
      </c>
      <c r="F149" s="1"/>
    </row>
    <row r="150" spans="2:6" x14ac:dyDescent="0.25">
      <c r="B150" t="s">
        <v>77</v>
      </c>
      <c r="C150" s="1">
        <f>C139^1.45*C117/22400*C142*C143</f>
        <v>186.52898673240645</v>
      </c>
      <c r="D150" s="1">
        <f>D139^1.45*D117/22400*D142*D143</f>
        <v>406.52252567035077</v>
      </c>
      <c r="E150" s="1">
        <f>E139^1.45*E117/22400*E142*E143</f>
        <v>192.65238951368983</v>
      </c>
      <c r="F150" s="1"/>
    </row>
    <row r="151" spans="2:6" x14ac:dyDescent="0.25">
      <c r="B151" t="s">
        <v>78</v>
      </c>
      <c r="C151" s="1">
        <f>C140^1.45*C117/22400*C142*C143</f>
        <v>144.47896104491346</v>
      </c>
      <c r="D151" s="1">
        <f>D140^1.45*D117/22400*D142*D143</f>
        <v>354.56094629715972</v>
      </c>
      <c r="E151" s="1">
        <f>E140^1.45*E117/22400*E142*E143</f>
        <v>154.70974681243183</v>
      </c>
      <c r="F151" s="1"/>
    </row>
    <row r="152" spans="2:6" x14ac:dyDescent="0.25">
      <c r="B152" t="s">
        <v>80</v>
      </c>
      <c r="C152" s="1">
        <f>C141^1.45*C117/22400*C142*C143</f>
        <v>106.87215612632015</v>
      </c>
      <c r="D152" s="1">
        <f>D141^1.45*D117/22400*D142*D143</f>
        <v>306.10130399009654</v>
      </c>
      <c r="E152" s="1">
        <f>E141^1.45*E117/22400*E142*E143</f>
        <v>120.3268939152956</v>
      </c>
      <c r="F152" s="1"/>
    </row>
    <row r="153" spans="2:6" x14ac:dyDescent="0.25">
      <c r="B153" s="18" t="s">
        <v>257</v>
      </c>
      <c r="C153" s="1">
        <v>0</v>
      </c>
      <c r="D153" s="1">
        <v>0</v>
      </c>
      <c r="E153" s="1">
        <v>0</v>
      </c>
      <c r="F153" s="1"/>
    </row>
    <row r="154" spans="2:6" x14ac:dyDescent="0.25">
      <c r="B154" s="23" t="s">
        <v>258</v>
      </c>
      <c r="C154" s="24">
        <f t="shared" ref="C154:D154" si="17">ASIN(5000/((C133+C134)^2)*9.8*PI())*45</f>
        <v>3.3909035482625871</v>
      </c>
      <c r="D154" s="24">
        <f t="shared" si="17"/>
        <v>2.8188587030984755</v>
      </c>
      <c r="E154" s="24">
        <f t="shared" ref="E154" si="18">ASIN(5000/((E133+E134)^2)*9.8*PI())*45</f>
        <v>2.7783332165989054</v>
      </c>
      <c r="F154" s="24"/>
    </row>
    <row r="155" spans="2:6" x14ac:dyDescent="0.25">
      <c r="B155" s="23" t="s">
        <v>259</v>
      </c>
      <c r="C155" s="24">
        <f t="shared" ref="C155:D155" si="19">ASIN(10000/((C133+C135)^2)*9.8*PI())*45</f>
        <v>7.5622875842093684</v>
      </c>
      <c r="D155" s="24">
        <f t="shared" si="19"/>
        <v>6.0935027311943077</v>
      </c>
      <c r="E155" s="24">
        <f t="shared" ref="E155" si="20">ASIN(10000/((E133+E135)^2)*9.8*PI())*45</f>
        <v>6.1428855953235351</v>
      </c>
      <c r="F155" s="24"/>
    </row>
    <row r="156" spans="2:6" x14ac:dyDescent="0.25">
      <c r="B156" s="23" t="s">
        <v>260</v>
      </c>
      <c r="C156" s="24">
        <f t="shared" ref="C156:D156" si="21">ASIN(15000/((C133+C136)^2)*9.8*PI())*45</f>
        <v>12.652640076948668</v>
      </c>
      <c r="D156" s="24">
        <f t="shared" si="21"/>
        <v>9.8625484813406246</v>
      </c>
      <c r="E156" s="24">
        <f t="shared" ref="E156" si="22">ASIN(15000/((E133+E136)^2)*9.8*PI())*45</f>
        <v>10.170916543589163</v>
      </c>
      <c r="F156" s="24"/>
    </row>
    <row r="157" spans="2:6" x14ac:dyDescent="0.25">
      <c r="B157" s="23" t="s">
        <v>261</v>
      </c>
      <c r="C157" s="24">
        <f t="shared" ref="C157:D157" si="23">ASIN(20000/((C133+C137)^2)*9.8*PI())*45</f>
        <v>18.947427501762931</v>
      </c>
      <c r="D157" s="24">
        <f t="shared" si="23"/>
        <v>14.215815332004583</v>
      </c>
      <c r="E157" s="24">
        <f t="shared" ref="E157" si="24">ASIN(20000/((E133+E137)^2)*9.8*PI())*45</f>
        <v>15.018558683017083</v>
      </c>
      <c r="F157" s="24"/>
    </row>
    <row r="158" spans="2:6" x14ac:dyDescent="0.25">
      <c r="B158" s="23" t="s">
        <v>262</v>
      </c>
      <c r="C158" s="24">
        <f t="shared" ref="C158:D158" si="25">ASIN(25000/((C133+C138)^2)*9.8*PI())*45</f>
        <v>27.000990710067477</v>
      </c>
      <c r="D158" s="24">
        <f t="shared" si="25"/>
        <v>19.300982746168788</v>
      </c>
      <c r="E158" s="24">
        <f t="shared" ref="E158" si="26">ASIN(25000/((E133+E138)^2)*9.8*PI())*45</f>
        <v>20.951277235582747</v>
      </c>
      <c r="F158" s="24"/>
    </row>
    <row r="159" spans="2:6" x14ac:dyDescent="0.25">
      <c r="B159" s="23" t="s">
        <v>263</v>
      </c>
      <c r="C159" s="24">
        <v>0</v>
      </c>
      <c r="D159" s="24">
        <v>0</v>
      </c>
      <c r="E159" s="24">
        <v>0</v>
      </c>
      <c r="F159" s="24"/>
    </row>
    <row r="160" spans="2:6" x14ac:dyDescent="0.25">
      <c r="B160" s="23" t="s">
        <v>264</v>
      </c>
      <c r="C160" s="24">
        <v>0</v>
      </c>
      <c r="D160" s="24">
        <v>0</v>
      </c>
      <c r="E160" s="24">
        <v>0</v>
      </c>
      <c r="F160" s="24"/>
    </row>
    <row r="161" spans="2:6" x14ac:dyDescent="0.25">
      <c r="B161" s="23" t="s">
        <v>265</v>
      </c>
      <c r="C161" s="24">
        <v>0</v>
      </c>
      <c r="D161" s="24">
        <v>0</v>
      </c>
      <c r="E161" s="24">
        <v>0</v>
      </c>
      <c r="F161" s="24"/>
    </row>
    <row r="162" spans="2:6" x14ac:dyDescent="0.25">
      <c r="B162" t="s">
        <v>81</v>
      </c>
      <c r="C162" s="19" t="s">
        <v>266</v>
      </c>
      <c r="D162" s="19" t="s">
        <v>266</v>
      </c>
      <c r="E162" s="19" t="s">
        <v>480</v>
      </c>
      <c r="F162" s="19"/>
    </row>
    <row r="163" spans="2:6" x14ac:dyDescent="0.25">
      <c r="B163" t="s">
        <v>82</v>
      </c>
      <c r="C163" s="1">
        <f>C154^1.02*C117/C130/12</f>
        <v>16.328866930680395</v>
      </c>
      <c r="D163" s="1">
        <f>D154^1.02*D117/D130/12</f>
        <v>17.087751523575754</v>
      </c>
      <c r="E163" s="1">
        <f>E154^1.02*E117/E130/12</f>
        <v>12.945942186120369</v>
      </c>
      <c r="F163" s="1"/>
    </row>
    <row r="164" spans="2:6" x14ac:dyDescent="0.25">
      <c r="B164" t="s">
        <v>83</v>
      </c>
      <c r="C164" s="1">
        <f>C155^1.02*C117/C130/12</f>
        <v>37.005012660212003</v>
      </c>
      <c r="D164" s="1">
        <f>D155^1.02*D117/D130/12</f>
        <v>37.512369471288828</v>
      </c>
      <c r="E164" s="1">
        <f>E155^1.02*E117/E130/12</f>
        <v>29.081280212372842</v>
      </c>
      <c r="F164" s="1"/>
    </row>
    <row r="165" spans="2:6" x14ac:dyDescent="0.25">
      <c r="B165" t="s">
        <v>84</v>
      </c>
      <c r="C165" s="1">
        <f>C156^1.02*C117/C130/12</f>
        <v>62.554575529184611</v>
      </c>
      <c r="D165" s="1">
        <f>D156^1.02*D117/D130/12</f>
        <v>61.302626337664059</v>
      </c>
      <c r="E165" s="1">
        <f>E156^1.02*E117/E130/12</f>
        <v>48.638585681245324</v>
      </c>
      <c r="F165" s="1"/>
    </row>
    <row r="166" spans="2:6" x14ac:dyDescent="0.25">
      <c r="B166" t="s">
        <v>85</v>
      </c>
      <c r="C166" s="1">
        <f>C157^1.02*C117/C130/12</f>
        <v>94.435560741272525</v>
      </c>
      <c r="D166" s="1">
        <f>D157^1.02*D117/D130/12</f>
        <v>89.009703754465036</v>
      </c>
      <c r="E166" s="1">
        <f>E157^1.02*E117/E130/12</f>
        <v>72.382647889335786</v>
      </c>
      <c r="F166" s="1"/>
    </row>
    <row r="167" spans="2:6" x14ac:dyDescent="0.25">
      <c r="B167" t="s">
        <v>86</v>
      </c>
      <c r="C167" s="1">
        <f>C158^1.02*C117/C130/12</f>
        <v>135.53192217912164</v>
      </c>
      <c r="D167" s="1">
        <f>D158^1.02*D117/D130/12</f>
        <v>121.59092374558946</v>
      </c>
      <c r="E167" s="1">
        <f>E158^1.02*E117/E130/12</f>
        <v>101.65022847441178</v>
      </c>
      <c r="F167" s="1"/>
    </row>
    <row r="168" spans="2:6" x14ac:dyDescent="0.25">
      <c r="B168" t="s">
        <v>87</v>
      </c>
      <c r="C168" s="1">
        <f>C159^1.02*C117/C130/12</f>
        <v>0</v>
      </c>
      <c r="D168" s="1">
        <f>D159^1.02*D117/D130/12</f>
        <v>0</v>
      </c>
      <c r="E168" s="1">
        <f>E159^1.02*E117/E130/12</f>
        <v>0</v>
      </c>
      <c r="F168" s="1"/>
    </row>
    <row r="169" spans="2:6" x14ac:dyDescent="0.25">
      <c r="B169" t="s">
        <v>88</v>
      </c>
      <c r="C169" s="1">
        <f>C160^1.02*C117/C130/12</f>
        <v>0</v>
      </c>
      <c r="D169" s="1">
        <f>D160^1.02*D117/D130/12</f>
        <v>0</v>
      </c>
      <c r="E169" s="1">
        <f>E160^1.02*E117/E130/12</f>
        <v>0</v>
      </c>
      <c r="F169" s="1"/>
    </row>
    <row r="170" spans="2:6" x14ac:dyDescent="0.25">
      <c r="B170" t="s">
        <v>89</v>
      </c>
      <c r="C170" s="1">
        <f>C161^1.02*C117/C130/12</f>
        <v>0</v>
      </c>
      <c r="D170" s="1">
        <f>D161^1.02*D117/D130/12</f>
        <v>0</v>
      </c>
      <c r="E170" s="1">
        <f>E161^1.02*E117/E130/12</f>
        <v>0</v>
      </c>
      <c r="F170" s="1"/>
    </row>
    <row r="171" spans="2:6" x14ac:dyDescent="0.25">
      <c r="B171" t="s">
        <v>81</v>
      </c>
      <c r="C171" s="1" t="s">
        <v>79</v>
      </c>
      <c r="D171" s="1" t="s">
        <v>79</v>
      </c>
      <c r="E171" s="19" t="s">
        <v>480</v>
      </c>
      <c r="F171" s="19"/>
    </row>
    <row r="172" spans="2:6" x14ac:dyDescent="0.25">
      <c r="B172" t="s">
        <v>82</v>
      </c>
      <c r="C172" s="1">
        <f>(C117*5+C117/C130*10)/336</f>
        <v>11.99082580848383</v>
      </c>
      <c r="D172" s="1">
        <f>(D117*5+D117/D130*10)/336</f>
        <v>19.010448523180248</v>
      </c>
      <c r="E172" s="1">
        <f>(E117*5+E117/E130*10)/336</f>
        <v>9.0709567088638021</v>
      </c>
      <c r="F172" s="1"/>
    </row>
    <row r="173" spans="2:6" x14ac:dyDescent="0.25">
      <c r="B173" t="s">
        <v>83</v>
      </c>
      <c r="C173" s="1">
        <f>(C117*10+C117/C130*200)/540</f>
        <v>33.719165616687668</v>
      </c>
      <c r="D173" s="1">
        <f>(D117*10+D117/D130*200)/540</f>
        <v>47.407803844020833</v>
      </c>
      <c r="E173" s="1">
        <f>(E117*10+E117/E130*200)/540</f>
        <v>29.549683488082884</v>
      </c>
      <c r="F173" s="1"/>
    </row>
    <row r="174" spans="2:6" x14ac:dyDescent="0.25">
      <c r="B174" t="s">
        <v>84</v>
      </c>
      <c r="C174" s="1">
        <f>(C117*15+C117/C130*500)/690</f>
        <v>55.928802293519347</v>
      </c>
      <c r="D174" s="1">
        <f>(D117*15+D117/D130*500)/690</f>
        <v>76.305123462939321</v>
      </c>
      <c r="E174" s="1">
        <f>(E117*15+E117/E130*500)/690</f>
        <v>50.568221317263607</v>
      </c>
      <c r="F174" s="1"/>
    </row>
    <row r="175" spans="2:6" x14ac:dyDescent="0.25">
      <c r="B175" t="s">
        <v>85</v>
      </c>
      <c r="C175" s="1">
        <f>(C117*20+C117/C130*1000)/900</f>
        <v>78.057496850063004</v>
      </c>
      <c r="D175" s="1">
        <f>(D117*20+D117/D130*1000)/900</f>
        <v>104.39007819872917</v>
      </c>
      <c r="E175" s="1">
        <f>(E117*20+E117/E130*1000)/900</f>
        <v>71.982383797581974</v>
      </c>
      <c r="F175" s="1"/>
    </row>
    <row r="176" spans="2:6" x14ac:dyDescent="0.25">
      <c r="B176" t="s">
        <v>86</v>
      </c>
      <c r="C176" s="1">
        <f>(C117*25+C117/C130*2000)/1220</f>
        <v>106.64630682796181</v>
      </c>
      <c r="D176" s="1">
        <f>(D117*25+D117/D130*2000)/1220</f>
        <v>140.06323012927254</v>
      </c>
      <c r="E176" s="1">
        <f>(E117*25+E117/E130*2000)/1220</f>
        <v>100.05597609479308</v>
      </c>
      <c r="F176" s="1"/>
    </row>
    <row r="177" spans="2:6" x14ac:dyDescent="0.25">
      <c r="B177" t="s">
        <v>87</v>
      </c>
      <c r="C177" s="1">
        <v>0</v>
      </c>
      <c r="D177" s="1">
        <v>0</v>
      </c>
      <c r="E177" s="1">
        <v>0</v>
      </c>
      <c r="F177" s="1"/>
    </row>
    <row r="178" spans="2:6" x14ac:dyDescent="0.25">
      <c r="B178" t="s">
        <v>88</v>
      </c>
      <c r="C178" s="1">
        <v>0</v>
      </c>
      <c r="D178" s="1">
        <v>0</v>
      </c>
      <c r="E178" s="1">
        <v>0</v>
      </c>
      <c r="F178" s="1"/>
    </row>
    <row r="179" spans="2:6" x14ac:dyDescent="0.25">
      <c r="B179" t="s">
        <v>89</v>
      </c>
      <c r="C179" s="1">
        <v>0</v>
      </c>
      <c r="D179" s="1">
        <v>0</v>
      </c>
      <c r="E179" s="1">
        <v>0</v>
      </c>
      <c r="F179" s="1"/>
    </row>
    <row r="180" spans="2:6" x14ac:dyDescent="0.25">
      <c r="B180" t="s">
        <v>90</v>
      </c>
      <c r="C180" s="4">
        <f>(C148+C175)*330/C110^2</f>
        <v>0.94496284835928968</v>
      </c>
      <c r="D180" s="4">
        <f>(D148+D175)*330/D110^2</f>
        <v>1.2549891329401315</v>
      </c>
      <c r="E180" s="4">
        <f>(E148+E175)*330/E110^2</f>
        <v>1.2492340935223087</v>
      </c>
      <c r="F180" s="4"/>
    </row>
    <row r="181" spans="2:6" x14ac:dyDescent="0.25">
      <c r="B181" t="s">
        <v>91</v>
      </c>
      <c r="C181" s="1">
        <f t="shared" ref="C181:E181" si="27">C148+C175</f>
        <v>362.91155015049372</v>
      </c>
      <c r="D181" s="1">
        <f t="shared" si="27"/>
        <v>626.87087490096826</v>
      </c>
      <c r="E181" s="1">
        <f t="shared" si="27"/>
        <v>352.15151984822052</v>
      </c>
      <c r="F181" s="1"/>
    </row>
    <row r="182" spans="2:6" s="3" customFormat="1" x14ac:dyDescent="0.25">
      <c r="B182" s="3" t="s">
        <v>92</v>
      </c>
      <c r="C182" s="3">
        <v>0</v>
      </c>
      <c r="D182" s="3">
        <v>0</v>
      </c>
      <c r="E182" s="3">
        <v>0.05</v>
      </c>
    </row>
    <row r="183" spans="2:6" s="11" customFormat="1" x14ac:dyDescent="0.25">
      <c r="B183" s="11" t="s">
        <v>94</v>
      </c>
      <c r="C183" s="11" t="s">
        <v>95</v>
      </c>
    </row>
    <row r="184" spans="2:6" x14ac:dyDescent="0.25">
      <c r="B184" t="s">
        <v>96</v>
      </c>
      <c r="C184">
        <v>6</v>
      </c>
      <c r="D184">
        <v>5</v>
      </c>
      <c r="E184">
        <v>8</v>
      </c>
    </row>
    <row r="185" spans="2:6" x14ac:dyDescent="0.25">
      <c r="B185" t="s">
        <v>97</v>
      </c>
      <c r="C185">
        <v>2</v>
      </c>
      <c r="D185">
        <v>3</v>
      </c>
      <c r="E185">
        <v>2</v>
      </c>
    </row>
    <row r="186" spans="2:6" x14ac:dyDescent="0.25">
      <c r="B186" t="s">
        <v>98</v>
      </c>
      <c r="C186">
        <f t="shared" ref="C186:E186" si="28">C184*C185</f>
        <v>12</v>
      </c>
      <c r="D186">
        <f t="shared" si="28"/>
        <v>15</v>
      </c>
      <c r="E186">
        <f t="shared" si="28"/>
        <v>16</v>
      </c>
    </row>
    <row r="187" spans="2:6" s="1" customFormat="1" x14ac:dyDescent="0.25">
      <c r="B187" t="s">
        <v>99</v>
      </c>
      <c r="C187">
        <v>127</v>
      </c>
      <c r="D187">
        <v>152</v>
      </c>
      <c r="E187">
        <v>127</v>
      </c>
      <c r="F187"/>
    </row>
    <row r="188" spans="2:6" x14ac:dyDescent="0.25">
      <c r="B188" t="s">
        <v>100</v>
      </c>
      <c r="C188">
        <v>38</v>
      </c>
      <c r="D188">
        <v>45</v>
      </c>
      <c r="E188">
        <v>45</v>
      </c>
    </row>
    <row r="189" spans="2:6" x14ac:dyDescent="0.25">
      <c r="B189" t="s">
        <v>101</v>
      </c>
      <c r="C189">
        <v>22</v>
      </c>
      <c r="D189">
        <v>15</v>
      </c>
      <c r="E189">
        <v>25</v>
      </c>
    </row>
    <row r="190" spans="2:6" x14ac:dyDescent="0.25">
      <c r="B190" t="s">
        <v>93</v>
      </c>
      <c r="C190">
        <v>27</v>
      </c>
      <c r="D190">
        <v>45</v>
      </c>
      <c r="E190">
        <v>26</v>
      </c>
    </row>
    <row r="191" spans="2:6" x14ac:dyDescent="0.25">
      <c r="B191" t="s">
        <v>102</v>
      </c>
      <c r="C191">
        <v>400</v>
      </c>
      <c r="D191">
        <v>300</v>
      </c>
      <c r="E191">
        <v>400</v>
      </c>
    </row>
    <row r="192" spans="2:6" x14ac:dyDescent="0.25">
      <c r="B192" t="s">
        <v>103</v>
      </c>
      <c r="C192">
        <v>0.25</v>
      </c>
      <c r="D192">
        <v>0.1</v>
      </c>
      <c r="E192">
        <v>0.4</v>
      </c>
    </row>
    <row r="193" spans="2:6" x14ac:dyDescent="0.25">
      <c r="B193" t="s">
        <v>104</v>
      </c>
      <c r="C193" t="s">
        <v>79</v>
      </c>
      <c r="D193" s="18" t="s">
        <v>470</v>
      </c>
      <c r="E193" s="18"/>
    </row>
    <row r="194" spans="2:6" x14ac:dyDescent="0.25">
      <c r="B194" t="s">
        <v>105</v>
      </c>
      <c r="C194">
        <v>0</v>
      </c>
      <c r="D194">
        <v>24</v>
      </c>
    </row>
    <row r="195" spans="2:6" s="11" customFormat="1" x14ac:dyDescent="0.25">
      <c r="B195" t="s">
        <v>106</v>
      </c>
      <c r="C195" t="s">
        <v>79</v>
      </c>
      <c r="D195">
        <v>76</v>
      </c>
      <c r="E195"/>
      <c r="F195"/>
    </row>
    <row r="196" spans="2:6" s="11" customFormat="1" x14ac:dyDescent="0.25">
      <c r="B196" s="11" t="s">
        <v>107</v>
      </c>
      <c r="C196" s="11">
        <v>0</v>
      </c>
      <c r="D196" s="11">
        <v>30</v>
      </c>
    </row>
    <row r="197" spans="2:6" s="12" customFormat="1" x14ac:dyDescent="0.25">
      <c r="B197" t="s">
        <v>108</v>
      </c>
      <c r="C197">
        <v>0</v>
      </c>
      <c r="D197" s="11">
        <v>2800</v>
      </c>
      <c r="E197" s="11"/>
      <c r="F197"/>
    </row>
    <row r="198" spans="2:6" x14ac:dyDescent="0.25">
      <c r="B198" t="s">
        <v>109</v>
      </c>
      <c r="C198">
        <v>0</v>
      </c>
      <c r="D198" s="11">
        <v>300</v>
      </c>
      <c r="E198" s="11"/>
    </row>
    <row r="199" spans="2:6" x14ac:dyDescent="0.25">
      <c r="B199" t="s">
        <v>110</v>
      </c>
      <c r="C199" t="s">
        <v>79</v>
      </c>
    </row>
    <row r="200" spans="2:6" x14ac:dyDescent="0.25">
      <c r="B200" t="s">
        <v>111</v>
      </c>
      <c r="C200">
        <v>0</v>
      </c>
      <c r="D200">
        <v>64</v>
      </c>
    </row>
    <row r="201" spans="2:6" x14ac:dyDescent="0.25">
      <c r="B201" t="s">
        <v>112</v>
      </c>
      <c r="C201" t="s">
        <v>79</v>
      </c>
      <c r="D201">
        <v>40</v>
      </c>
      <c r="F201" s="18"/>
    </row>
    <row r="202" spans="2:6" s="1" customFormat="1" x14ac:dyDescent="0.25">
      <c r="B202" t="s">
        <v>113</v>
      </c>
      <c r="C202">
        <v>0</v>
      </c>
      <c r="D202">
        <v>150</v>
      </c>
      <c r="E202"/>
      <c r="F202"/>
    </row>
    <row r="203" spans="2:6" x14ac:dyDescent="0.25">
      <c r="B203" t="s">
        <v>114</v>
      </c>
      <c r="C203">
        <v>0</v>
      </c>
      <c r="D203">
        <v>440</v>
      </c>
    </row>
    <row r="204" spans="2:6" x14ac:dyDescent="0.25">
      <c r="B204" t="s">
        <v>115</v>
      </c>
      <c r="C204">
        <v>0</v>
      </c>
      <c r="D204">
        <v>400</v>
      </c>
    </row>
    <row r="205" spans="2:6" x14ac:dyDescent="0.25">
      <c r="B205" t="s">
        <v>116</v>
      </c>
      <c r="C205" t="s">
        <v>79</v>
      </c>
      <c r="F205" s="18"/>
    </row>
    <row r="206" spans="2:6" x14ac:dyDescent="0.25">
      <c r="B206" t="s">
        <v>117</v>
      </c>
      <c r="C206">
        <v>0</v>
      </c>
      <c r="F206" s="18"/>
    </row>
    <row r="207" spans="2:6" x14ac:dyDescent="0.25">
      <c r="B207" t="s">
        <v>118</v>
      </c>
      <c r="C207">
        <v>0</v>
      </c>
      <c r="F207" s="18"/>
    </row>
    <row r="208" spans="2:6" x14ac:dyDescent="0.25">
      <c r="B208" t="s">
        <v>119</v>
      </c>
      <c r="C208" t="s">
        <v>79</v>
      </c>
      <c r="F208" s="18"/>
    </row>
    <row r="209" spans="1:6" x14ac:dyDescent="0.25">
      <c r="B209" t="s">
        <v>120</v>
      </c>
      <c r="C209">
        <v>0</v>
      </c>
      <c r="F209" s="18"/>
    </row>
    <row r="210" spans="1:6" x14ac:dyDescent="0.25">
      <c r="B210" t="s">
        <v>121</v>
      </c>
      <c r="C210">
        <v>0</v>
      </c>
      <c r="F210" s="18"/>
    </row>
    <row r="211" spans="1:6" x14ac:dyDescent="0.25">
      <c r="B211" t="s">
        <v>122</v>
      </c>
      <c r="C211" t="s">
        <v>79</v>
      </c>
      <c r="F211" s="18"/>
    </row>
    <row r="212" spans="1:6" x14ac:dyDescent="0.25">
      <c r="B212" t="s">
        <v>123</v>
      </c>
      <c r="C212">
        <v>0</v>
      </c>
      <c r="F212" s="18"/>
    </row>
    <row r="213" spans="1:6" x14ac:dyDescent="0.25">
      <c r="B213" t="s">
        <v>124</v>
      </c>
      <c r="C213">
        <f t="shared" ref="C213" si="29">C210*C212</f>
        <v>0</v>
      </c>
      <c r="F213" s="18"/>
    </row>
    <row r="214" spans="1:6" x14ac:dyDescent="0.25">
      <c r="B214" t="s">
        <v>125</v>
      </c>
      <c r="C214">
        <v>0</v>
      </c>
      <c r="F214" s="18"/>
    </row>
    <row r="215" spans="1:6" x14ac:dyDescent="0.25">
      <c r="B215" t="s">
        <v>126</v>
      </c>
      <c r="C215" s="1">
        <f>C181*C114*C109</f>
        <v>8709.8772036118498</v>
      </c>
      <c r="D215" s="1">
        <f>D181*D114*D109</f>
        <v>11283.675748217429</v>
      </c>
      <c r="E215" s="1">
        <f>E181*E114*E109</f>
        <v>9508.0910359019545</v>
      </c>
      <c r="F215" s="1"/>
    </row>
    <row r="216" spans="1:6" x14ac:dyDescent="0.25">
      <c r="B216" s="8" t="s">
        <v>127</v>
      </c>
      <c r="C216" s="8">
        <f>C114*C117*C109+C186/2*C190*C189</f>
        <v>20196</v>
      </c>
      <c r="D216" s="8">
        <f>D114*D117*D109+D186/2*D190*D189</f>
        <v>25492.5</v>
      </c>
      <c r="E216" s="8">
        <f>E114*E117*E109+E186/2*E190*E189</f>
        <v>18700</v>
      </c>
      <c r="F216" s="8"/>
    </row>
    <row r="217" spans="1:6" x14ac:dyDescent="0.25">
      <c r="B217" s="53" t="s">
        <v>494</v>
      </c>
      <c r="C217" s="9">
        <f>C117*C114*C109*C182+C186*C189*C190*C192/2</f>
        <v>891</v>
      </c>
      <c r="D217" s="9">
        <f t="shared" ref="D217:E217" si="30">D117*D114*D109*D182+D186*D189*D190*D192/2</f>
        <v>506.25</v>
      </c>
      <c r="E217" s="9">
        <f t="shared" si="30"/>
        <v>2755</v>
      </c>
      <c r="F217" s="9"/>
    </row>
    <row r="218" spans="1:6" x14ac:dyDescent="0.25">
      <c r="B218" s="53" t="s">
        <v>495</v>
      </c>
      <c r="C218" s="9">
        <f>C194*C196*C197/2000</f>
        <v>0</v>
      </c>
      <c r="D218" s="9">
        <f t="shared" ref="D218:E218" si="31">D194*D196*D197/2000</f>
        <v>1008</v>
      </c>
      <c r="E218" s="9">
        <f t="shared" si="31"/>
        <v>0</v>
      </c>
      <c r="F218" s="9"/>
    </row>
    <row r="219" spans="1:6" x14ac:dyDescent="0.25">
      <c r="B219" s="53" t="s">
        <v>496</v>
      </c>
      <c r="C219" s="9">
        <f>C200*C202*C203/2000</f>
        <v>0</v>
      </c>
      <c r="D219" s="9">
        <f t="shared" ref="D219:E219" si="32">D200*D202*D203/2000</f>
        <v>2112</v>
      </c>
      <c r="E219" s="9">
        <f t="shared" si="32"/>
        <v>0</v>
      </c>
      <c r="F219" s="9"/>
    </row>
    <row r="220" spans="1:6" s="46" customFormat="1" x14ac:dyDescent="0.25">
      <c r="B220" s="52" t="s">
        <v>484</v>
      </c>
      <c r="C220" s="48">
        <f>C187^3*C186*C188^1.2/200000000</f>
        <v>9.6672450890174755</v>
      </c>
      <c r="D220" s="48">
        <f t="shared" ref="D220:E220" si="33">D187^3*D186*D188^1.2/200000000</f>
        <v>25.377395246379471</v>
      </c>
      <c r="E220" s="48">
        <f t="shared" si="33"/>
        <v>15.78905604770026</v>
      </c>
      <c r="F220" s="48"/>
    </row>
    <row r="221" spans="1:6" s="46" customFormat="1" x14ac:dyDescent="0.25">
      <c r="B221" s="52" t="s">
        <v>485</v>
      </c>
      <c r="C221" s="48">
        <f>C217/200</f>
        <v>4.4550000000000001</v>
      </c>
      <c r="D221" s="48">
        <f t="shared" ref="D221:E221" si="34">D217/200</f>
        <v>2.53125</v>
      </c>
      <c r="E221" s="48">
        <f t="shared" si="34"/>
        <v>13.775</v>
      </c>
      <c r="F221" s="48"/>
    </row>
    <row r="222" spans="1:6" x14ac:dyDescent="0.25">
      <c r="A222" s="18" t="s">
        <v>421</v>
      </c>
      <c r="B222" s="18" t="s">
        <v>364</v>
      </c>
      <c r="C222">
        <v>305</v>
      </c>
      <c r="D222">
        <v>406</v>
      </c>
      <c r="E222">
        <v>254</v>
      </c>
    </row>
    <row r="223" spans="1:6" x14ac:dyDescent="0.25">
      <c r="A223" s="18" t="s">
        <v>422</v>
      </c>
      <c r="B223" s="18" t="s">
        <v>365</v>
      </c>
      <c r="C223">
        <v>305</v>
      </c>
      <c r="D223">
        <v>406</v>
      </c>
      <c r="E223">
        <v>254</v>
      </c>
    </row>
    <row r="224" spans="1:6" x14ac:dyDescent="0.25">
      <c r="A224" s="18" t="s">
        <v>423</v>
      </c>
      <c r="B224" t="s">
        <v>128</v>
      </c>
      <c r="C224">
        <v>14</v>
      </c>
      <c r="D224">
        <v>16</v>
      </c>
      <c r="E224">
        <v>18</v>
      </c>
    </row>
    <row r="225" spans="1:6" x14ac:dyDescent="0.25">
      <c r="B225" t="s">
        <v>129</v>
      </c>
      <c r="C225" t="s">
        <v>130</v>
      </c>
    </row>
    <row r="226" spans="1:6" x14ac:dyDescent="0.25">
      <c r="A226" s="18" t="s">
        <v>424</v>
      </c>
      <c r="B226" t="s">
        <v>135</v>
      </c>
      <c r="C226">
        <v>1</v>
      </c>
      <c r="D226">
        <v>1</v>
      </c>
      <c r="E226">
        <v>1</v>
      </c>
    </row>
    <row r="227" spans="1:6" x14ac:dyDescent="0.25">
      <c r="B227" t="s">
        <v>136</v>
      </c>
      <c r="C227" s="1">
        <f t="shared" ref="C227:E227" si="35">1/COS(C224/180*3.1416)*C222*C226</f>
        <v>314.33720173315783</v>
      </c>
      <c r="D227" s="1">
        <f t="shared" si="35"/>
        <v>422.36165004662121</v>
      </c>
      <c r="E227" s="1">
        <f t="shared" si="35"/>
        <v>267.07146870637456</v>
      </c>
      <c r="F227" s="1"/>
    </row>
    <row r="228" spans="1:6" x14ac:dyDescent="0.25">
      <c r="A228" s="18" t="s">
        <v>425</v>
      </c>
      <c r="B228" t="s">
        <v>137</v>
      </c>
      <c r="C228">
        <v>25</v>
      </c>
      <c r="D228">
        <v>0</v>
      </c>
      <c r="E228">
        <v>0</v>
      </c>
    </row>
    <row r="229" spans="1:6" x14ac:dyDescent="0.25">
      <c r="A229" s="18" t="s">
        <v>426</v>
      </c>
      <c r="B229" t="s">
        <v>138</v>
      </c>
      <c r="C229">
        <v>0</v>
      </c>
      <c r="D229">
        <v>0</v>
      </c>
      <c r="E229">
        <v>0</v>
      </c>
    </row>
    <row r="230" spans="1:6" s="10" customFormat="1" x14ac:dyDescent="0.25">
      <c r="B230" s="10" t="s">
        <v>139</v>
      </c>
      <c r="C230" s="14">
        <f>C227+C228*1.2+C229*0.8</f>
        <v>344.33720173315783</v>
      </c>
      <c r="D230" s="14">
        <f>D227+D228*1.2+D229*0.8</f>
        <v>422.36165004662121</v>
      </c>
      <c r="E230" s="14">
        <f>E227+E228*1.2+E229*0.8</f>
        <v>267.07146870637456</v>
      </c>
      <c r="F230" s="14"/>
    </row>
    <row r="231" spans="1:6" s="11" customFormat="1" x14ac:dyDescent="0.25">
      <c r="A231" s="27" t="s">
        <v>427</v>
      </c>
      <c r="B231" s="11" t="s">
        <v>140</v>
      </c>
      <c r="C231" s="11">
        <v>400</v>
      </c>
      <c r="D231" s="11">
        <v>406</v>
      </c>
      <c r="E231" s="11">
        <v>127</v>
      </c>
    </row>
    <row r="232" spans="1:6" s="11" customFormat="1" x14ac:dyDescent="0.25">
      <c r="B232" s="1" t="s">
        <v>141</v>
      </c>
      <c r="C232" s="1">
        <f>C230*C226</f>
        <v>344.33720173315783</v>
      </c>
      <c r="D232" s="1">
        <f>D230*D226</f>
        <v>422.36165004662121</v>
      </c>
      <c r="E232" s="1">
        <f>E230*E226</f>
        <v>267.07146870637456</v>
      </c>
      <c r="F232" s="1"/>
    </row>
    <row r="233" spans="1:6" s="11" customFormat="1" x14ac:dyDescent="0.25">
      <c r="B233" t="s">
        <v>142</v>
      </c>
      <c r="C233" s="1">
        <f>C230*C226</f>
        <v>344.33720173315783</v>
      </c>
      <c r="D233" s="1">
        <f>D230*D226</f>
        <v>422.36165004662121</v>
      </c>
      <c r="E233" s="1">
        <f>E230*E226</f>
        <v>267.07146870637456</v>
      </c>
      <c r="F233" s="1"/>
    </row>
    <row r="234" spans="1:6" s="11" customFormat="1" x14ac:dyDescent="0.25">
      <c r="A234" s="27" t="s">
        <v>428</v>
      </c>
      <c r="B234" t="s">
        <v>143</v>
      </c>
      <c r="C234">
        <v>25</v>
      </c>
      <c r="D234">
        <v>38</v>
      </c>
      <c r="E234">
        <v>38</v>
      </c>
      <c r="F234"/>
    </row>
    <row r="235" spans="1:6" s="11" customFormat="1" x14ac:dyDescent="0.25">
      <c r="A235" s="27" t="s">
        <v>429</v>
      </c>
      <c r="B235" s="18" t="s">
        <v>366</v>
      </c>
      <c r="C235">
        <v>76</v>
      </c>
      <c r="D235">
        <v>178</v>
      </c>
      <c r="E235">
        <v>127</v>
      </c>
      <c r="F235"/>
    </row>
    <row r="236" spans="1:6" s="11" customFormat="1" x14ac:dyDescent="0.25">
      <c r="A236" s="27" t="s">
        <v>430</v>
      </c>
      <c r="B236" s="18" t="s">
        <v>367</v>
      </c>
      <c r="C236">
        <v>76</v>
      </c>
      <c r="D236">
        <v>178</v>
      </c>
      <c r="E236">
        <v>127</v>
      </c>
      <c r="F236"/>
    </row>
    <row r="237" spans="1:6" s="11" customFormat="1" x14ac:dyDescent="0.25">
      <c r="A237" s="27" t="s">
        <v>431</v>
      </c>
      <c r="B237" s="11" t="s">
        <v>144</v>
      </c>
      <c r="C237" s="11">
        <v>0</v>
      </c>
      <c r="D237" s="11">
        <v>0</v>
      </c>
      <c r="E237" s="11">
        <v>0</v>
      </c>
    </row>
    <row r="238" spans="1:6" s="11" customFormat="1" x14ac:dyDescent="0.25">
      <c r="A238" s="27" t="s">
        <v>432</v>
      </c>
      <c r="B238" s="36" t="s">
        <v>385</v>
      </c>
      <c r="C238" s="11">
        <v>40</v>
      </c>
      <c r="D238" s="11">
        <v>0</v>
      </c>
      <c r="E238" s="11">
        <v>0</v>
      </c>
    </row>
    <row r="239" spans="1:6" s="11" customFormat="1" x14ac:dyDescent="0.25">
      <c r="A239" s="27" t="s">
        <v>433</v>
      </c>
      <c r="B239" s="27" t="s">
        <v>386</v>
      </c>
      <c r="C239" s="11">
        <v>127</v>
      </c>
      <c r="D239" s="11">
        <v>0</v>
      </c>
      <c r="E239" s="11">
        <v>0</v>
      </c>
    </row>
    <row r="240" spans="1:6" s="11" customFormat="1" x14ac:dyDescent="0.25">
      <c r="A240" s="27" t="s">
        <v>434</v>
      </c>
      <c r="B240" s="27" t="s">
        <v>387</v>
      </c>
      <c r="C240" s="11">
        <v>127</v>
      </c>
      <c r="D240" s="11">
        <v>0</v>
      </c>
      <c r="E240" s="11">
        <v>0</v>
      </c>
    </row>
    <row r="241" spans="1:6" s="11" customFormat="1" x14ac:dyDescent="0.25">
      <c r="A241" s="27" t="s">
        <v>435</v>
      </c>
      <c r="B241" s="27" t="s">
        <v>390</v>
      </c>
      <c r="C241" s="11">
        <v>2.5</v>
      </c>
      <c r="D241" s="11">
        <v>0</v>
      </c>
      <c r="E241" s="11">
        <v>0</v>
      </c>
    </row>
    <row r="242" spans="1:6" s="32" customFormat="1" x14ac:dyDescent="0.25">
      <c r="B242" s="37" t="s">
        <v>391</v>
      </c>
      <c r="C242" s="32">
        <f>IF(C238=0,0,_xlfn.COT(RADIANS(C238))*C241)</f>
        <v>2.9793839814855252</v>
      </c>
      <c r="D242" s="32">
        <f>IF(D238=0,0,_xlfn.COT(RADIANS(D238))*D241)</f>
        <v>0</v>
      </c>
      <c r="E242" s="32">
        <f>IF(E238=0,0,_xlfn.COT(RADIANS(E238))*E241)</f>
        <v>0</v>
      </c>
    </row>
    <row r="243" spans="1:6" s="32" customFormat="1" x14ac:dyDescent="0.25">
      <c r="B243" s="37" t="s">
        <v>392</v>
      </c>
      <c r="C243" s="32">
        <f>_xlfn.SEC(RADIANS(C238))*C241</f>
        <v>3.2635182233306965</v>
      </c>
      <c r="D243" s="32">
        <f>_xlfn.SEC(RADIANS(D238))*D241</f>
        <v>0</v>
      </c>
      <c r="E243" s="32">
        <f>_xlfn.SEC(RADIANS(E238))*E241</f>
        <v>0</v>
      </c>
    </row>
    <row r="244" spans="1:6" s="32" customFormat="1" x14ac:dyDescent="0.25">
      <c r="A244" s="37" t="s">
        <v>436</v>
      </c>
      <c r="B244" s="37" t="s">
        <v>393</v>
      </c>
      <c r="C244" s="32">
        <f>C19-C243*2</f>
        <v>25.772963553338606</v>
      </c>
      <c r="D244" s="32">
        <f>D19-D243*2</f>
        <v>32.1</v>
      </c>
      <c r="E244" s="32">
        <f>E19-E243*2</f>
        <v>27</v>
      </c>
    </row>
    <row r="245" spans="1:6" s="11" customFormat="1" x14ac:dyDescent="0.25">
      <c r="A245" s="37"/>
      <c r="B245" s="11" t="s">
        <v>129</v>
      </c>
      <c r="C245" s="11" t="s">
        <v>145</v>
      </c>
    </row>
    <row r="246" spans="1:6" x14ac:dyDescent="0.25">
      <c r="A246" s="37" t="s">
        <v>437</v>
      </c>
      <c r="B246" t="s">
        <v>135</v>
      </c>
      <c r="C246">
        <v>1</v>
      </c>
      <c r="D246">
        <v>1</v>
      </c>
      <c r="E246">
        <v>1</v>
      </c>
      <c r="F246">
        <v>1</v>
      </c>
    </row>
    <row r="247" spans="1:6" x14ac:dyDescent="0.25">
      <c r="B247" s="11" t="s">
        <v>146</v>
      </c>
      <c r="C247" s="15">
        <f>(C234*0.9+C235*1.1+C237*0.8)*C246</f>
        <v>106.10000000000001</v>
      </c>
      <c r="D247" s="15">
        <f>(D234*0.9+D235*1.1+D237*0.8)*D246</f>
        <v>230</v>
      </c>
      <c r="E247" s="15">
        <f>(E234*0.9+E235*1.1+E237*0.8)*E246</f>
        <v>173.90000000000003</v>
      </c>
      <c r="F247" s="15"/>
    </row>
    <row r="248" spans="1:6" s="4" customFormat="1" x14ac:dyDescent="0.25">
      <c r="B248" s="10" t="s">
        <v>147</v>
      </c>
      <c r="C248" s="14">
        <f>(C234*0.9+C235*1.1+C237*0.8)*C246</f>
        <v>106.10000000000001</v>
      </c>
      <c r="D248" s="14">
        <f>(D234*0.9+D235*1.1+D237*0.8)*D246</f>
        <v>230</v>
      </c>
      <c r="E248" s="14">
        <f>(E234*0.9+E235*1.1+E237*0.8)*E246</f>
        <v>173.90000000000003</v>
      </c>
      <c r="F248" s="14"/>
    </row>
    <row r="249" spans="1:6" x14ac:dyDescent="0.25">
      <c r="A249" s="18" t="s">
        <v>438</v>
      </c>
      <c r="B249" s="12" t="s">
        <v>148</v>
      </c>
      <c r="C249" s="12">
        <v>127</v>
      </c>
      <c r="D249" s="12">
        <v>0</v>
      </c>
      <c r="E249" s="12">
        <v>0</v>
      </c>
      <c r="F249" s="12"/>
    </row>
    <row r="250" spans="1:6" x14ac:dyDescent="0.25">
      <c r="A250" s="18" t="s">
        <v>439</v>
      </c>
      <c r="B250" s="35" t="s">
        <v>379</v>
      </c>
      <c r="C250" s="12">
        <v>38</v>
      </c>
      <c r="D250" s="12">
        <v>76</v>
      </c>
      <c r="E250" s="12">
        <v>63.5</v>
      </c>
      <c r="F250" s="12"/>
    </row>
    <row r="251" spans="1:6" x14ac:dyDescent="0.25">
      <c r="A251" s="18" t="s">
        <v>440</v>
      </c>
      <c r="B251" s="18" t="s">
        <v>380</v>
      </c>
      <c r="C251">
        <v>38</v>
      </c>
      <c r="D251" s="12">
        <v>76</v>
      </c>
      <c r="E251" s="12">
        <v>63.5</v>
      </c>
    </row>
    <row r="252" spans="1:6" s="3" customFormat="1" x14ac:dyDescent="0.25">
      <c r="B252" s="18" t="s">
        <v>343</v>
      </c>
      <c r="C252">
        <v>12.7</v>
      </c>
      <c r="D252" s="12">
        <v>12.7</v>
      </c>
      <c r="E252" s="12">
        <v>12.7</v>
      </c>
      <c r="F252"/>
    </row>
    <row r="253" spans="1:6" s="3" customFormat="1" x14ac:dyDescent="0.25">
      <c r="A253" s="41" t="s">
        <v>441</v>
      </c>
      <c r="B253" t="s">
        <v>129</v>
      </c>
      <c r="C253" t="s">
        <v>130</v>
      </c>
      <c r="D253"/>
      <c r="E253"/>
      <c r="F253"/>
    </row>
    <row r="254" spans="1:6" s="3" customFormat="1" x14ac:dyDescent="0.25">
      <c r="B254" t="s">
        <v>135</v>
      </c>
      <c r="C254">
        <v>0.75</v>
      </c>
      <c r="D254">
        <v>1</v>
      </c>
      <c r="E254">
        <v>1</v>
      </c>
      <c r="F254"/>
    </row>
    <row r="255" spans="1:6" s="3" customFormat="1" x14ac:dyDescent="0.25">
      <c r="A255" s="41" t="s">
        <v>442</v>
      </c>
      <c r="B255" s="18" t="s">
        <v>344</v>
      </c>
      <c r="C255">
        <v>3</v>
      </c>
      <c r="D255">
        <v>4</v>
      </c>
      <c r="E255">
        <v>5</v>
      </c>
      <c r="F255"/>
    </row>
    <row r="256" spans="1:6" s="24" customFormat="1" x14ac:dyDescent="0.25">
      <c r="A256" s="23" t="s">
        <v>443</v>
      </c>
      <c r="B256" s="18" t="s">
        <v>342</v>
      </c>
      <c r="C256">
        <v>850</v>
      </c>
      <c r="D256">
        <v>1500</v>
      </c>
      <c r="E256">
        <v>500</v>
      </c>
      <c r="F256"/>
    </row>
    <row r="257" spans="1:6" x14ac:dyDescent="0.25">
      <c r="A257" s="41" t="s">
        <v>444</v>
      </c>
      <c r="B257" t="s">
        <v>151</v>
      </c>
      <c r="C257">
        <v>3</v>
      </c>
      <c r="D257">
        <v>3</v>
      </c>
      <c r="E257">
        <v>2</v>
      </c>
    </row>
    <row r="258" spans="1:6" x14ac:dyDescent="0.25">
      <c r="B258" t="s">
        <v>152</v>
      </c>
      <c r="C258">
        <v>1</v>
      </c>
      <c r="D258">
        <v>1</v>
      </c>
      <c r="E258">
        <v>1</v>
      </c>
    </row>
    <row r="259" spans="1:6" x14ac:dyDescent="0.25">
      <c r="B259" s="18" t="s">
        <v>486</v>
      </c>
      <c r="C259">
        <f>(C255-1)*(C256+C252)+C250</f>
        <v>1763.4</v>
      </c>
      <c r="D259">
        <f t="shared" ref="D259:E259" si="36">(D255-1)*(D256+D252)+D250</f>
        <v>4614.1000000000004</v>
      </c>
      <c r="E259">
        <f t="shared" si="36"/>
        <v>2114.3000000000002</v>
      </c>
    </row>
    <row r="260" spans="1:6" x14ac:dyDescent="0.25">
      <c r="B260" s="18" t="s">
        <v>397</v>
      </c>
      <c r="C260">
        <v>38</v>
      </c>
      <c r="D260">
        <v>305</v>
      </c>
      <c r="E260">
        <v>0</v>
      </c>
    </row>
    <row r="261" spans="1:6" x14ac:dyDescent="0.25">
      <c r="B261" s="18" t="s">
        <v>398</v>
      </c>
      <c r="C261">
        <v>38</v>
      </c>
      <c r="D261">
        <v>152</v>
      </c>
      <c r="E261">
        <v>0</v>
      </c>
    </row>
    <row r="262" spans="1:6" x14ac:dyDescent="0.25">
      <c r="A262" s="18" t="s">
        <v>455</v>
      </c>
      <c r="B262" s="18" t="s">
        <v>384</v>
      </c>
      <c r="C262">
        <v>203</v>
      </c>
      <c r="D262">
        <v>457</v>
      </c>
      <c r="E262">
        <v>203</v>
      </c>
    </row>
    <row r="263" spans="1:6" x14ac:dyDescent="0.25">
      <c r="B263" s="18" t="s">
        <v>447</v>
      </c>
      <c r="C263">
        <v>0</v>
      </c>
      <c r="D263">
        <v>0</v>
      </c>
      <c r="E263">
        <v>0</v>
      </c>
    </row>
    <row r="264" spans="1:6" x14ac:dyDescent="0.25">
      <c r="B264" s="18" t="s">
        <v>446</v>
      </c>
      <c r="C264">
        <v>0</v>
      </c>
      <c r="D264">
        <v>0</v>
      </c>
      <c r="E264">
        <v>0</v>
      </c>
    </row>
    <row r="265" spans="1:6" x14ac:dyDescent="0.25">
      <c r="A265" s="18" t="s">
        <v>445</v>
      </c>
      <c r="B265" t="s">
        <v>153</v>
      </c>
      <c r="C265">
        <v>152</v>
      </c>
      <c r="D265">
        <v>130</v>
      </c>
      <c r="E265">
        <v>141</v>
      </c>
    </row>
    <row r="266" spans="1:6" x14ac:dyDescent="0.25">
      <c r="A266" s="18" t="s">
        <v>449</v>
      </c>
      <c r="B266" t="s">
        <v>154</v>
      </c>
      <c r="C266">
        <v>5.8</v>
      </c>
      <c r="D266">
        <v>5.5</v>
      </c>
      <c r="E266">
        <v>4</v>
      </c>
    </row>
    <row r="267" spans="1:6" x14ac:dyDescent="0.25">
      <c r="A267" s="18" t="s">
        <v>450</v>
      </c>
      <c r="B267" t="s">
        <v>155</v>
      </c>
      <c r="C267">
        <v>2.5</v>
      </c>
      <c r="D267">
        <v>0</v>
      </c>
      <c r="E267">
        <v>0</v>
      </c>
    </row>
    <row r="268" spans="1:6" s="3" customFormat="1" x14ac:dyDescent="0.25">
      <c r="A268" s="22" t="s">
        <v>451</v>
      </c>
      <c r="B268" s="3" t="s">
        <v>156</v>
      </c>
      <c r="C268" s="3">
        <f>C20-C266-C269</f>
        <v>6.6000000000000014</v>
      </c>
      <c r="D268" s="3">
        <f>D20-D266-D269</f>
        <v>8.9</v>
      </c>
      <c r="E268" s="3">
        <f>E20-E266-E269</f>
        <v>5.5</v>
      </c>
    </row>
    <row r="269" spans="1:6" x14ac:dyDescent="0.25">
      <c r="A269" s="22" t="s">
        <v>452</v>
      </c>
      <c r="B269" s="18" t="s">
        <v>381</v>
      </c>
      <c r="C269">
        <v>2.5</v>
      </c>
      <c r="D269" s="3">
        <v>0.5</v>
      </c>
      <c r="E269" s="3">
        <v>2.5</v>
      </c>
    </row>
    <row r="270" spans="1:6" x14ac:dyDescent="0.25">
      <c r="A270" s="22"/>
      <c r="B270" s="18" t="s">
        <v>483</v>
      </c>
      <c r="C270">
        <f>C266+C269-C24</f>
        <v>3.3000000000000007</v>
      </c>
      <c r="D270">
        <f t="shared" ref="D270:E270" si="37">D266+D269-D24</f>
        <v>3</v>
      </c>
      <c r="E270">
        <f t="shared" si="37"/>
        <v>2</v>
      </c>
    </row>
    <row r="271" spans="1:6" x14ac:dyDescent="0.25">
      <c r="B271" t="s">
        <v>157</v>
      </c>
      <c r="C271" s="2">
        <f>C265/C17</f>
        <v>0.63359733222175907</v>
      </c>
      <c r="D271" s="2">
        <f>D265/D17</f>
        <v>0.50830889540566959</v>
      </c>
      <c r="E271" s="2">
        <f>E265/E17</f>
        <v>0.56231306081754739</v>
      </c>
      <c r="F271" s="2"/>
    </row>
    <row r="272" spans="1:6" x14ac:dyDescent="0.25">
      <c r="A272" s="18" t="s">
        <v>453</v>
      </c>
      <c r="B272" s="18" t="s">
        <v>353</v>
      </c>
      <c r="C272" s="1">
        <f>C291*C105*(1+C106/10)</f>
        <v>105.3</v>
      </c>
      <c r="D272" s="1">
        <f>D291*D105*(1+D106/10)</f>
        <v>54</v>
      </c>
      <c r="E272" s="1">
        <f>E291*E105*(1+E106/10)</f>
        <v>43.199999999999996</v>
      </c>
      <c r="F272" s="1"/>
    </row>
    <row r="273" spans="1:6" x14ac:dyDescent="0.25">
      <c r="A273" s="18" t="s">
        <v>454</v>
      </c>
      <c r="B273" s="18" t="s">
        <v>354</v>
      </c>
      <c r="C273" s="1">
        <f>C265-C272</f>
        <v>46.7</v>
      </c>
      <c r="D273" s="1">
        <f>D265-D272</f>
        <v>76</v>
      </c>
      <c r="E273" s="1">
        <f>E265-E272</f>
        <v>97.800000000000011</v>
      </c>
      <c r="F273" s="1"/>
    </row>
    <row r="274" spans="1:6" s="38" customFormat="1" x14ac:dyDescent="0.25">
      <c r="B274" s="39" t="s">
        <v>355</v>
      </c>
      <c r="C274" s="39">
        <f>C244*C272*(C236+C234+C237)*0.9*7.9/1000</f>
        <v>1948.8737468724248</v>
      </c>
      <c r="D274" s="39">
        <f>D244*D272*(D236+D234+D237)*0.9*7.9/1000</f>
        <v>2662.0863840000002</v>
      </c>
      <c r="E274" s="39">
        <f>E244*E272*(E236+E234+E237)*0.9*7.9/1000</f>
        <v>1368.3621599999997</v>
      </c>
    </row>
    <row r="275" spans="1:6" s="38" customFormat="1" x14ac:dyDescent="0.25">
      <c r="B275" s="39" t="s">
        <v>356</v>
      </c>
      <c r="C275" s="38">
        <f>C244*C273*(C235+C234+C237)*7.9/1000</f>
        <v>960.35036381705459</v>
      </c>
      <c r="D275" s="38">
        <f>D244*D273*(D235+D234+D237)*7.9/1000</f>
        <v>4162.9334399999998</v>
      </c>
      <c r="E275" s="38">
        <f>E244*E273*(E235+E234+E237)*7.9/1000</f>
        <v>3442.0221000000006</v>
      </c>
    </row>
    <row r="276" spans="1:6" s="38" customFormat="1" x14ac:dyDescent="0.25">
      <c r="B276" s="39" t="s">
        <v>357</v>
      </c>
      <c r="C276" s="38">
        <f>(_xlfn.SEC(RADIANS(C224))*C223 + C228+C229)*C272*C266*2/1000*7.9</f>
        <v>3274.4990487397467</v>
      </c>
      <c r="D276" s="38">
        <f>(_xlfn.SEC(RADIANS(D224))*D223 + D228+D229)*D272*D266*2/1000*7.9</f>
        <v>1981.9739078860066</v>
      </c>
      <c r="E276" s="38">
        <f>(_xlfn.SEC(RADIANS(E224))*E223 + E228+E229)*E272*E266*2/1000*7.9</f>
        <v>729.16903266848874</v>
      </c>
    </row>
    <row r="277" spans="1:6" s="38" customFormat="1" x14ac:dyDescent="0.25">
      <c r="B277" s="39" t="s">
        <v>358</v>
      </c>
      <c r="C277" s="38">
        <f>(_xlfn.SEC(RADIANS(C224))*C222 + C228+C229)*C273*C266*2/1000*7.9</f>
        <v>1452.223224844693</v>
      </c>
      <c r="D277" s="38">
        <f>(_xlfn.SEC(RADIANS(D224))*D222 + D228+D229)*D273*D266*2/1000*7.9</f>
        <v>2789.4447592469724</v>
      </c>
      <c r="E277" s="38">
        <f>(_xlfn.SEC(RADIANS(E224))*E222 + E228+E229)*E273*E266*2/1000*7.9</f>
        <v>1650.7576711800511</v>
      </c>
    </row>
    <row r="278" spans="1:6" s="38" customFormat="1" x14ac:dyDescent="0.25">
      <c r="B278" s="39" t="s">
        <v>388</v>
      </c>
      <c r="C278" s="38">
        <f>C272*C243*C240*2/1000*7.9</f>
        <v>689.56501772829506</v>
      </c>
      <c r="D278" s="38">
        <f>D272*D243*D240*2/1000*7.9</f>
        <v>0</v>
      </c>
      <c r="E278" s="38">
        <f>E272*E243*E240*2/1000*7.9</f>
        <v>0</v>
      </c>
    </row>
    <row r="279" spans="1:6" s="38" customFormat="1" x14ac:dyDescent="0.25">
      <c r="B279" s="39" t="s">
        <v>389</v>
      </c>
      <c r="C279" s="38">
        <f>C273*C243*C239*2/1000*7.9</f>
        <v>305.81848364588205</v>
      </c>
      <c r="D279" s="38">
        <f>D273*D243*D239*2/1000*7.9</f>
        <v>0</v>
      </c>
      <c r="E279" s="38">
        <f>E273*E243*E239*2/1000*7.9</f>
        <v>0</v>
      </c>
    </row>
    <row r="280" spans="1:6" s="38" customFormat="1" x14ac:dyDescent="0.25">
      <c r="B280" s="39" t="s">
        <v>359</v>
      </c>
      <c r="C280" s="38">
        <f>C272*(C251+C252*(C255-1))*C268*2/1000*7.9</f>
        <v>696.17536560000008</v>
      </c>
      <c r="D280" s="38">
        <f>D272*(D251+D252*(D255-1))*D268*2/1000*7.9</f>
        <v>866.41606800000011</v>
      </c>
      <c r="E280" s="38">
        <f>E272*(E251+E252*(E255-1))*E268*2/1000*7.9</f>
        <v>429.09134399999994</v>
      </c>
    </row>
    <row r="281" spans="1:6" s="38" customFormat="1" x14ac:dyDescent="0.25">
      <c r="B281" s="39" t="s">
        <v>360</v>
      </c>
      <c r="C281" s="38">
        <f>C273*(C250+C252*(C255-1))*C268*2/1000*7.9</f>
        <v>308.75013840000008</v>
      </c>
      <c r="D281" s="38">
        <f>D273*(D250+D252*(D255-1))*D268*2/1000*7.9</f>
        <v>1219.4003920000002</v>
      </c>
      <c r="E281" s="38">
        <f>E273*(E250+E252*(E255-1))*E268*2/1000*7.9</f>
        <v>971.4151260000001</v>
      </c>
    </row>
    <row r="282" spans="1:6" s="38" customFormat="1" x14ac:dyDescent="0.25">
      <c r="B282" s="39" t="s">
        <v>448</v>
      </c>
      <c r="C282" s="38">
        <f>C263*C264*C266/500*7.9</f>
        <v>0</v>
      </c>
      <c r="D282" s="38">
        <f>D263*D264*D266/500*7.9</f>
        <v>0</v>
      </c>
      <c r="E282" s="38">
        <f>E263*E264*E266/500*7.9</f>
        <v>0</v>
      </c>
    </row>
    <row r="283" spans="1:6" s="38" customFormat="1" x14ac:dyDescent="0.25">
      <c r="B283" s="39" t="s">
        <v>383</v>
      </c>
      <c r="C283" s="38">
        <f>C262*C266*C19*1.6/1000*7.9</f>
        <v>480.6994527999999</v>
      </c>
      <c r="D283" s="38">
        <f>D262*D266*D19*1.6/1000*7.9</f>
        <v>1019.8375440000002</v>
      </c>
      <c r="E283" s="38">
        <f>E262*E266*E19*1.6/1000*7.9</f>
        <v>277.11936000000003</v>
      </c>
    </row>
    <row r="284" spans="1:6" s="38" customFormat="1" x14ac:dyDescent="0.25">
      <c r="B284" s="39" t="s">
        <v>361</v>
      </c>
      <c r="C284" s="38">
        <f>C274+C275</f>
        <v>2909.2241106894794</v>
      </c>
      <c r="D284" s="38">
        <f>D274+D275</f>
        <v>6825.019824</v>
      </c>
      <c r="E284" s="38">
        <f>E274+E275</f>
        <v>4810.3842600000007</v>
      </c>
    </row>
    <row r="285" spans="1:6" s="38" customFormat="1" x14ac:dyDescent="0.25">
      <c r="B285" s="39" t="s">
        <v>362</v>
      </c>
      <c r="C285" s="38">
        <f>C276+C277</f>
        <v>4726.7222735844398</v>
      </c>
      <c r="D285" s="38">
        <f>D276+D277</f>
        <v>4771.418667132979</v>
      </c>
      <c r="E285" s="38">
        <f>E276+E277</f>
        <v>2379.92670384854</v>
      </c>
    </row>
    <row r="286" spans="1:6" s="38" customFormat="1" x14ac:dyDescent="0.25">
      <c r="B286" s="39" t="s">
        <v>394</v>
      </c>
      <c r="C286" s="38">
        <f>C278+C279</f>
        <v>995.38350137417706</v>
      </c>
      <c r="D286" s="38">
        <f>D278+D279</f>
        <v>0</v>
      </c>
      <c r="E286" s="38">
        <f>E278+E279</f>
        <v>0</v>
      </c>
    </row>
    <row r="287" spans="1:6" s="38" customFormat="1" x14ac:dyDescent="0.25">
      <c r="B287" s="39" t="s">
        <v>363</v>
      </c>
      <c r="C287" s="38">
        <f>C280+C281</f>
        <v>1004.9255040000002</v>
      </c>
      <c r="D287" s="38">
        <f>D280+D281</f>
        <v>2085.8164600000005</v>
      </c>
      <c r="E287" s="38">
        <f>E280+E281</f>
        <v>1400.50647</v>
      </c>
    </row>
    <row r="288" spans="1:6" s="38" customFormat="1" x14ac:dyDescent="0.25">
      <c r="B288" s="39" t="s">
        <v>396</v>
      </c>
      <c r="C288" s="38">
        <f>C265*C267*C249*2/1000*7.9</f>
        <v>762.50800000000004</v>
      </c>
      <c r="D288" s="38">
        <f>D265*D267*D249*2/1000*7.9</f>
        <v>0</v>
      </c>
      <c r="E288" s="38">
        <f>E265*E267*E249*2/1000*7.9</f>
        <v>0</v>
      </c>
    </row>
    <row r="289" spans="1:6" s="38" customFormat="1" x14ac:dyDescent="0.25">
      <c r="B289" s="39" t="s">
        <v>395</v>
      </c>
      <c r="C289" s="38">
        <f>((C260*2+C261)*(C273/10)^2+C231*2.5*15)/1000*7.9</f>
        <v>138.14109534000002</v>
      </c>
      <c r="D289" s="38">
        <f>((D260*2+D261)*(D273/10)^2+D231*2.5*15)/1000*7.9</f>
        <v>467.98114799999996</v>
      </c>
      <c r="E289" s="38">
        <f>((E260*2+E261)*(E273/10)^2+E231*2.5*15)/1000*7.9</f>
        <v>37.623750000000001</v>
      </c>
    </row>
    <row r="290" spans="1:6" s="38" customFormat="1" x14ac:dyDescent="0.25">
      <c r="B290" s="38" t="s">
        <v>158</v>
      </c>
      <c r="C290" s="38">
        <f>SUM(C282:C289)</f>
        <v>11017.603937788097</v>
      </c>
      <c r="D290" s="38">
        <f>SUM(D282:D289)</f>
        <v>15170.073643132979</v>
      </c>
      <c r="E290" s="38">
        <f>SUM(E282:E289)</f>
        <v>8905.5605438485418</v>
      </c>
    </row>
    <row r="291" spans="1:6" x14ac:dyDescent="0.25">
      <c r="B291" t="s">
        <v>159</v>
      </c>
      <c r="C291">
        <v>13.5</v>
      </c>
      <c r="D291">
        <v>15</v>
      </c>
      <c r="E291">
        <v>12</v>
      </c>
    </row>
    <row r="292" spans="1:6" x14ac:dyDescent="0.25">
      <c r="B292" t="s">
        <v>160</v>
      </c>
      <c r="C292">
        <v>9</v>
      </c>
      <c r="D292">
        <v>11.1</v>
      </c>
      <c r="E292">
        <v>8.5</v>
      </c>
    </row>
    <row r="293" spans="1:6" x14ac:dyDescent="0.25">
      <c r="B293" t="s">
        <v>161</v>
      </c>
      <c r="C293">
        <v>3</v>
      </c>
      <c r="D293">
        <v>3</v>
      </c>
      <c r="E293">
        <v>2.8</v>
      </c>
    </row>
    <row r="294" spans="1:6" s="3" customFormat="1" x14ac:dyDescent="0.25">
      <c r="A294" s="22" t="s">
        <v>456</v>
      </c>
      <c r="B294" t="s">
        <v>162</v>
      </c>
      <c r="C294">
        <v>305</v>
      </c>
      <c r="D294">
        <v>508</v>
      </c>
      <c r="E294">
        <v>305</v>
      </c>
      <c r="F294"/>
    </row>
    <row r="295" spans="1:6" s="3" customFormat="1" x14ac:dyDescent="0.25">
      <c r="A295" s="22" t="s">
        <v>457</v>
      </c>
      <c r="B295" t="s">
        <v>163</v>
      </c>
      <c r="C295">
        <v>178</v>
      </c>
      <c r="D295">
        <v>203</v>
      </c>
      <c r="E295">
        <v>102</v>
      </c>
      <c r="F295"/>
    </row>
    <row r="296" spans="1:6" s="3" customFormat="1" x14ac:dyDescent="0.25">
      <c r="B296" t="s">
        <v>164</v>
      </c>
      <c r="C296">
        <v>178</v>
      </c>
      <c r="D296">
        <v>305</v>
      </c>
      <c r="E296">
        <v>102</v>
      </c>
      <c r="F296"/>
    </row>
    <row r="297" spans="1:6" s="3" customFormat="1" x14ac:dyDescent="0.25">
      <c r="A297" s="22" t="s">
        <v>458</v>
      </c>
      <c r="B297" t="s">
        <v>165</v>
      </c>
      <c r="C297">
        <v>102</v>
      </c>
      <c r="D297">
        <v>178</v>
      </c>
      <c r="E297">
        <v>152</v>
      </c>
      <c r="F297"/>
    </row>
    <row r="298" spans="1:6" x14ac:dyDescent="0.25">
      <c r="B298" t="s">
        <v>166</v>
      </c>
      <c r="C298" s="1">
        <f>((C292*C293*(C294+C296)/1000)+(C291*C293*C295/1000*2)+(C291*C292*C297/1000))*7.85*C105*0.9</f>
        <v>1689.3262800000002</v>
      </c>
      <c r="D298" s="1">
        <f>((D292*D293*(D294+D296)/1000)+(D291*D293*D295/1000*2)+(D291*D292*D297/1000))*7.85*D105*0.9</f>
        <v>1589.1989805000001</v>
      </c>
      <c r="E298" s="1">
        <f>((E292*E293*(E294+E296)/1000)+(E291*E293*E295/1000*2)+(E291*E292*E297/1000))*7.85*E105*0.9</f>
        <v>679.19377499999985</v>
      </c>
      <c r="F298" s="1"/>
    </row>
    <row r="299" spans="1:6" x14ac:dyDescent="0.25">
      <c r="B299" t="s">
        <v>167</v>
      </c>
      <c r="C299" s="1">
        <f>C290+C298</f>
        <v>12706.930217788096</v>
      </c>
      <c r="D299" s="1">
        <f>D290+D298</f>
        <v>16759.27262363298</v>
      </c>
      <c r="E299" s="1">
        <f>E290+E298</f>
        <v>9584.7543188485415</v>
      </c>
      <c r="F299" s="1"/>
    </row>
    <row r="300" spans="1:6" x14ac:dyDescent="0.25">
      <c r="B300" t="s">
        <v>168</v>
      </c>
      <c r="C300" s="16">
        <f>C299/C13</f>
        <v>0.33455470489857564</v>
      </c>
      <c r="D300" s="16">
        <f>D299/D13</f>
        <v>0.3499198982101569</v>
      </c>
      <c r="E300" s="16">
        <f>E299/E13</f>
        <v>0.3210470575872385</v>
      </c>
      <c r="F300" s="16"/>
    </row>
    <row r="301" spans="1:6" s="44" customFormat="1" x14ac:dyDescent="0.25">
      <c r="B301" s="45" t="s">
        <v>475</v>
      </c>
      <c r="C301" s="44">
        <f>C285*C222/15000</f>
        <v>96.110019562883608</v>
      </c>
      <c r="D301" s="44">
        <f>D285*D222/15000</f>
        <v>129.14639859039929</v>
      </c>
      <c r="E301" s="44">
        <f>E285*E222/15000</f>
        <v>40.300092185168616</v>
      </c>
    </row>
    <row r="302" spans="1:6" s="44" customFormat="1" x14ac:dyDescent="0.25">
      <c r="B302" s="45" t="s">
        <v>476</v>
      </c>
      <c r="C302" s="44">
        <f>C284*C235/8000</f>
        <v>27.637629051550054</v>
      </c>
      <c r="D302" s="44">
        <f>D284*D235/8000</f>
        <v>151.856691084</v>
      </c>
      <c r="E302" s="44">
        <f>E284*E235/8000</f>
        <v>76.36485012750002</v>
      </c>
    </row>
    <row r="303" spans="1:6" s="44" customFormat="1" x14ac:dyDescent="0.25">
      <c r="B303" s="45" t="s">
        <v>477</v>
      </c>
      <c r="C303" s="44">
        <f>SUM(C282,C283,C286:C289,C298)/80</f>
        <v>63.387297918927217</v>
      </c>
      <c r="D303" s="44">
        <f>SUM(D282,D283,D286:D289,D298)/80</f>
        <v>64.53542665625001</v>
      </c>
      <c r="E303" s="44">
        <f>SUM(E282,E283,E286:E289,E298)/80</f>
        <v>29.930541937499999</v>
      </c>
    </row>
    <row r="304" spans="1:6" x14ac:dyDescent="0.25">
      <c r="B304" t="s">
        <v>169</v>
      </c>
      <c r="C304" s="1">
        <f>(C230+C239/3+C232+C233)/3</f>
        <v>358.44831284426891</v>
      </c>
      <c r="D304" s="1">
        <f>(D230+D239/3+D232+D233)/3</f>
        <v>422.36165004662121</v>
      </c>
      <c r="E304" s="1">
        <f>(E230+E239/3+E232+E233)/3</f>
        <v>267.07146870637456</v>
      </c>
      <c r="F304" s="1"/>
    </row>
    <row r="305" spans="2:6" x14ac:dyDescent="0.25">
      <c r="B305" s="21" t="s">
        <v>241</v>
      </c>
      <c r="C305" s="14">
        <f>((C125-(C230/C142*22400/C117)^(1/1.45))/5*C117/C130)^(1/0.82)</f>
        <v>14826.508506765078</v>
      </c>
      <c r="D305" s="14">
        <f>((D125-(D230/D142*22400/D117)^(1/1.45))/5*D117/D130)^(1/0.82)</f>
        <v>28543.556117641725</v>
      </c>
      <c r="E305" s="14">
        <f>((E125-(E230/E142*22400/E117)^(1/1.45))/5*E117/E130)^(1/0.82)</f>
        <v>21381.063710360457</v>
      </c>
      <c r="F305" s="14"/>
    </row>
    <row r="306" spans="2:6" x14ac:dyDescent="0.25">
      <c r="B306" s="21" t="s">
        <v>242</v>
      </c>
      <c r="C306" s="14">
        <f>((C125-(C232/C142*22400/C117)^(1/1.45))/5*C117/C130)^(1/0.82)</f>
        <v>14826.508506765078</v>
      </c>
      <c r="D306" s="14">
        <f>((D125-(D232/D142*22400/D117)^(1/1.45))/5*D117/D130)^(1/0.82)</f>
        <v>28543.556117641725</v>
      </c>
      <c r="E306" s="14">
        <f>((E125-(E232/E142*22400/E117)^(1/1.45))/5*E117/E130)^(1/0.82)</f>
        <v>21381.063710360457</v>
      </c>
      <c r="F306" s="14"/>
    </row>
    <row r="307" spans="2:6" x14ac:dyDescent="0.25">
      <c r="B307" s="21" t="s">
        <v>243</v>
      </c>
      <c r="C307" s="14">
        <f>((C125-(C233/C142*22400/C117)^(1/1.45))/5*C117/C130)^(1/0.82)</f>
        <v>14826.508506765078</v>
      </c>
      <c r="D307" s="14">
        <f>((D125-(D233/D142*22400/D117)^(1/1.45))/5*D117/D130)^(1/0.82)</f>
        <v>28543.556117641725</v>
      </c>
      <c r="E307" s="14">
        <f>((E125-(E233/E142*22400/E117)^(1/1.45))/5*E117/E130)^(1/0.82)</f>
        <v>21381.063710360457</v>
      </c>
      <c r="F307" s="14"/>
    </row>
    <row r="308" spans="2:6" x14ac:dyDescent="0.25">
      <c r="B308" s="27" t="s">
        <v>267</v>
      </c>
      <c r="C308" s="15">
        <f>((C125-(C304/C142*22400/C117)^(1/1.45))/5*C117/C130)^(1/0.82)</f>
        <v>13682.419751186042</v>
      </c>
      <c r="D308" s="15">
        <f>((D125-(D304/D142*22400/D117)^(1/1.45))/5*D117/D130)^(1/0.82)</f>
        <v>28543.556117641725</v>
      </c>
      <c r="E308" s="15">
        <f>((E125-(E304/E142*22400/E117)^(1/1.45))/5*E117/E130)^(1/0.82)</f>
        <v>21381.063710360457</v>
      </c>
      <c r="F308" s="15"/>
    </row>
    <row r="309" spans="2:6" x14ac:dyDescent="0.25">
      <c r="B309" s="27" t="s">
        <v>268</v>
      </c>
      <c r="C309" s="15">
        <f>C125^2*(SIN(((C248*C130*12/C117)^(1/1.02))*PI()/90))/9.8/((C133+C141)/C133)^1.25</f>
        <v>28619.280716025551</v>
      </c>
      <c r="D309" s="15">
        <f>D125^2*(SIN(((D248*D130*12/D117)^(1/1.02))*PI()/90))/9.8/((D133+D141)/D133)^1.25</f>
        <v>39752.967452052413</v>
      </c>
      <c r="E309" s="15">
        <f>E125^2*(SIN(((E248*E130*12/E117)^(1/1.02))*PI()/90))/9.8/((E133+E141)/E133)^1.25</f>
        <v>46482.548690952455</v>
      </c>
      <c r="F309" s="15"/>
    </row>
    <row r="310" spans="2:6" x14ac:dyDescent="0.25">
      <c r="B310" s="27" t="s">
        <v>269</v>
      </c>
      <c r="C310" s="15">
        <f>C309-C308</f>
        <v>14936.860964839509</v>
      </c>
      <c r="D310" s="15">
        <f>D309-D308</f>
        <v>11209.411334410688</v>
      </c>
      <c r="E310" s="15">
        <f>E309-E308</f>
        <v>25101.484980591998</v>
      </c>
      <c r="F310" s="15"/>
    </row>
    <row r="311" spans="2:6" x14ac:dyDescent="0.25">
      <c r="B311" s="11" t="s">
        <v>170</v>
      </c>
      <c r="C311" s="15">
        <f>C247*4.1</f>
        <v>435.01</v>
      </c>
      <c r="D311" s="15">
        <f>D247*4.1</f>
        <v>942.99999999999989</v>
      </c>
      <c r="E311" s="15">
        <f>E247*4.1</f>
        <v>712.99000000000012</v>
      </c>
      <c r="F311" s="15"/>
    </row>
    <row r="312" spans="2:6" x14ac:dyDescent="0.25">
      <c r="B312" s="10" t="s">
        <v>171</v>
      </c>
      <c r="C312" s="14">
        <f>C248*4.1</f>
        <v>435.01</v>
      </c>
      <c r="D312" s="14">
        <f>D248*4.1</f>
        <v>942.99999999999989</v>
      </c>
      <c r="E312" s="14">
        <f>E248*4.1</f>
        <v>712.99000000000012</v>
      </c>
      <c r="F312" s="14"/>
    </row>
    <row r="313" spans="2:6" x14ac:dyDescent="0.25">
      <c r="B313" s="10" t="s">
        <v>172</v>
      </c>
      <c r="C313" s="14">
        <f>(C251*C254*20+C252*C254*(C255-1)*10+C256/2*C258*(C255-1))/11</f>
        <v>146.40909090909091</v>
      </c>
      <c r="D313" s="14">
        <f>(D251*D254*20+D252*D254*(D255-1)*10+D256/2*D258*(D255-1))/11</f>
        <v>377.36363636363637</v>
      </c>
      <c r="E313" s="14">
        <f>(E251*E254*20+E252*E254*(E255-1)*10+E256/2*E258*(E255-1))/11</f>
        <v>252.54545454545453</v>
      </c>
      <c r="F313" s="14"/>
    </row>
    <row r="314" spans="2:6" x14ac:dyDescent="0.25">
      <c r="B314" s="18" t="s">
        <v>345</v>
      </c>
      <c r="C314" s="1">
        <f>C19*C17/(C18*C16)*(C34*C35+(C35+C45)*C42/4+C45*C42/4+(C35+C57)*C52/4+C57*C52/4)*(C20-C23)</f>
        <v>25775.359894923462</v>
      </c>
      <c r="D314" s="1">
        <f>D19*D17/(D18*D16)*(D34*D35+(D35+D45)*D42/4+D45*D42/4+(D35+D57)*D52/4+D57*D52/4)*(D20-D23)</f>
        <v>15900.239046299799</v>
      </c>
      <c r="E314" s="1">
        <f>E19*E17/(E18*E16)*(E34*E35+(E35+E45)*E42/4+E45*E42/4+(E35+E57)*E52/4+E57*E52/4)*(E20-E23)</f>
        <v>20650.36156655844</v>
      </c>
      <c r="F314" s="1"/>
    </row>
    <row r="315" spans="2:6" x14ac:dyDescent="0.25">
      <c r="B315" t="s">
        <v>173</v>
      </c>
      <c r="C315" s="1">
        <f>(C304+C312/3+C313/2)/C13^0.22</f>
        <v>56.677513464249493</v>
      </c>
      <c r="D315" s="1">
        <f>(D304+D312/3+D313/2)/D13^0.22</f>
        <v>86.428220667686062</v>
      </c>
      <c r="E315" s="1">
        <f>(E304+E312/3+E313/2)/E13^0.22</f>
        <v>65.39308666208359</v>
      </c>
      <c r="F315" s="1"/>
    </row>
    <row r="316" spans="2:6" x14ac:dyDescent="0.25">
      <c r="B316" t="s">
        <v>174</v>
      </c>
      <c r="C316" s="1">
        <f>(C314^0.8*C257^0.5*(C320/100)^0.1)/96</f>
        <v>76.568818544899429</v>
      </c>
      <c r="D316" s="1">
        <f>(D314^0.8*D257^0.5*(D320/100)^0.1)/96</f>
        <v>53.500122442363171</v>
      </c>
      <c r="E316" s="1">
        <f>(E314^0.8*E257^0.5*(E320/100)^0.1)/96</f>
        <v>53.035690839362907</v>
      </c>
      <c r="F316" s="1"/>
    </row>
    <row r="317" spans="2:6" x14ac:dyDescent="0.25">
      <c r="B317" s="18" t="s">
        <v>346</v>
      </c>
      <c r="C317" s="1">
        <f>C181*C109*C114^0.8/75</f>
        <v>101.09851341125822</v>
      </c>
      <c r="D317" s="1">
        <f>D181*D109*D114^0.8/75</f>
        <v>130.97347038215329</v>
      </c>
      <c r="E317" s="1">
        <f>E181*E109*E114^0.8/75</f>
        <v>101.76719796691181</v>
      </c>
      <c r="F317" s="1"/>
    </row>
    <row r="318" spans="2:6" x14ac:dyDescent="0.25">
      <c r="B318" s="18" t="s">
        <v>348</v>
      </c>
      <c r="C318" s="3">
        <v>14</v>
      </c>
      <c r="D318" s="3">
        <v>14</v>
      </c>
      <c r="E318" s="3">
        <v>11</v>
      </c>
      <c r="F318" s="3"/>
    </row>
    <row r="319" spans="2:6" x14ac:dyDescent="0.25">
      <c r="B319" s="18" t="s">
        <v>349</v>
      </c>
      <c r="C319" s="3">
        <v>122</v>
      </c>
      <c r="D319" s="3">
        <v>140</v>
      </c>
      <c r="E319" s="3">
        <v>145</v>
      </c>
      <c r="F319" s="3"/>
    </row>
    <row r="320" spans="2:6" x14ac:dyDescent="0.25">
      <c r="B320" s="18" t="s">
        <v>350</v>
      </c>
      <c r="C320" s="1">
        <f>C318*C319*C87</f>
        <v>972.71947973417684</v>
      </c>
      <c r="D320" s="1">
        <f>D318*D319*D87</f>
        <v>1286.5438335902966</v>
      </c>
      <c r="E320" s="1">
        <f>E318*E319*E87</f>
        <v>1106.1738165134227</v>
      </c>
      <c r="F320" s="1"/>
    </row>
    <row r="321" spans="2:6" x14ac:dyDescent="0.25">
      <c r="B321" s="4" t="s">
        <v>175</v>
      </c>
      <c r="C321" s="3">
        <v>1</v>
      </c>
      <c r="D321" s="3">
        <v>1</v>
      </c>
      <c r="E321" s="3">
        <v>1</v>
      </c>
      <c r="F321" s="3"/>
    </row>
    <row r="322" spans="2:6" x14ac:dyDescent="0.25">
      <c r="B322" s="18" t="s">
        <v>245</v>
      </c>
      <c r="C322" s="1">
        <f>((C16*C18*C20)/14)*C321+C28*C18/15+C320/2</f>
        <v>9240.9061684385179</v>
      </c>
      <c r="D322" s="1">
        <f>((D16*D18*D20)/14)*D321+D28*D18/15+D320/2</f>
        <v>10438.735726318959</v>
      </c>
      <c r="E322" s="1">
        <f>((E16*E18*E20)/14)*E321+E28*E18/15+E320/2</f>
        <v>6493.0869082567115</v>
      </c>
      <c r="F322" s="1"/>
    </row>
    <row r="323" spans="2:6" x14ac:dyDescent="0.25">
      <c r="B323" s="18" t="s">
        <v>248</v>
      </c>
      <c r="C323" s="1">
        <f>(C26-C20)*C18*(C16/100)/10</f>
        <v>302.49450000000002</v>
      </c>
      <c r="D323" s="1">
        <f>(D26-D20)*D18*(D16/100)/10</f>
        <v>232.94559999999996</v>
      </c>
      <c r="E323" s="1">
        <f>(E26-E20)*E18*(E16/100)/10</f>
        <v>194.04000000000002</v>
      </c>
      <c r="F323" s="1"/>
    </row>
    <row r="324" spans="2:6" x14ac:dyDescent="0.25">
      <c r="B324" s="22" t="s">
        <v>244</v>
      </c>
      <c r="C324" s="3">
        <v>2000</v>
      </c>
      <c r="D324" s="3">
        <v>1500</v>
      </c>
      <c r="E324" s="3">
        <v>1000</v>
      </c>
      <c r="F324" s="3"/>
    </row>
    <row r="325" spans="2:6" x14ac:dyDescent="0.25">
      <c r="B325" s="22" t="s">
        <v>246</v>
      </c>
      <c r="C325" s="1">
        <f t="shared" ref="C325:D325" si="38">C322+C324+C323</f>
        <v>11543.400668438519</v>
      </c>
      <c r="D325" s="1">
        <f t="shared" si="38"/>
        <v>12171.681326318958</v>
      </c>
      <c r="E325" s="1">
        <f t="shared" ref="E325" si="39">E322+E324+E323</f>
        <v>7687.1269082567114</v>
      </c>
      <c r="F325" s="1"/>
    </row>
    <row r="326" spans="2:6" s="46" customFormat="1" x14ac:dyDescent="0.25">
      <c r="B326" s="47" t="s">
        <v>478</v>
      </c>
      <c r="C326" s="48">
        <f>(C325-C324)/40</f>
        <v>238.58501671096298</v>
      </c>
      <c r="D326" s="48">
        <f>(D325-D324)/40</f>
        <v>266.79203315797395</v>
      </c>
      <c r="E326" s="48">
        <f>(E325-E324)/40</f>
        <v>167.1781727064178</v>
      </c>
      <c r="F326" s="48"/>
    </row>
    <row r="327" spans="2:6" s="46" customFormat="1" x14ac:dyDescent="0.25">
      <c r="B327" s="47" t="s">
        <v>479</v>
      </c>
      <c r="C327" s="48">
        <v>71</v>
      </c>
      <c r="D327" s="48">
        <v>134</v>
      </c>
      <c r="E327" s="48">
        <v>135</v>
      </c>
      <c r="F327" s="48"/>
    </row>
    <row r="328" spans="2:6" x14ac:dyDescent="0.25">
      <c r="B328" s="22" t="s">
        <v>249</v>
      </c>
      <c r="C328" s="3">
        <v>3</v>
      </c>
      <c r="D328" s="3">
        <v>1</v>
      </c>
      <c r="E328" s="3">
        <v>1</v>
      </c>
      <c r="F328" s="3"/>
    </row>
    <row r="329" spans="2:6" x14ac:dyDescent="0.25">
      <c r="B329" s="22" t="s">
        <v>250</v>
      </c>
      <c r="C329" s="3">
        <v>0</v>
      </c>
      <c r="D329" s="3">
        <v>0</v>
      </c>
      <c r="E329" s="3">
        <v>0</v>
      </c>
      <c r="F329" s="3"/>
    </row>
    <row r="330" spans="2:6" x14ac:dyDescent="0.25">
      <c r="B330" s="23" t="s">
        <v>251</v>
      </c>
      <c r="C330" s="24">
        <f>((C105-C328-C329)*(C293+1)+C328*(C293+3.5)+C329*(C293+5.8))/C105</f>
        <v>5.25</v>
      </c>
      <c r="D330" s="24">
        <f>((D105-D328-D329)*(D293+1)+D328*(D293+3.5)+D329*(D293+5.8))/D105</f>
        <v>4.833333333333333</v>
      </c>
      <c r="E330" s="24">
        <f>((E105-E328-E329)*(E293+1)+E328*(E293+3.5)+E329*(E293+5.8))/E105</f>
        <v>4.6333333333333329</v>
      </c>
      <c r="F330" s="24"/>
    </row>
    <row r="331" spans="2:6" x14ac:dyDescent="0.25">
      <c r="B331" t="s">
        <v>176</v>
      </c>
      <c r="C331" s="1">
        <f>((C110/1000)^3*C111*C109+(C187/1000)^3*C188*C186)*182+C206*C207/200</f>
        <v>5096.8867491360006</v>
      </c>
      <c r="D331" s="1">
        <f>((D110/1000)^3*D111*D109+(D187/1000)^3*D188*D186)*182+D206*D207/200</f>
        <v>5912.4533832000016</v>
      </c>
      <c r="E331" s="1">
        <f>((E110/1000)^3*E111*E109+(E187/1000)^3*E188*E186)*182+E206*E207/200</f>
        <v>2824.5098945699997</v>
      </c>
      <c r="F331" s="1"/>
    </row>
    <row r="332" spans="2:6" x14ac:dyDescent="0.25">
      <c r="B332" t="s">
        <v>177</v>
      </c>
      <c r="C332" s="1">
        <f>C109*C115*C117*1.2/1000+C186*C191*C190*1.5/1000+C194*C198*C197*2/1000000+C200*C204*C203*2.5/1000000+(C206+C214)*C209/1000</f>
        <v>1391.904</v>
      </c>
      <c r="D332" s="1">
        <f>D109*D115*D117*1.2/1000+D186*D191*D190*1.5/1000+D194*D198*D197*2/1000000+D200*D204*D203*2.5/1000000+(D206+D214)*D209/1000</f>
        <v>1843.19</v>
      </c>
      <c r="E332" s="1">
        <f>E109*E115*E117*1.2/1000+E186*E191*E190*1.5/1000+E194*E198*E197*2/1000000+E200*E204*E203*2.5/1000000+(E206+E214)*E209/1000</f>
        <v>1059.5999999999999</v>
      </c>
      <c r="F332" s="1"/>
    </row>
    <row r="333" spans="2:6" x14ac:dyDescent="0.25">
      <c r="B333" t="s">
        <v>178</v>
      </c>
      <c r="C333">
        <f>C71*C77</f>
        <v>3570</v>
      </c>
      <c r="D333">
        <f>D71*D77</f>
        <v>7560</v>
      </c>
      <c r="E333">
        <f>E71*E77</f>
        <v>6343.68</v>
      </c>
    </row>
    <row r="334" spans="2:6" x14ac:dyDescent="0.25">
      <c r="B334" t="s">
        <v>179</v>
      </c>
      <c r="C334">
        <v>720</v>
      </c>
      <c r="D334">
        <v>0</v>
      </c>
      <c r="E334">
        <v>0</v>
      </c>
    </row>
    <row r="335" spans="2:6" x14ac:dyDescent="0.25">
      <c r="B335" t="s">
        <v>180</v>
      </c>
      <c r="C335" s="1">
        <f>C12/16</f>
        <v>2412.5</v>
      </c>
      <c r="D335" s="1">
        <f>D12/16</f>
        <v>3000</v>
      </c>
      <c r="E335" s="1">
        <f>E12/16</f>
        <v>1875</v>
      </c>
      <c r="F335" s="1"/>
    </row>
    <row r="336" spans="2:6" x14ac:dyDescent="0.25">
      <c r="B336" t="s">
        <v>181</v>
      </c>
      <c r="C336" s="1">
        <v>1800</v>
      </c>
      <c r="D336" s="1">
        <v>2000</v>
      </c>
      <c r="E336" s="1">
        <v>1600</v>
      </c>
      <c r="F336" s="1"/>
    </row>
    <row r="337" spans="1:6" x14ac:dyDescent="0.25">
      <c r="B337" t="s">
        <v>182</v>
      </c>
      <c r="C337" s="1">
        <f t="shared" ref="C337:E337" si="40">C336*0.3</f>
        <v>540</v>
      </c>
      <c r="D337" s="1">
        <f t="shared" si="40"/>
        <v>600</v>
      </c>
      <c r="E337" s="1">
        <f t="shared" si="40"/>
        <v>480</v>
      </c>
      <c r="F337" s="1"/>
    </row>
    <row r="338" spans="1:6" x14ac:dyDescent="0.25">
      <c r="B338" t="s">
        <v>183</v>
      </c>
      <c r="C338" s="1">
        <v>250</v>
      </c>
      <c r="D338" s="1">
        <v>350</v>
      </c>
      <c r="E338" s="1">
        <v>350</v>
      </c>
      <c r="F338" s="1"/>
    </row>
    <row r="339" spans="1:6" x14ac:dyDescent="0.25">
      <c r="B339" t="s">
        <v>184</v>
      </c>
      <c r="C339">
        <v>0</v>
      </c>
      <c r="D339" s="1">
        <v>3</v>
      </c>
      <c r="E339" s="1">
        <v>0</v>
      </c>
      <c r="F339" s="1"/>
    </row>
    <row r="340" spans="1:6" x14ac:dyDescent="0.25">
      <c r="B340" t="s">
        <v>185</v>
      </c>
      <c r="C340">
        <f t="shared" ref="C340:D340" si="41">C339*16</f>
        <v>0</v>
      </c>
      <c r="D340">
        <f t="shared" si="41"/>
        <v>48</v>
      </c>
      <c r="E340">
        <f t="shared" ref="E340" si="42">E339*16</f>
        <v>0</v>
      </c>
    </row>
    <row r="341" spans="1:6" x14ac:dyDescent="0.25">
      <c r="B341" t="s">
        <v>186</v>
      </c>
      <c r="C341" s="1">
        <f>C299+C325+C331+C333+C334+C335</f>
        <v>36049.717635362613</v>
      </c>
      <c r="D341" s="1">
        <f>D299+D325+D331+D333+D334+D335</f>
        <v>45403.407333151939</v>
      </c>
      <c r="E341" s="1">
        <f>E299+E325+E331+E333+E334+E335</f>
        <v>28315.071121675253</v>
      </c>
      <c r="F341" s="1"/>
    </row>
    <row r="342" spans="1:6" x14ac:dyDescent="0.25">
      <c r="B342" t="s">
        <v>187</v>
      </c>
      <c r="C342" s="1">
        <f>C14-C341-C340-C332-C338-C337</f>
        <v>5456.93648963739</v>
      </c>
      <c r="D342" s="1">
        <f>D14-D341-D340-D332-D338-D337</f>
        <v>15881.698229348065</v>
      </c>
      <c r="E342" s="1">
        <f>E14-E341-E340-E332-E338-E337</f>
        <v>5010.4070033247463</v>
      </c>
      <c r="F342" s="1"/>
    </row>
    <row r="343" spans="1:6" x14ac:dyDescent="0.25">
      <c r="A343" s="18" t="s">
        <v>459</v>
      </c>
      <c r="B343" t="s">
        <v>188</v>
      </c>
      <c r="C343" s="1">
        <f>C265*C73*C72*0.9</f>
        <v>35794.923840000003</v>
      </c>
      <c r="D343" s="1">
        <f>D265*D73*D72*0.9</f>
        <v>35968.058100000002</v>
      </c>
      <c r="E343" s="1">
        <f>E265*E73*E72*0.9</f>
        <v>25718.246874</v>
      </c>
      <c r="F343" s="1"/>
    </row>
    <row r="344" spans="1:6" x14ac:dyDescent="0.25">
      <c r="B344" s="3" t="s">
        <v>189</v>
      </c>
      <c r="C344" s="3">
        <v>0</v>
      </c>
      <c r="D344" s="3"/>
      <c r="E344" s="3"/>
      <c r="F344" s="3"/>
    </row>
    <row r="345" spans="1:6" x14ac:dyDescent="0.25">
      <c r="B345" s="3" t="s">
        <v>190</v>
      </c>
      <c r="C345" s="3">
        <v>0</v>
      </c>
      <c r="D345" s="3"/>
      <c r="E345" s="3"/>
      <c r="F345" s="3"/>
    </row>
    <row r="346" spans="1:6" x14ac:dyDescent="0.25">
      <c r="B346" s="3" t="s">
        <v>191</v>
      </c>
      <c r="C346" s="3">
        <v>2</v>
      </c>
      <c r="D346" s="3"/>
      <c r="E346" s="3"/>
      <c r="F346" s="3"/>
    </row>
    <row r="347" spans="1:6" x14ac:dyDescent="0.25">
      <c r="B347" s="3" t="s">
        <v>192</v>
      </c>
      <c r="C347" s="3">
        <v>1.5</v>
      </c>
      <c r="D347" s="3"/>
      <c r="E347" s="3"/>
      <c r="F347" s="3"/>
    </row>
    <row r="348" spans="1:6" x14ac:dyDescent="0.25">
      <c r="B348" t="s">
        <v>193</v>
      </c>
      <c r="C348">
        <v>0</v>
      </c>
    </row>
    <row r="349" spans="1:6" x14ac:dyDescent="0.25">
      <c r="B349" t="s">
        <v>194</v>
      </c>
      <c r="C349">
        <v>0</v>
      </c>
    </row>
    <row r="350" spans="1:6" x14ac:dyDescent="0.25">
      <c r="B350" t="s">
        <v>195</v>
      </c>
      <c r="C350">
        <v>8</v>
      </c>
    </row>
    <row r="351" spans="1:6" x14ac:dyDescent="0.25">
      <c r="B351" t="s">
        <v>196</v>
      </c>
      <c r="C351">
        <v>11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SheetLayoutView="100" workbookViewId="0">
      <selection activeCell="C14" sqref="C14:C16"/>
    </sheetView>
  </sheetViews>
  <sheetFormatPr defaultColWidth="9" defaultRowHeight="15.6" x14ac:dyDescent="0.25"/>
  <cols>
    <col min="3" max="3" width="44.69921875" customWidth="1"/>
  </cols>
  <sheetData>
    <row r="1" spans="1:3" x14ac:dyDescent="0.25">
      <c r="A1" t="s">
        <v>197</v>
      </c>
    </row>
    <row r="2" spans="1:3" x14ac:dyDescent="0.25">
      <c r="A2" t="s">
        <v>198</v>
      </c>
      <c r="B2" t="s">
        <v>130</v>
      </c>
      <c r="C2" t="s">
        <v>199</v>
      </c>
    </row>
    <row r="3" spans="1:3" x14ac:dyDescent="0.25">
      <c r="A3" t="s">
        <v>200</v>
      </c>
      <c r="B3" t="s">
        <v>131</v>
      </c>
      <c r="C3" t="s">
        <v>201</v>
      </c>
    </row>
    <row r="4" spans="1:3" x14ac:dyDescent="0.25">
      <c r="A4" t="s">
        <v>202</v>
      </c>
      <c r="B4" t="s">
        <v>145</v>
      </c>
      <c r="C4" t="s">
        <v>203</v>
      </c>
    </row>
    <row r="5" spans="1:3" x14ac:dyDescent="0.25">
      <c r="A5" t="s">
        <v>204</v>
      </c>
      <c r="B5" t="s">
        <v>132</v>
      </c>
      <c r="C5" t="s">
        <v>205</v>
      </c>
    </row>
    <row r="6" spans="1:3" x14ac:dyDescent="0.25">
      <c r="A6" t="s">
        <v>206</v>
      </c>
      <c r="B6" t="s">
        <v>133</v>
      </c>
      <c r="C6" t="s">
        <v>207</v>
      </c>
    </row>
    <row r="7" spans="1:3" x14ac:dyDescent="0.25">
      <c r="A7" t="s">
        <v>208</v>
      </c>
      <c r="B7" t="s">
        <v>134</v>
      </c>
      <c r="C7" t="s">
        <v>209</v>
      </c>
    </row>
    <row r="8" spans="1:3" x14ac:dyDescent="0.25">
      <c r="A8" t="s">
        <v>210</v>
      </c>
      <c r="B8" t="s">
        <v>149</v>
      </c>
      <c r="C8" t="s">
        <v>211</v>
      </c>
    </row>
    <row r="9" spans="1:3" x14ac:dyDescent="0.25">
      <c r="A9" t="s">
        <v>212</v>
      </c>
      <c r="B9" t="s">
        <v>150</v>
      </c>
      <c r="C9" t="s">
        <v>213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6"/>
  <sheetViews>
    <sheetView topLeftCell="AC1" zoomScaleSheetLayoutView="100" workbookViewId="0">
      <selection activeCell="AK16" sqref="AK16"/>
    </sheetView>
  </sheetViews>
  <sheetFormatPr defaultColWidth="9" defaultRowHeight="15.6" x14ac:dyDescent="0.25"/>
  <cols>
    <col min="1" max="1" width="16.69921875" customWidth="1"/>
    <col min="2" max="2" width="10.796875" customWidth="1"/>
    <col min="5" max="5" width="11.09765625" customWidth="1"/>
    <col min="9" max="9" width="11.5" customWidth="1"/>
    <col min="21" max="21" width="11.296875" customWidth="1"/>
    <col min="25" max="25" width="10.796875" customWidth="1"/>
  </cols>
  <sheetData>
    <row r="1" spans="1:44" x14ac:dyDescent="0.25">
      <c r="A1" t="s">
        <v>214</v>
      </c>
      <c r="Q1" t="s">
        <v>215</v>
      </c>
      <c r="R1" t="s">
        <v>216</v>
      </c>
      <c r="S1" t="s">
        <v>217</v>
      </c>
      <c r="T1" t="s">
        <v>218</v>
      </c>
      <c r="V1" t="s">
        <v>219</v>
      </c>
      <c r="W1" t="s">
        <v>220</v>
      </c>
    </row>
    <row r="2" spans="1:44" x14ac:dyDescent="0.25">
      <c r="A2" t="s">
        <v>3</v>
      </c>
      <c r="B2" t="e">
        <f>Sheet1!#REF!</f>
        <v>#REF!</v>
      </c>
      <c r="C2" t="e">
        <f>Sheet1!#REF!</f>
        <v>#REF!</v>
      </c>
      <c r="D2" t="e">
        <f>Sheet1!#REF!</f>
        <v>#REF!</v>
      </c>
      <c r="E2" t="e">
        <f>Sheet1!#REF!</f>
        <v>#REF!</v>
      </c>
      <c r="F2" t="e">
        <f>Sheet1!#REF!</f>
        <v>#REF!</v>
      </c>
      <c r="G2" t="e">
        <f>Sheet1!#REF!</f>
        <v>#REF!</v>
      </c>
      <c r="H2" t="e">
        <f>Sheet1!#REF!</f>
        <v>#REF!</v>
      </c>
      <c r="I2" t="e">
        <f>Sheet1!#REF!</f>
        <v>#REF!</v>
      </c>
      <c r="J2" t="e">
        <f>Sheet1!#REF!</f>
        <v>#REF!</v>
      </c>
      <c r="K2" t="e">
        <f>Sheet1!#REF!</f>
        <v>#REF!</v>
      </c>
      <c r="L2" t="e">
        <f>Sheet1!#REF!</f>
        <v>#REF!</v>
      </c>
      <c r="M2" t="e">
        <f>Sheet1!#REF!</f>
        <v>#REF!</v>
      </c>
      <c r="N2" t="e">
        <f>Sheet1!#REF!</f>
        <v>#REF!</v>
      </c>
      <c r="O2" t="e">
        <f>Sheet1!#REF!</f>
        <v>#REF!</v>
      </c>
      <c r="P2" t="e">
        <f>Sheet1!#REF!</f>
        <v>#REF!</v>
      </c>
      <c r="Q2" t="e">
        <f>Sheet1!#REF!</f>
        <v>#REF!</v>
      </c>
      <c r="R2" t="e">
        <f>Sheet1!#REF!</f>
        <v>#REF!</v>
      </c>
      <c r="S2" t="e">
        <f>Sheet1!#REF!</f>
        <v>#REF!</v>
      </c>
      <c r="T2" t="e">
        <f>Sheet1!#REF!</f>
        <v>#REF!</v>
      </c>
      <c r="U2" t="e">
        <f>Sheet1!#REF!</f>
        <v>#REF!</v>
      </c>
      <c r="V2" t="e">
        <f>Sheet1!#REF!</f>
        <v>#REF!</v>
      </c>
      <c r="W2" t="e">
        <f>Sheet1!#REF!</f>
        <v>#REF!</v>
      </c>
      <c r="X2" t="e">
        <f>Sheet1!#REF!</f>
        <v>#REF!</v>
      </c>
      <c r="Y2" t="e">
        <f>Sheet1!#REF!</f>
        <v>#REF!</v>
      </c>
      <c r="Z2" t="str">
        <f>Sheet1!C3</f>
        <v>ZL02</v>
      </c>
      <c r="AA2" t="e">
        <f>Sheet1!#REF!</f>
        <v>#REF!</v>
      </c>
      <c r="AB2" t="e">
        <f>Sheet1!#REF!</f>
        <v>#REF!</v>
      </c>
      <c r="AC2" t="e">
        <f>Sheet1!#REF!</f>
        <v>#REF!</v>
      </c>
      <c r="AD2" t="e">
        <f>Sheet1!#REF!</f>
        <v>#REF!</v>
      </c>
      <c r="AE2" t="e">
        <f>Sheet1!#REF!</f>
        <v>#REF!</v>
      </c>
      <c r="AF2" t="e">
        <f>Sheet1!#REF!</f>
        <v>#REF!</v>
      </c>
      <c r="AG2" t="e">
        <f>Sheet1!#REF!</f>
        <v>#REF!</v>
      </c>
      <c r="AH2" t="e">
        <f>Sheet1!#REF!</f>
        <v>#REF!</v>
      </c>
      <c r="AI2" t="e">
        <f>Sheet1!#REF!</f>
        <v>#REF!</v>
      </c>
      <c r="AJ2" t="e">
        <f>Sheet1!#REF!</f>
        <v>#REF!</v>
      </c>
      <c r="AK2" t="e">
        <f>Sheet1!#REF!</f>
        <v>#REF!</v>
      </c>
      <c r="AL2" t="e">
        <f>Sheet1!#REF!</f>
        <v>#REF!</v>
      </c>
      <c r="AM2" t="e">
        <f>Sheet1!#REF!</f>
        <v>#REF!</v>
      </c>
      <c r="AN2" t="e">
        <f>Sheet1!#REF!</f>
        <v>#REF!</v>
      </c>
      <c r="AO2" t="e">
        <f>Sheet1!#REF!</f>
        <v>#REF!</v>
      </c>
      <c r="AP2" t="e">
        <f>Sheet1!#REF!</f>
        <v>#REF!</v>
      </c>
      <c r="AQ2" t="e">
        <f>Sheet1!#REF!</f>
        <v>#REF!</v>
      </c>
      <c r="AR2" t="e">
        <f>Sheet1!#REF!</f>
        <v>#REF!</v>
      </c>
    </row>
    <row r="3" spans="1:44" x14ac:dyDescent="0.25">
      <c r="A3" t="s">
        <v>1</v>
      </c>
      <c r="B3" t="e">
        <f>Sheet1!#REF!</f>
        <v>#REF!</v>
      </c>
      <c r="C3" t="e">
        <f>Sheet1!#REF!</f>
        <v>#REF!</v>
      </c>
      <c r="D3" t="e">
        <f>Sheet1!#REF!</f>
        <v>#REF!</v>
      </c>
      <c r="E3" t="e">
        <f>Sheet1!#REF!</f>
        <v>#REF!</v>
      </c>
      <c r="F3" t="e">
        <f>Sheet1!#REF!</f>
        <v>#REF!</v>
      </c>
      <c r="G3" t="e">
        <f>Sheet1!#REF!</f>
        <v>#REF!</v>
      </c>
      <c r="H3" t="e">
        <f>Sheet1!#REF!</f>
        <v>#REF!</v>
      </c>
      <c r="I3" t="e">
        <f>Sheet1!#REF!</f>
        <v>#REF!</v>
      </c>
      <c r="J3" t="e">
        <f>Sheet1!#REF!</f>
        <v>#REF!</v>
      </c>
      <c r="K3" t="e">
        <f>Sheet1!#REF!</f>
        <v>#REF!</v>
      </c>
      <c r="L3" t="e">
        <f>Sheet1!#REF!</f>
        <v>#REF!</v>
      </c>
      <c r="M3" t="e">
        <f>Sheet1!#REF!</f>
        <v>#REF!</v>
      </c>
      <c r="N3" t="e">
        <f>Sheet1!#REF!</f>
        <v>#REF!</v>
      </c>
      <c r="O3" t="e">
        <f>Sheet1!#REF!</f>
        <v>#REF!</v>
      </c>
      <c r="P3" t="e">
        <f>Sheet1!#REF!</f>
        <v>#REF!</v>
      </c>
      <c r="Q3" t="e">
        <f>Sheet1!#REF!</f>
        <v>#REF!</v>
      </c>
      <c r="R3" t="e">
        <f>Sheet1!#REF!</f>
        <v>#REF!</v>
      </c>
      <c r="S3" t="e">
        <f>Sheet1!#REF!</f>
        <v>#REF!</v>
      </c>
      <c r="T3" t="e">
        <f>Sheet1!#REF!</f>
        <v>#REF!</v>
      </c>
      <c r="U3" t="e">
        <f>Sheet1!#REF!</f>
        <v>#REF!</v>
      </c>
      <c r="V3" t="e">
        <f>Sheet1!#REF!</f>
        <v>#REF!</v>
      </c>
      <c r="W3" t="e">
        <f>Sheet1!#REF!</f>
        <v>#REF!</v>
      </c>
      <c r="X3" t="e">
        <f>Sheet1!#REF!</f>
        <v>#REF!</v>
      </c>
      <c r="Y3" t="e">
        <f>Sheet1!#REF!</f>
        <v>#REF!</v>
      </c>
      <c r="Z3" t="str">
        <f>Sheet1!C2</f>
        <v>战列舰</v>
      </c>
      <c r="AA3" t="e">
        <f>Sheet1!#REF!</f>
        <v>#REF!</v>
      </c>
      <c r="AB3" t="e">
        <f>Sheet1!#REF!</f>
        <v>#REF!</v>
      </c>
      <c r="AC3" t="e">
        <f>Sheet1!#REF!</f>
        <v>#REF!</v>
      </c>
      <c r="AD3" t="e">
        <f>Sheet1!#REF!</f>
        <v>#REF!</v>
      </c>
      <c r="AE3" t="e">
        <f>Sheet1!#REF!</f>
        <v>#REF!</v>
      </c>
      <c r="AF3" t="e">
        <f>Sheet1!#REF!</f>
        <v>#REF!</v>
      </c>
      <c r="AG3" t="e">
        <f>Sheet1!#REF!</f>
        <v>#REF!</v>
      </c>
      <c r="AH3" t="e">
        <f>Sheet1!#REF!</f>
        <v>#REF!</v>
      </c>
      <c r="AI3" t="e">
        <f>Sheet1!#REF!</f>
        <v>#REF!</v>
      </c>
      <c r="AJ3" t="e">
        <f>Sheet1!#REF!</f>
        <v>#REF!</v>
      </c>
      <c r="AK3" t="e">
        <f>Sheet1!#REF!</f>
        <v>#REF!</v>
      </c>
      <c r="AL3" t="e">
        <f>Sheet1!#REF!</f>
        <v>#REF!</v>
      </c>
      <c r="AM3" t="e">
        <f>Sheet1!#REF!</f>
        <v>#REF!</v>
      </c>
      <c r="AN3" t="e">
        <f>Sheet1!#REF!</f>
        <v>#REF!</v>
      </c>
      <c r="AO3" t="e">
        <f>Sheet1!#REF!</f>
        <v>#REF!</v>
      </c>
      <c r="AP3" t="e">
        <f>Sheet1!#REF!</f>
        <v>#REF!</v>
      </c>
      <c r="AQ3" t="e">
        <f>Sheet1!#REF!</f>
        <v>#REF!</v>
      </c>
      <c r="AR3" t="e">
        <f>Sheet1!#REF!</f>
        <v>#REF!</v>
      </c>
    </row>
    <row r="4" spans="1:44" x14ac:dyDescent="0.25">
      <c r="A4" t="s">
        <v>18</v>
      </c>
      <c r="B4" s="1" t="e">
        <f>Sheet1!#REF!</f>
        <v>#REF!</v>
      </c>
      <c r="C4" s="1" t="e">
        <f>Sheet1!#REF!</f>
        <v>#REF!</v>
      </c>
      <c r="D4" s="1" t="e">
        <f>Sheet1!#REF!</f>
        <v>#REF!</v>
      </c>
      <c r="E4" s="1" t="e">
        <f>Sheet1!#REF!</f>
        <v>#REF!</v>
      </c>
      <c r="F4" s="1" t="e">
        <f>Sheet1!#REF!</f>
        <v>#REF!</v>
      </c>
      <c r="G4" s="1" t="e">
        <f>Sheet1!#REF!</f>
        <v>#REF!</v>
      </c>
      <c r="H4" s="1" t="e">
        <f>Sheet1!#REF!</f>
        <v>#REF!</v>
      </c>
      <c r="I4" s="1" t="e">
        <f>Sheet1!#REF!</f>
        <v>#REF!</v>
      </c>
      <c r="J4" s="1" t="e">
        <f>Sheet1!#REF!</f>
        <v>#REF!</v>
      </c>
      <c r="K4" s="1" t="e">
        <f>Sheet1!#REF!</f>
        <v>#REF!</v>
      </c>
      <c r="L4" s="1" t="e">
        <f>Sheet1!#REF!</f>
        <v>#REF!</v>
      </c>
      <c r="M4" s="1" t="e">
        <f>Sheet1!#REF!</f>
        <v>#REF!</v>
      </c>
      <c r="N4" s="1" t="e">
        <f>Sheet1!#REF!</f>
        <v>#REF!</v>
      </c>
      <c r="O4" s="1" t="e">
        <f>Sheet1!#REF!</f>
        <v>#REF!</v>
      </c>
      <c r="P4" s="1" t="e">
        <f>Sheet1!#REF!</f>
        <v>#REF!</v>
      </c>
      <c r="Q4" s="1" t="e">
        <f>Sheet1!#REF!</f>
        <v>#REF!</v>
      </c>
      <c r="R4" s="1" t="e">
        <f>Sheet1!#REF!</f>
        <v>#REF!</v>
      </c>
      <c r="S4" s="1" t="e">
        <f>Sheet1!#REF!</f>
        <v>#REF!</v>
      </c>
      <c r="T4" s="1" t="e">
        <f>Sheet1!#REF!</f>
        <v>#REF!</v>
      </c>
      <c r="U4" s="1" t="e">
        <f>Sheet1!#REF!</f>
        <v>#REF!</v>
      </c>
      <c r="V4" s="1" t="e">
        <f>Sheet1!#REF!</f>
        <v>#REF!</v>
      </c>
      <c r="W4" s="1" t="e">
        <f>Sheet1!#REF!</f>
        <v>#REF!</v>
      </c>
      <c r="X4" s="1" t="e">
        <f>Sheet1!#REF!</f>
        <v>#REF!</v>
      </c>
      <c r="Y4" s="1" t="e">
        <f>Sheet1!#REF!</f>
        <v>#REF!</v>
      </c>
      <c r="Z4" s="1">
        <f>Sheet1!C13</f>
        <v>37981.621635362615</v>
      </c>
      <c r="AA4" s="1" t="e">
        <f>Sheet1!#REF!</f>
        <v>#REF!</v>
      </c>
      <c r="AB4" s="1" t="e">
        <f>Sheet1!#REF!</f>
        <v>#REF!</v>
      </c>
      <c r="AC4" s="1" t="e">
        <f>Sheet1!#REF!</f>
        <v>#REF!</v>
      </c>
      <c r="AD4" s="1" t="e">
        <f>Sheet1!#REF!</f>
        <v>#REF!</v>
      </c>
      <c r="AE4" s="1" t="e">
        <f>Sheet1!#REF!</f>
        <v>#REF!</v>
      </c>
      <c r="AF4" s="1" t="e">
        <f>Sheet1!#REF!</f>
        <v>#REF!</v>
      </c>
      <c r="AG4" s="1" t="e">
        <f>Sheet1!#REF!</f>
        <v>#REF!</v>
      </c>
      <c r="AH4" s="1" t="e">
        <f>Sheet1!#REF!</f>
        <v>#REF!</v>
      </c>
      <c r="AI4" s="1" t="e">
        <f>Sheet1!#REF!</f>
        <v>#REF!</v>
      </c>
      <c r="AJ4" s="1" t="e">
        <f>Sheet1!#REF!</f>
        <v>#REF!</v>
      </c>
      <c r="AK4" s="1" t="e">
        <f>Sheet1!#REF!</f>
        <v>#REF!</v>
      </c>
      <c r="AL4" s="1" t="e">
        <f>Sheet1!#REF!</f>
        <v>#REF!</v>
      </c>
      <c r="AM4" s="1" t="e">
        <f>Sheet1!#REF!</f>
        <v>#REF!</v>
      </c>
      <c r="AN4" s="1" t="e">
        <f>Sheet1!#REF!</f>
        <v>#REF!</v>
      </c>
      <c r="AO4" s="1" t="e">
        <f>Sheet1!#REF!</f>
        <v>#REF!</v>
      </c>
      <c r="AP4" s="1" t="e">
        <f>Sheet1!#REF!</f>
        <v>#REF!</v>
      </c>
      <c r="AQ4" s="1" t="e">
        <f>Sheet1!#REF!</f>
        <v>#REF!</v>
      </c>
      <c r="AR4" s="1" t="e">
        <f>Sheet1!#REF!</f>
        <v>#REF!</v>
      </c>
    </row>
    <row r="5" spans="1:44" x14ac:dyDescent="0.25">
      <c r="A5" t="s">
        <v>27</v>
      </c>
      <c r="B5" s="3" t="e">
        <f>Sheet1!#REF!</f>
        <v>#REF!</v>
      </c>
      <c r="C5" s="3" t="e">
        <f>Sheet1!#REF!</f>
        <v>#REF!</v>
      </c>
      <c r="D5" s="3" t="e">
        <f>Sheet1!#REF!</f>
        <v>#REF!</v>
      </c>
      <c r="E5" s="3" t="e">
        <f>Sheet1!#REF!</f>
        <v>#REF!</v>
      </c>
      <c r="F5" s="3" t="e">
        <f>Sheet1!#REF!</f>
        <v>#REF!</v>
      </c>
      <c r="G5" s="3" t="e">
        <f>Sheet1!#REF!</f>
        <v>#REF!</v>
      </c>
      <c r="H5" s="3" t="e">
        <f>Sheet1!#REF!</f>
        <v>#REF!</v>
      </c>
      <c r="I5" s="3" t="e">
        <f>Sheet1!#REF!</f>
        <v>#REF!</v>
      </c>
      <c r="J5" s="3" t="e">
        <f>Sheet1!#REF!</f>
        <v>#REF!</v>
      </c>
      <c r="K5" s="3" t="e">
        <f>Sheet1!#REF!</f>
        <v>#REF!</v>
      </c>
      <c r="L5" s="3" t="e">
        <f>Sheet1!#REF!</f>
        <v>#REF!</v>
      </c>
      <c r="M5" s="3" t="e">
        <f>Sheet1!#REF!</f>
        <v>#REF!</v>
      </c>
      <c r="N5" s="3" t="e">
        <f>Sheet1!#REF!</f>
        <v>#REF!</v>
      </c>
      <c r="O5" s="3" t="e">
        <f>Sheet1!#REF!</f>
        <v>#REF!</v>
      </c>
      <c r="P5" s="3" t="e">
        <f>Sheet1!#REF!</f>
        <v>#REF!</v>
      </c>
      <c r="Q5" s="3" t="e">
        <f>Sheet1!#REF!</f>
        <v>#REF!</v>
      </c>
      <c r="R5" s="3" t="e">
        <f>Sheet1!#REF!</f>
        <v>#REF!</v>
      </c>
      <c r="S5" s="3" t="e">
        <f>Sheet1!#REF!</f>
        <v>#REF!</v>
      </c>
      <c r="T5" s="3" t="e">
        <f>Sheet1!#REF!</f>
        <v>#REF!</v>
      </c>
      <c r="U5" s="3" t="e">
        <f>Sheet1!#REF!</f>
        <v>#REF!</v>
      </c>
      <c r="V5" s="3" t="e">
        <f>Sheet1!#REF!</f>
        <v>#REF!</v>
      </c>
      <c r="W5" s="3" t="e">
        <f>Sheet1!#REF!</f>
        <v>#REF!</v>
      </c>
      <c r="X5" s="3" t="e">
        <f>Sheet1!#REF!</f>
        <v>#REF!</v>
      </c>
      <c r="Y5" s="3" t="e">
        <f>Sheet1!#REF!</f>
        <v>#REF!</v>
      </c>
      <c r="Z5" s="3">
        <f>Sheet1!C22</f>
        <v>5.7586063096807365</v>
      </c>
      <c r="AA5" s="3" t="e">
        <f>Sheet1!#REF!</f>
        <v>#REF!</v>
      </c>
      <c r="AB5" s="3" t="e">
        <f>Sheet1!#REF!</f>
        <v>#REF!</v>
      </c>
      <c r="AC5" s="3" t="e">
        <f>Sheet1!#REF!</f>
        <v>#REF!</v>
      </c>
      <c r="AD5" s="3" t="e">
        <f>Sheet1!#REF!</f>
        <v>#REF!</v>
      </c>
      <c r="AE5" s="3" t="e">
        <f>Sheet1!#REF!</f>
        <v>#REF!</v>
      </c>
      <c r="AF5" s="3" t="e">
        <f>Sheet1!#REF!</f>
        <v>#REF!</v>
      </c>
      <c r="AG5" s="3" t="e">
        <f>Sheet1!#REF!</f>
        <v>#REF!</v>
      </c>
      <c r="AH5" s="3" t="e">
        <f>Sheet1!#REF!</f>
        <v>#REF!</v>
      </c>
      <c r="AI5" s="3" t="e">
        <f>Sheet1!#REF!</f>
        <v>#REF!</v>
      </c>
      <c r="AJ5" s="3" t="e">
        <f>Sheet1!#REF!</f>
        <v>#REF!</v>
      </c>
      <c r="AK5" s="3" t="e">
        <f>Sheet1!#REF!</f>
        <v>#REF!</v>
      </c>
      <c r="AL5" s="3" t="e">
        <f>Sheet1!#REF!</f>
        <v>#REF!</v>
      </c>
      <c r="AM5" s="3" t="e">
        <f>Sheet1!#REF!</f>
        <v>#REF!</v>
      </c>
      <c r="AN5" s="3" t="e">
        <f>Sheet1!#REF!</f>
        <v>#REF!</v>
      </c>
      <c r="AO5" s="3" t="e">
        <f>Sheet1!#REF!</f>
        <v>#REF!</v>
      </c>
      <c r="AP5" s="3" t="e">
        <f>Sheet1!#REF!</f>
        <v>#REF!</v>
      </c>
      <c r="AQ5" s="3" t="e">
        <f>Sheet1!#REF!</f>
        <v>#REF!</v>
      </c>
      <c r="AR5" s="3" t="e">
        <f>Sheet1!#REF!</f>
        <v>#REF!</v>
      </c>
    </row>
    <row r="6" spans="1:44" x14ac:dyDescent="0.25">
      <c r="A6" t="s">
        <v>221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1.3</v>
      </c>
      <c r="V6">
        <v>1</v>
      </c>
      <c r="W6">
        <v>1</v>
      </c>
      <c r="X6">
        <v>1</v>
      </c>
      <c r="Y6">
        <v>1.5</v>
      </c>
      <c r="Z6">
        <v>1</v>
      </c>
      <c r="AA6">
        <v>1</v>
      </c>
      <c r="AB6">
        <v>1</v>
      </c>
      <c r="AC6">
        <v>1</v>
      </c>
      <c r="AD6">
        <v>4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2.4</v>
      </c>
      <c r="AQ6">
        <v>2</v>
      </c>
      <c r="AR6">
        <v>1</v>
      </c>
    </row>
    <row r="7" spans="1:44" x14ac:dyDescent="0.25">
      <c r="A7" t="s">
        <v>50</v>
      </c>
      <c r="B7" t="e">
        <f>Sheet1!#REF!</f>
        <v>#REF!</v>
      </c>
      <c r="C7" t="e">
        <f>Sheet1!#REF!</f>
        <v>#REF!</v>
      </c>
      <c r="D7" t="e">
        <f>Sheet1!#REF!</f>
        <v>#REF!</v>
      </c>
      <c r="E7" t="e">
        <f>Sheet1!#REF!</f>
        <v>#REF!</v>
      </c>
      <c r="F7" t="e">
        <f>Sheet1!#REF!</f>
        <v>#REF!</v>
      </c>
      <c r="G7" t="e">
        <f>Sheet1!#REF!</f>
        <v>#REF!</v>
      </c>
      <c r="H7" t="e">
        <f>Sheet1!#REF!</f>
        <v>#REF!</v>
      </c>
      <c r="I7" t="e">
        <f>Sheet1!#REF!</f>
        <v>#REF!</v>
      </c>
      <c r="J7" t="e">
        <f>Sheet1!#REF!</f>
        <v>#REF!</v>
      </c>
      <c r="K7" t="e">
        <f>Sheet1!#REF!</f>
        <v>#REF!</v>
      </c>
      <c r="L7" t="e">
        <f>Sheet1!#REF!</f>
        <v>#REF!</v>
      </c>
      <c r="M7" t="e">
        <f>Sheet1!#REF!</f>
        <v>#REF!</v>
      </c>
      <c r="N7" t="e">
        <f>Sheet1!#REF!</f>
        <v>#REF!</v>
      </c>
      <c r="O7" t="e">
        <f>Sheet1!#REF!</f>
        <v>#REF!</v>
      </c>
      <c r="P7" t="e">
        <f>Sheet1!#REF!</f>
        <v>#REF!</v>
      </c>
      <c r="Q7" t="e">
        <f>Sheet1!#REF!</f>
        <v>#REF!</v>
      </c>
      <c r="R7" t="e">
        <f>Sheet1!#REF!</f>
        <v>#REF!</v>
      </c>
      <c r="S7" t="e">
        <f>Sheet1!#REF!</f>
        <v>#REF!</v>
      </c>
      <c r="T7" t="e">
        <f>Sheet1!#REF!</f>
        <v>#REF!</v>
      </c>
      <c r="U7" t="e">
        <f>Sheet1!#REF!</f>
        <v>#REF!</v>
      </c>
      <c r="V7" t="e">
        <f>Sheet1!#REF!</f>
        <v>#REF!</v>
      </c>
      <c r="W7" t="e">
        <f>Sheet1!#REF!</f>
        <v>#REF!</v>
      </c>
      <c r="X7" t="e">
        <f>Sheet1!#REF!</f>
        <v>#REF!</v>
      </c>
      <c r="Y7" t="e">
        <f>Sheet1!#REF!</f>
        <v>#REF!</v>
      </c>
      <c r="Z7">
        <f>Sheet1!C110</f>
        <v>356</v>
      </c>
      <c r="AA7" t="e">
        <f>Sheet1!#REF!</f>
        <v>#REF!</v>
      </c>
      <c r="AB7" t="e">
        <f>Sheet1!#REF!</f>
        <v>#REF!</v>
      </c>
      <c r="AC7" t="e">
        <f>Sheet1!#REF!</f>
        <v>#REF!</v>
      </c>
      <c r="AD7" t="e">
        <f>Sheet1!#REF!</f>
        <v>#REF!</v>
      </c>
      <c r="AE7" t="e">
        <f>Sheet1!#REF!</f>
        <v>#REF!</v>
      </c>
      <c r="AF7" t="e">
        <f>Sheet1!#REF!</f>
        <v>#REF!</v>
      </c>
      <c r="AG7" t="e">
        <f>Sheet1!#REF!</f>
        <v>#REF!</v>
      </c>
      <c r="AH7" t="e">
        <f>Sheet1!#REF!</f>
        <v>#REF!</v>
      </c>
      <c r="AI7" t="e">
        <f>Sheet1!#REF!</f>
        <v>#REF!</v>
      </c>
      <c r="AJ7" t="e">
        <f>Sheet1!#REF!</f>
        <v>#REF!</v>
      </c>
      <c r="AK7" t="e">
        <f>Sheet1!#REF!</f>
        <v>#REF!</v>
      </c>
      <c r="AL7" t="e">
        <f>Sheet1!#REF!</f>
        <v>#REF!</v>
      </c>
      <c r="AM7" t="e">
        <f>Sheet1!#REF!</f>
        <v>#REF!</v>
      </c>
      <c r="AN7" t="e">
        <f>Sheet1!#REF!</f>
        <v>#REF!</v>
      </c>
      <c r="AO7" t="e">
        <f>Sheet1!#REF!</f>
        <v>#REF!</v>
      </c>
      <c r="AP7" t="e">
        <f>Sheet1!#REF!</f>
        <v>#REF!</v>
      </c>
      <c r="AQ7" t="e">
        <f>Sheet1!#REF!</f>
        <v>#REF!</v>
      </c>
      <c r="AR7" t="e">
        <f>Sheet1!#REF!</f>
        <v>#REF!</v>
      </c>
    </row>
    <row r="8" spans="1:44" x14ac:dyDescent="0.25">
      <c r="A8" t="s">
        <v>222</v>
      </c>
      <c r="B8" t="e">
        <f>Sheet1!#REF!</f>
        <v>#REF!</v>
      </c>
      <c r="C8" t="e">
        <f>Sheet1!#REF!</f>
        <v>#REF!</v>
      </c>
      <c r="D8" t="e">
        <f>Sheet1!#REF!</f>
        <v>#REF!</v>
      </c>
      <c r="E8" t="e">
        <f>Sheet1!#REF!</f>
        <v>#REF!</v>
      </c>
      <c r="F8" t="e">
        <f>Sheet1!#REF!</f>
        <v>#REF!</v>
      </c>
      <c r="G8" t="e">
        <f>Sheet1!#REF!</f>
        <v>#REF!</v>
      </c>
      <c r="H8" t="e">
        <f>Sheet1!#REF!</f>
        <v>#REF!</v>
      </c>
      <c r="I8" t="e">
        <f>Sheet1!#REF!</f>
        <v>#REF!</v>
      </c>
      <c r="J8" t="e">
        <f>Sheet1!#REF!</f>
        <v>#REF!</v>
      </c>
      <c r="K8" t="e">
        <f>Sheet1!#REF!</f>
        <v>#REF!</v>
      </c>
      <c r="L8" t="e">
        <f>Sheet1!#REF!</f>
        <v>#REF!</v>
      </c>
      <c r="M8" t="e">
        <f>Sheet1!#REF!</f>
        <v>#REF!</v>
      </c>
      <c r="N8" t="e">
        <f>Sheet1!#REF!</f>
        <v>#REF!</v>
      </c>
      <c r="O8" t="e">
        <f>Sheet1!#REF!</f>
        <v>#REF!</v>
      </c>
      <c r="P8" t="e">
        <f>Sheet1!#REF!</f>
        <v>#REF!</v>
      </c>
      <c r="Q8" t="e">
        <f>Sheet1!#REF!</f>
        <v>#REF!</v>
      </c>
      <c r="R8" t="e">
        <f>Sheet1!#REF!</f>
        <v>#REF!</v>
      </c>
      <c r="S8" t="e">
        <f>Sheet1!#REF!</f>
        <v>#REF!</v>
      </c>
      <c r="T8" t="e">
        <f>Sheet1!#REF!</f>
        <v>#REF!</v>
      </c>
      <c r="U8" t="e">
        <f>Sheet1!#REF!</f>
        <v>#REF!</v>
      </c>
      <c r="V8" t="e">
        <f>Sheet1!#REF!</f>
        <v>#REF!</v>
      </c>
      <c r="W8" t="e">
        <f>Sheet1!#REF!</f>
        <v>#REF!</v>
      </c>
      <c r="X8" t="e">
        <f>Sheet1!#REF!</f>
        <v>#REF!</v>
      </c>
      <c r="Y8" t="e">
        <f>Sheet1!#REF!</f>
        <v>#REF!</v>
      </c>
      <c r="Z8">
        <f>Sheet1!C109</f>
        <v>12</v>
      </c>
      <c r="AA8" t="e">
        <f>Sheet1!#REF!</f>
        <v>#REF!</v>
      </c>
      <c r="AB8" t="e">
        <f>Sheet1!#REF!</f>
        <v>#REF!</v>
      </c>
      <c r="AC8" t="e">
        <f>Sheet1!#REF!</f>
        <v>#REF!</v>
      </c>
      <c r="AD8" t="e">
        <f>Sheet1!#REF!</f>
        <v>#REF!</v>
      </c>
      <c r="AE8" t="e">
        <f>Sheet1!#REF!</f>
        <v>#REF!</v>
      </c>
      <c r="AF8" t="e">
        <f>Sheet1!#REF!</f>
        <v>#REF!</v>
      </c>
      <c r="AG8" t="e">
        <f>Sheet1!#REF!</f>
        <v>#REF!</v>
      </c>
      <c r="AH8" t="e">
        <f>Sheet1!#REF!</f>
        <v>#REF!</v>
      </c>
      <c r="AI8" t="e">
        <f>Sheet1!#REF!</f>
        <v>#REF!</v>
      </c>
      <c r="AJ8" t="e">
        <f>Sheet1!#REF!</f>
        <v>#REF!</v>
      </c>
      <c r="AK8" t="e">
        <f>Sheet1!#REF!</f>
        <v>#REF!</v>
      </c>
      <c r="AL8" t="e">
        <f>Sheet1!#REF!</f>
        <v>#REF!</v>
      </c>
      <c r="AM8" t="e">
        <f>Sheet1!#REF!</f>
        <v>#REF!</v>
      </c>
      <c r="AN8" t="e">
        <f>Sheet1!#REF!</f>
        <v>#REF!</v>
      </c>
      <c r="AO8" t="e">
        <f>Sheet1!#REF!</f>
        <v>#REF!</v>
      </c>
      <c r="AP8" t="e">
        <f>Sheet1!#REF!</f>
        <v>#REF!</v>
      </c>
      <c r="AQ8" t="e">
        <f>Sheet1!#REF!</f>
        <v>#REF!</v>
      </c>
      <c r="AR8" t="e">
        <f>Sheet1!#REF!</f>
        <v>#REF!</v>
      </c>
    </row>
    <row r="14" spans="1:44" x14ac:dyDescent="0.25">
      <c r="A14" t="s">
        <v>270</v>
      </c>
      <c r="B14" s="18" t="s">
        <v>273</v>
      </c>
      <c r="C14" s="18" t="s">
        <v>273</v>
      </c>
      <c r="D14" s="18" t="s">
        <v>279</v>
      </c>
      <c r="E14" s="18" t="s">
        <v>282</v>
      </c>
      <c r="F14" s="18" t="s">
        <v>284</v>
      </c>
      <c r="G14" s="18" t="s">
        <v>281</v>
      </c>
      <c r="H14" s="18" t="s">
        <v>287</v>
      </c>
      <c r="I14" s="18" t="s">
        <v>273</v>
      </c>
      <c r="AK14" s="18" t="s">
        <v>291</v>
      </c>
      <c r="AL14" s="18" t="s">
        <v>289</v>
      </c>
      <c r="AM14" s="18" t="s">
        <v>282</v>
      </c>
    </row>
    <row r="15" spans="1:44" x14ac:dyDescent="0.25">
      <c r="A15" t="s">
        <v>271</v>
      </c>
      <c r="B15" s="18" t="s">
        <v>276</v>
      </c>
      <c r="C15" s="18" t="s">
        <v>277</v>
      </c>
      <c r="D15" s="18" t="s">
        <v>280</v>
      </c>
      <c r="E15" s="18" t="s">
        <v>274</v>
      </c>
      <c r="F15" s="18" t="s">
        <v>281</v>
      </c>
      <c r="G15" s="18" t="s">
        <v>281</v>
      </c>
      <c r="H15" s="18" t="s">
        <v>273</v>
      </c>
      <c r="I15" s="18" t="s">
        <v>280</v>
      </c>
      <c r="AK15" s="18" t="s">
        <v>292</v>
      </c>
      <c r="AL15" s="18" t="s">
        <v>282</v>
      </c>
      <c r="AM15" s="18" t="s">
        <v>273</v>
      </c>
    </row>
    <row r="16" spans="1:44" x14ac:dyDescent="0.25">
      <c r="A16" s="18" t="s">
        <v>272</v>
      </c>
      <c r="B16" s="18" t="s">
        <v>275</v>
      </c>
      <c r="C16" s="18" t="s">
        <v>278</v>
      </c>
      <c r="D16" s="18" t="s">
        <v>281</v>
      </c>
      <c r="E16" s="18" t="s">
        <v>283</v>
      </c>
      <c r="F16" s="18" t="s">
        <v>285</v>
      </c>
      <c r="G16" s="18" t="s">
        <v>282</v>
      </c>
      <c r="H16" s="18" t="s">
        <v>286</v>
      </c>
      <c r="I16" s="18" t="s">
        <v>288</v>
      </c>
      <c r="AK16" s="18" t="s">
        <v>289</v>
      </c>
      <c r="AL16" s="18" t="s">
        <v>290</v>
      </c>
      <c r="AM16" s="18" t="s">
        <v>289</v>
      </c>
    </row>
    <row r="17" spans="1:44" x14ac:dyDescent="0.25">
      <c r="A17" t="s">
        <v>223</v>
      </c>
      <c r="B17" s="1" t="e">
        <f>Sheet1!#REF!*B6/2.5</f>
        <v>#REF!</v>
      </c>
      <c r="C17" s="1" t="e">
        <f>Sheet1!#REF!*C6/2.5</f>
        <v>#REF!</v>
      </c>
      <c r="D17" s="1" t="e">
        <f t="shared" ref="D17:AR17" si="0">D4^0.8*D5^0.5*D6/160</f>
        <v>#REF!</v>
      </c>
      <c r="E17" s="1" t="e">
        <f t="shared" si="0"/>
        <v>#REF!</v>
      </c>
      <c r="F17" s="1" t="e">
        <f t="shared" si="0"/>
        <v>#REF!</v>
      </c>
      <c r="G17" s="1" t="e">
        <f t="shared" si="0"/>
        <v>#REF!</v>
      </c>
      <c r="H17" s="1" t="e">
        <f t="shared" si="0"/>
        <v>#REF!</v>
      </c>
      <c r="I17" s="1" t="e">
        <f t="shared" si="0"/>
        <v>#REF!</v>
      </c>
      <c r="J17" s="1" t="e">
        <f t="shared" si="0"/>
        <v>#REF!</v>
      </c>
      <c r="K17" s="1" t="e">
        <f t="shared" si="0"/>
        <v>#REF!</v>
      </c>
      <c r="L17" s="1" t="e">
        <f t="shared" si="0"/>
        <v>#REF!</v>
      </c>
      <c r="M17" s="1" t="e">
        <f t="shared" si="0"/>
        <v>#REF!</v>
      </c>
      <c r="N17" s="1" t="e">
        <f t="shared" si="0"/>
        <v>#REF!</v>
      </c>
      <c r="O17" s="1" t="e">
        <f t="shared" si="0"/>
        <v>#REF!</v>
      </c>
      <c r="P17" s="1" t="e">
        <f t="shared" si="0"/>
        <v>#REF!</v>
      </c>
      <c r="Q17" s="1" t="e">
        <f t="shared" si="0"/>
        <v>#REF!</v>
      </c>
      <c r="R17" s="1" t="e">
        <f t="shared" si="0"/>
        <v>#REF!</v>
      </c>
      <c r="S17" s="1" t="e">
        <f t="shared" si="0"/>
        <v>#REF!</v>
      </c>
      <c r="T17" s="1" t="e">
        <f t="shared" si="0"/>
        <v>#REF!</v>
      </c>
      <c r="U17" s="1" t="e">
        <f t="shared" si="0"/>
        <v>#REF!</v>
      </c>
      <c r="V17" s="1" t="e">
        <f t="shared" si="0"/>
        <v>#REF!</v>
      </c>
      <c r="W17" s="1" t="e">
        <f t="shared" si="0"/>
        <v>#REF!</v>
      </c>
      <c r="X17" s="1" t="e">
        <f t="shared" si="0"/>
        <v>#REF!</v>
      </c>
      <c r="Y17" s="1" t="e">
        <f t="shared" si="0"/>
        <v>#REF!</v>
      </c>
      <c r="Z17" s="1">
        <f t="shared" si="0"/>
        <v>69.134927893056016</v>
      </c>
      <c r="AA17" s="1" t="e">
        <f t="shared" si="0"/>
        <v>#REF!</v>
      </c>
      <c r="AB17" s="1" t="e">
        <f t="shared" si="0"/>
        <v>#REF!</v>
      </c>
      <c r="AC17" s="1" t="e">
        <f t="shared" si="0"/>
        <v>#REF!</v>
      </c>
      <c r="AD17" s="1" t="e">
        <f t="shared" si="0"/>
        <v>#REF!</v>
      </c>
      <c r="AE17" s="1" t="e">
        <f t="shared" si="0"/>
        <v>#REF!</v>
      </c>
      <c r="AF17" s="1" t="e">
        <f t="shared" si="0"/>
        <v>#REF!</v>
      </c>
      <c r="AG17" s="1" t="e">
        <f t="shared" si="0"/>
        <v>#REF!</v>
      </c>
      <c r="AH17" s="1" t="e">
        <f t="shared" si="0"/>
        <v>#REF!</v>
      </c>
      <c r="AI17" s="1" t="e">
        <f t="shared" si="0"/>
        <v>#REF!</v>
      </c>
      <c r="AJ17" s="1" t="e">
        <f t="shared" si="0"/>
        <v>#REF!</v>
      </c>
      <c r="AK17" s="1" t="e">
        <f t="shared" si="0"/>
        <v>#REF!</v>
      </c>
      <c r="AL17" s="1" t="e">
        <f t="shared" si="0"/>
        <v>#REF!</v>
      </c>
      <c r="AM17" s="1" t="e">
        <f t="shared" si="0"/>
        <v>#REF!</v>
      </c>
      <c r="AN17" s="1" t="e">
        <f t="shared" si="0"/>
        <v>#REF!</v>
      </c>
      <c r="AO17" s="1" t="e">
        <f t="shared" si="0"/>
        <v>#REF!</v>
      </c>
      <c r="AP17" s="1" t="e">
        <f t="shared" si="0"/>
        <v>#REF!</v>
      </c>
      <c r="AQ17" s="1" t="e">
        <f t="shared" si="0"/>
        <v>#REF!</v>
      </c>
      <c r="AR17" s="1" t="e">
        <f t="shared" si="0"/>
        <v>#REF!</v>
      </c>
    </row>
    <row r="18" spans="1:44" x14ac:dyDescent="0.25">
      <c r="A18" t="s">
        <v>224</v>
      </c>
      <c r="B18" s="1" t="e">
        <f>Sheet1!#REF!/60</f>
        <v>#REF!</v>
      </c>
      <c r="C18" s="1" t="e">
        <f>Sheet1!#REF!/60</f>
        <v>#REF!</v>
      </c>
      <c r="D18" s="1" t="e">
        <f>Sheet1!#REF!/60</f>
        <v>#REF!</v>
      </c>
      <c r="E18" s="1" t="e">
        <f>Sheet1!#REF!/60</f>
        <v>#REF!</v>
      </c>
      <c r="F18" s="1" t="e">
        <f>Sheet1!#REF!/60</f>
        <v>#REF!</v>
      </c>
      <c r="G18" s="1" t="e">
        <f>Sheet1!#REF!/60</f>
        <v>#REF!</v>
      </c>
      <c r="H18" s="1" t="e">
        <f>Sheet1!#REF!/60</f>
        <v>#REF!</v>
      </c>
      <c r="I18" s="1" t="e">
        <f>Sheet1!#REF!/60</f>
        <v>#REF!</v>
      </c>
      <c r="J18" s="1" t="e">
        <f>Sheet1!#REF!/60</f>
        <v>#REF!</v>
      </c>
      <c r="K18" s="1" t="e">
        <f>Sheet1!#REF!/60</f>
        <v>#REF!</v>
      </c>
      <c r="L18" s="1" t="e">
        <f>Sheet1!#REF!/60</f>
        <v>#REF!</v>
      </c>
      <c r="M18" s="1" t="e">
        <f>Sheet1!#REF!/60</f>
        <v>#REF!</v>
      </c>
      <c r="N18" s="1" t="e">
        <f>Sheet1!#REF!/60</f>
        <v>#REF!</v>
      </c>
      <c r="O18" s="1" t="e">
        <f>Sheet1!#REF!/60</f>
        <v>#REF!</v>
      </c>
      <c r="P18" s="1" t="e">
        <f>Sheet1!#REF!/60</f>
        <v>#REF!</v>
      </c>
      <c r="Q18" s="1" t="e">
        <f>Sheet1!#REF!/60</f>
        <v>#REF!</v>
      </c>
      <c r="R18" s="1" t="e">
        <f>Sheet1!#REF!/60</f>
        <v>#REF!</v>
      </c>
      <c r="S18" s="1" t="e">
        <f>Sheet1!#REF!/60</f>
        <v>#REF!</v>
      </c>
      <c r="T18" s="1" t="e">
        <f>Sheet1!#REF!/60</f>
        <v>#REF!</v>
      </c>
      <c r="U18" s="1" t="e">
        <f>Sheet1!#REF!/60</f>
        <v>#REF!</v>
      </c>
      <c r="V18" s="1" t="e">
        <f>Sheet1!#REF!/60</f>
        <v>#REF!</v>
      </c>
      <c r="W18" s="1" t="e">
        <f>Sheet1!#REF!/60</f>
        <v>#REF!</v>
      </c>
      <c r="X18" s="1" t="e">
        <f>Sheet1!#REF!/60</f>
        <v>#REF!</v>
      </c>
      <c r="Y18" s="1" t="e">
        <f>Sheet1!#REF!/60</f>
        <v>#REF!</v>
      </c>
      <c r="Z18" s="1">
        <f>Sheet1!C215/60</f>
        <v>145.16462006019751</v>
      </c>
      <c r="AA18" s="1" t="e">
        <f>Sheet1!#REF!/60</f>
        <v>#REF!</v>
      </c>
      <c r="AB18" s="1" t="e">
        <f>Sheet1!#REF!/60</f>
        <v>#REF!</v>
      </c>
      <c r="AC18" s="1" t="e">
        <f>Sheet1!#REF!/60</f>
        <v>#REF!</v>
      </c>
      <c r="AD18" s="1" t="e">
        <f>Sheet1!#REF!/60</f>
        <v>#REF!</v>
      </c>
      <c r="AE18" s="1" t="e">
        <f>Sheet1!#REF!/60</f>
        <v>#REF!</v>
      </c>
      <c r="AF18" s="1" t="e">
        <f>Sheet1!#REF!/60</f>
        <v>#REF!</v>
      </c>
      <c r="AG18" s="1" t="e">
        <f>Sheet1!#REF!/60</f>
        <v>#REF!</v>
      </c>
      <c r="AH18" s="1" t="e">
        <f>Sheet1!#REF!/60</f>
        <v>#REF!</v>
      </c>
      <c r="AI18" s="1" t="e">
        <f>Sheet1!#REF!/60</f>
        <v>#REF!</v>
      </c>
      <c r="AJ18" s="1" t="e">
        <f>Sheet1!#REF!/60</f>
        <v>#REF!</v>
      </c>
      <c r="AK18" s="1" t="e">
        <f>Sheet1!#REF!/60</f>
        <v>#REF!</v>
      </c>
      <c r="AL18" s="1" t="e">
        <f>Sheet1!#REF!/60</f>
        <v>#REF!</v>
      </c>
      <c r="AM18" s="1" t="e">
        <f>Sheet1!#REF!/60</f>
        <v>#REF!</v>
      </c>
      <c r="AN18" s="1" t="e">
        <f>Sheet1!#REF!/60</f>
        <v>#REF!</v>
      </c>
      <c r="AO18" s="1" t="e">
        <f>Sheet1!#REF!/60</f>
        <v>#REF!</v>
      </c>
      <c r="AP18" s="1" t="e">
        <f>Sheet1!#REF!/60</f>
        <v>#REF!</v>
      </c>
      <c r="AQ18" s="1" t="e">
        <f>Sheet1!#REF!/60</f>
        <v>#REF!</v>
      </c>
      <c r="AR18" s="1" t="e">
        <f>Sheet1!#REF!/60</f>
        <v>#REF!</v>
      </c>
    </row>
    <row r="19" spans="1:44" x14ac:dyDescent="0.25">
      <c r="A19" t="s">
        <v>225</v>
      </c>
      <c r="B19" s="1" t="e">
        <f>Sheet1!#REF!/180+Sheet1!#REF!*Sheet1!#REF!*Sheet1!#REF!*0.5/450</f>
        <v>#REF!</v>
      </c>
      <c r="C19" s="1" t="e">
        <f>Sheet1!#REF!/180+Sheet1!#REF!*Sheet1!#REF!*Sheet1!#REF!*0.5/450</f>
        <v>#REF!</v>
      </c>
      <c r="D19" s="1" t="e">
        <f>Sheet1!#REF!/180+Sheet1!#REF!*Sheet1!#REF!*Sheet1!#REF!*0.5/450</f>
        <v>#REF!</v>
      </c>
      <c r="E19" s="1" t="e">
        <f>Sheet1!#REF!/180+Sheet1!#REF!*Sheet1!#REF!*Sheet1!#REF!*0.5/450</f>
        <v>#REF!</v>
      </c>
      <c r="F19" s="1" t="e">
        <f>Sheet1!#REF!/180+Sheet1!#REF!*Sheet1!#REF!*Sheet1!#REF!*0.5/450</f>
        <v>#REF!</v>
      </c>
      <c r="G19" s="1" t="e">
        <f>Sheet1!#REF!/180+Sheet1!#REF!*Sheet1!#REF!*Sheet1!#REF!*0.5/450</f>
        <v>#REF!</v>
      </c>
      <c r="H19" s="1" t="e">
        <f>Sheet1!#REF!/180+Sheet1!#REF!*Sheet1!#REF!*Sheet1!#REF!*0.5/450</f>
        <v>#REF!</v>
      </c>
      <c r="I19" s="1" t="e">
        <f>Sheet1!#REF!/180+Sheet1!#REF!*Sheet1!#REF!*Sheet1!#REF!*0.5/450</f>
        <v>#REF!</v>
      </c>
      <c r="J19" s="1" t="e">
        <f>Sheet1!#REF!/180+Sheet1!#REF!*Sheet1!#REF!*Sheet1!#REF!*0.5/450</f>
        <v>#REF!</v>
      </c>
      <c r="K19" s="1" t="e">
        <f>Sheet1!#REF!/180+Sheet1!#REF!*Sheet1!#REF!*Sheet1!#REF!*0.5/450</f>
        <v>#REF!</v>
      </c>
      <c r="L19" s="1" t="e">
        <f>Sheet1!#REF!/180+Sheet1!#REF!*Sheet1!#REF!*Sheet1!#REF!*0.5/450</f>
        <v>#REF!</v>
      </c>
      <c r="M19" s="1" t="e">
        <f>Sheet1!#REF!/180+Sheet1!#REF!*Sheet1!#REF!*Sheet1!#REF!*0.5/450</f>
        <v>#REF!</v>
      </c>
      <c r="N19" s="1" t="e">
        <f>Sheet1!#REF!/180+Sheet1!#REF!*Sheet1!#REF!*Sheet1!#REF!*0.5/450</f>
        <v>#REF!</v>
      </c>
      <c r="O19" s="1" t="e">
        <f>Sheet1!#REF!/180+Sheet1!#REF!*Sheet1!#REF!*Sheet1!#REF!*0.5/450</f>
        <v>#REF!</v>
      </c>
      <c r="P19" s="1" t="e">
        <f>Sheet1!#REF!/180+Sheet1!#REF!*Sheet1!#REF!*Sheet1!#REF!*0.5/450</f>
        <v>#REF!</v>
      </c>
      <c r="Q19" s="1" t="e">
        <f>Sheet1!#REF!/180+Sheet1!#REF!*Sheet1!#REF!*Sheet1!#REF!*0.5/450</f>
        <v>#REF!</v>
      </c>
      <c r="R19" s="1" t="e">
        <f>Sheet1!#REF!/180+Sheet1!#REF!*Sheet1!#REF!*Sheet1!#REF!*0.5/450</f>
        <v>#REF!</v>
      </c>
      <c r="S19" s="1" t="e">
        <f>Sheet1!#REF!/180+Sheet1!#REF!*Sheet1!#REF!*Sheet1!#REF!*0.5/450</f>
        <v>#REF!</v>
      </c>
      <c r="T19" s="1" t="e">
        <f>Sheet1!#REF!/180+Sheet1!#REF!*Sheet1!#REF!*Sheet1!#REF!*0.5/450</f>
        <v>#REF!</v>
      </c>
      <c r="U19" s="1" t="e">
        <f>Sheet1!#REF!/180+Sheet1!#REF!*Sheet1!#REF!*Sheet1!#REF!*0.5/450</f>
        <v>#REF!</v>
      </c>
      <c r="V19" s="1" t="e">
        <f>Sheet1!#REF!/180+Sheet1!#REF!*Sheet1!#REF!*Sheet1!#REF!*0.5/450</f>
        <v>#REF!</v>
      </c>
      <c r="W19" s="1" t="e">
        <f>Sheet1!#REF!/180+Sheet1!#REF!*Sheet1!#REF!*Sheet1!#REF!*0.5/450</f>
        <v>#REF!</v>
      </c>
      <c r="X19" s="1" t="e">
        <f>Sheet1!#REF!/180+Sheet1!#REF!*Sheet1!#REF!*Sheet1!#REF!*0.5/450</f>
        <v>#REF!</v>
      </c>
      <c r="Y19" s="1" t="e">
        <f>Sheet1!#REF!/180+Sheet1!#REF!*Sheet1!#REF!*Sheet1!#REF!*0.5/450</f>
        <v>#REF!</v>
      </c>
      <c r="Z19" s="1">
        <f>Sheet1!C217/180+Sheet1!C346*Sheet1!C347*Sheet1!C217*0.5/450</f>
        <v>7.92</v>
      </c>
      <c r="AA19" s="1" t="e">
        <f>Sheet1!#REF!/180+Sheet1!#REF!*Sheet1!#REF!*Sheet1!#REF!*0.5/450</f>
        <v>#REF!</v>
      </c>
      <c r="AB19" s="1" t="e">
        <f>Sheet1!#REF!/180+Sheet1!#REF!*Sheet1!#REF!*Sheet1!#REF!*0.5/450</f>
        <v>#REF!</v>
      </c>
      <c r="AC19" s="1" t="e">
        <f>Sheet1!#REF!/180+Sheet1!#REF!*Sheet1!#REF!*Sheet1!#REF!*0.5/450</f>
        <v>#REF!</v>
      </c>
      <c r="AD19" s="1" t="e">
        <f>Sheet1!#REF!/180+Sheet1!#REF!*Sheet1!#REF!*Sheet1!#REF!*0.5/450</f>
        <v>#REF!</v>
      </c>
      <c r="AE19" s="1" t="e">
        <f>Sheet1!#REF!/180+Sheet1!#REF!*Sheet1!#REF!*Sheet1!#REF!*0.5/450</f>
        <v>#REF!</v>
      </c>
      <c r="AF19" s="1" t="e">
        <f>Sheet1!#REF!/180+Sheet1!#REF!*Sheet1!#REF!*Sheet1!#REF!*0.5/450</f>
        <v>#REF!</v>
      </c>
      <c r="AG19" s="1" t="e">
        <f>Sheet1!#REF!/180+Sheet1!#REF!*Sheet1!#REF!*Sheet1!#REF!*0.5/450</f>
        <v>#REF!</v>
      </c>
      <c r="AH19" s="1" t="e">
        <f>Sheet1!#REF!/180+Sheet1!#REF!*Sheet1!#REF!*Sheet1!#REF!*0.5/450</f>
        <v>#REF!</v>
      </c>
      <c r="AI19" s="1" t="e">
        <f>Sheet1!#REF!/180+Sheet1!#REF!*Sheet1!#REF!*Sheet1!#REF!*0.5/450</f>
        <v>#REF!</v>
      </c>
      <c r="AJ19" s="1" t="e">
        <f>Sheet1!#REF!/180+Sheet1!#REF!*Sheet1!#REF!*Sheet1!#REF!*0.5/450</f>
        <v>#REF!</v>
      </c>
      <c r="AK19" s="1" t="e">
        <f>Sheet1!#REF!/180+Sheet1!#REF!*Sheet1!#REF!*Sheet1!#REF!*0.5/450</f>
        <v>#REF!</v>
      </c>
      <c r="AL19" s="1" t="e">
        <f>Sheet1!#REF!/180+Sheet1!#REF!*Sheet1!#REF!*Sheet1!#REF!*0.5/450</f>
        <v>#REF!</v>
      </c>
      <c r="AM19" s="1" t="e">
        <f>Sheet1!#REF!/180+Sheet1!#REF!*Sheet1!#REF!*Sheet1!#REF!*0.5/450</f>
        <v>#REF!</v>
      </c>
      <c r="AN19" s="1" t="e">
        <f>Sheet1!#REF!/180+Sheet1!#REF!*Sheet1!#REF!*Sheet1!#REF!*0.5/450</f>
        <v>#REF!</v>
      </c>
      <c r="AO19" s="1" t="e">
        <f>Sheet1!#REF!/180+Sheet1!#REF!*Sheet1!#REF!*Sheet1!#REF!*0.5/450</f>
        <v>#REF!</v>
      </c>
      <c r="AP19" s="1" t="e">
        <f>Sheet1!#REF!/180+Sheet1!#REF!*Sheet1!#REF!*Sheet1!#REF!*0.5/450</f>
        <v>#REF!</v>
      </c>
      <c r="AQ19" s="1" t="e">
        <f>Sheet1!#REF!/180+Sheet1!#REF!*Sheet1!#REF!*Sheet1!#REF!*0.5/450</f>
        <v>#REF!</v>
      </c>
      <c r="AR19" s="1" t="e">
        <f>Sheet1!#REF!/180+Sheet1!#REF!*Sheet1!#REF!*Sheet1!#REF!*0.5/450</f>
        <v>#REF!</v>
      </c>
    </row>
    <row r="20" spans="1:44" x14ac:dyDescent="0.25">
      <c r="A20" t="s">
        <v>226</v>
      </c>
      <c r="B20" s="1" t="e">
        <f>Sheet1!#REF!</f>
        <v>#REF!</v>
      </c>
      <c r="C20" s="1" t="e">
        <f>Sheet1!#REF!</f>
        <v>#REF!</v>
      </c>
      <c r="D20" s="1" t="e">
        <f>Sheet1!#REF!</f>
        <v>#REF!</v>
      </c>
      <c r="E20" s="1" t="e">
        <f>Sheet1!#REF!</f>
        <v>#REF!</v>
      </c>
      <c r="F20" s="1" t="e">
        <f>Sheet1!#REF!</f>
        <v>#REF!</v>
      </c>
      <c r="G20" s="1" t="e">
        <f>Sheet1!#REF!</f>
        <v>#REF!</v>
      </c>
      <c r="H20" s="1" t="e">
        <f>Sheet1!#REF!</f>
        <v>#REF!</v>
      </c>
      <c r="I20" s="1" t="e">
        <f>Sheet1!#REF!</f>
        <v>#REF!</v>
      </c>
      <c r="J20" s="1" t="e">
        <f>Sheet1!#REF!</f>
        <v>#REF!</v>
      </c>
      <c r="K20" s="1" t="e">
        <f>Sheet1!#REF!</f>
        <v>#REF!</v>
      </c>
      <c r="L20" s="1" t="e">
        <f>Sheet1!#REF!</f>
        <v>#REF!</v>
      </c>
      <c r="M20" s="1" t="e">
        <f>Sheet1!#REF!</f>
        <v>#REF!</v>
      </c>
      <c r="N20" s="1" t="e">
        <f>Sheet1!#REF!</f>
        <v>#REF!</v>
      </c>
      <c r="O20" s="1" t="e">
        <f>Sheet1!#REF!</f>
        <v>#REF!</v>
      </c>
      <c r="P20" s="1" t="e">
        <f>Sheet1!#REF!</f>
        <v>#REF!</v>
      </c>
      <c r="Q20" s="1" t="e">
        <f>Sheet1!#REF!</f>
        <v>#REF!</v>
      </c>
      <c r="R20" s="1" t="e">
        <f>Sheet1!#REF!</f>
        <v>#REF!</v>
      </c>
      <c r="S20" s="1" t="e">
        <f>Sheet1!#REF!</f>
        <v>#REF!</v>
      </c>
      <c r="T20" s="1" t="e">
        <f>Sheet1!#REF!</f>
        <v>#REF!</v>
      </c>
      <c r="U20" s="1" t="e">
        <f>Sheet1!#REF!</f>
        <v>#REF!</v>
      </c>
      <c r="V20" s="1" t="e">
        <f>Sheet1!#REF!</f>
        <v>#REF!</v>
      </c>
      <c r="W20" s="1" t="e">
        <f>Sheet1!#REF!</f>
        <v>#REF!</v>
      </c>
      <c r="X20" s="1" t="e">
        <f>Sheet1!#REF!</f>
        <v>#REF!</v>
      </c>
      <c r="Y20" s="1" t="e">
        <f>Sheet1!#REF!</f>
        <v>#REF!</v>
      </c>
      <c r="Z20" s="1">
        <f>Sheet1!C315</f>
        <v>56.677513464249493</v>
      </c>
      <c r="AA20" s="1" t="e">
        <f>Sheet1!#REF!</f>
        <v>#REF!</v>
      </c>
      <c r="AB20" s="1" t="e">
        <f>Sheet1!#REF!</f>
        <v>#REF!</v>
      </c>
      <c r="AC20" s="1" t="e">
        <f>Sheet1!#REF!</f>
        <v>#REF!</v>
      </c>
      <c r="AD20" s="1" t="e">
        <f>Sheet1!#REF!</f>
        <v>#REF!</v>
      </c>
      <c r="AE20" s="1" t="e">
        <f>Sheet1!#REF!</f>
        <v>#REF!</v>
      </c>
      <c r="AF20" s="1" t="e">
        <f>Sheet1!#REF!</f>
        <v>#REF!</v>
      </c>
      <c r="AG20" s="1" t="e">
        <f>Sheet1!#REF!</f>
        <v>#REF!</v>
      </c>
      <c r="AH20" s="1" t="e">
        <f>Sheet1!#REF!</f>
        <v>#REF!</v>
      </c>
      <c r="AI20" s="1" t="e">
        <f>Sheet1!#REF!</f>
        <v>#REF!</v>
      </c>
      <c r="AJ20" s="1" t="e">
        <f>Sheet1!#REF!</f>
        <v>#REF!</v>
      </c>
      <c r="AK20" s="1" t="e">
        <f>Sheet1!#REF!</f>
        <v>#REF!</v>
      </c>
      <c r="AL20" s="1" t="e">
        <f>Sheet1!#REF!</f>
        <v>#REF!</v>
      </c>
      <c r="AM20" s="1" t="e">
        <f>Sheet1!#REF!</f>
        <v>#REF!</v>
      </c>
      <c r="AN20" s="1" t="e">
        <f>Sheet1!#REF!</f>
        <v>#REF!</v>
      </c>
      <c r="AO20" s="1" t="e">
        <f>Sheet1!#REF!</f>
        <v>#REF!</v>
      </c>
      <c r="AP20" s="1" t="e">
        <f>Sheet1!#REF!</f>
        <v>#REF!</v>
      </c>
      <c r="AQ20" s="1" t="e">
        <f>Sheet1!#REF!</f>
        <v>#REF!</v>
      </c>
      <c r="AR20" s="1" t="e">
        <f>Sheet1!#REF!</f>
        <v>#REF!</v>
      </c>
    </row>
    <row r="21" spans="1:44" x14ac:dyDescent="0.25">
      <c r="A21" t="s">
        <v>227</v>
      </c>
      <c r="B21" s="1" t="e">
        <f>(Sheet1!#REF!+Sheet1!#REF!*0.5)*Sheet1!#REF!/65</f>
        <v>#REF!</v>
      </c>
      <c r="C21" s="1" t="e">
        <f>(Sheet1!#REF!+Sheet1!#REF!*0.5)*Sheet1!#REF!/65</f>
        <v>#REF!</v>
      </c>
      <c r="D21" s="1" t="e">
        <f>(Sheet1!#REF!+Sheet1!#REF!*0.5)*Sheet1!#REF!/65</f>
        <v>#REF!</v>
      </c>
      <c r="E21" s="1" t="e">
        <f>(Sheet1!#REF!+Sheet1!#REF!*0.5)*Sheet1!#REF!/65</f>
        <v>#REF!</v>
      </c>
      <c r="F21" s="1" t="e">
        <f>(Sheet1!#REF!+Sheet1!#REF!*0.5)*Sheet1!#REF!/65</f>
        <v>#REF!</v>
      </c>
      <c r="G21" s="1" t="e">
        <f>(Sheet1!#REF!+Sheet1!#REF!*0.5)*Sheet1!#REF!/65</f>
        <v>#REF!</v>
      </c>
      <c r="H21" s="1" t="e">
        <f>(Sheet1!#REF!+Sheet1!#REF!*0.5)*Sheet1!#REF!/65</f>
        <v>#REF!</v>
      </c>
      <c r="I21" s="1" t="e">
        <f>(Sheet1!#REF!+Sheet1!#REF!*0.5)*Sheet1!#REF!/65</f>
        <v>#REF!</v>
      </c>
      <c r="J21" s="1" t="e">
        <f>(Sheet1!#REF!+Sheet1!#REF!*0.5)*Sheet1!#REF!/65</f>
        <v>#REF!</v>
      </c>
      <c r="K21" s="1" t="e">
        <f>(Sheet1!#REF!+Sheet1!#REF!*0.5)*Sheet1!#REF!/65</f>
        <v>#REF!</v>
      </c>
      <c r="L21" s="1" t="e">
        <f>(Sheet1!#REF!+Sheet1!#REF!*0.5)*Sheet1!#REF!/65</f>
        <v>#REF!</v>
      </c>
      <c r="M21" s="1" t="e">
        <f>(Sheet1!#REF!+Sheet1!#REF!*0.5)*Sheet1!#REF!/65</f>
        <v>#REF!</v>
      </c>
      <c r="N21" s="1" t="e">
        <f>(Sheet1!#REF!+Sheet1!#REF!*0.5)*Sheet1!#REF!/65</f>
        <v>#REF!</v>
      </c>
      <c r="O21" s="1" t="e">
        <f>(Sheet1!#REF!+Sheet1!#REF!*0.5)*Sheet1!#REF!/65</f>
        <v>#REF!</v>
      </c>
      <c r="P21" s="1" t="e">
        <f>(Sheet1!#REF!+Sheet1!#REF!*0.5)*Sheet1!#REF!/65</f>
        <v>#REF!</v>
      </c>
      <c r="Q21" s="1" t="e">
        <f>(Sheet1!#REF!+Sheet1!#REF!*0.5)*Sheet1!#REF!/65</f>
        <v>#REF!</v>
      </c>
      <c r="R21" s="1" t="e">
        <f>(Sheet1!#REF!+Sheet1!#REF!*0.5)*Sheet1!#REF!/65</f>
        <v>#REF!</v>
      </c>
      <c r="S21" s="1" t="e">
        <f>(Sheet1!#REF!+Sheet1!#REF!*0.5)*Sheet1!#REF!/65</f>
        <v>#REF!</v>
      </c>
      <c r="T21" s="1" t="e">
        <f>(Sheet1!#REF!+Sheet1!#REF!*0.5)*Sheet1!#REF!/65</f>
        <v>#REF!</v>
      </c>
      <c r="U21" s="1" t="e">
        <f>(Sheet1!#REF!+Sheet1!#REF!*0.5)*Sheet1!#REF!/65</f>
        <v>#REF!</v>
      </c>
      <c r="V21" s="1" t="e">
        <f>(Sheet1!#REF!+Sheet1!#REF!*0.5)*Sheet1!#REF!/65</f>
        <v>#REF!</v>
      </c>
      <c r="W21" s="1" t="e">
        <f>(Sheet1!#REF!+Sheet1!#REF!*0.5)*Sheet1!#REF!/65</f>
        <v>#REF!</v>
      </c>
      <c r="X21" s="1" t="e">
        <f>(Sheet1!#REF!+Sheet1!#REF!*0.5)*Sheet1!#REF!/65</f>
        <v>#REF!</v>
      </c>
      <c r="Y21" s="1" t="e">
        <f>(Sheet1!#REF!+Sheet1!#REF!*0.5)*Sheet1!#REF!/65</f>
        <v>#REF!</v>
      </c>
      <c r="Z21" s="1">
        <f>(Sheet1!C206+Sheet1!C214*0.5)*Sheet1!C213/65</f>
        <v>0</v>
      </c>
      <c r="AA21" s="1" t="e">
        <f>(Sheet1!#REF!+Sheet1!#REF!*0.5)*Sheet1!#REF!/65</f>
        <v>#REF!</v>
      </c>
      <c r="AB21" s="1" t="e">
        <f>(Sheet1!#REF!+Sheet1!#REF!*0.5)*Sheet1!#REF!/65</f>
        <v>#REF!</v>
      </c>
      <c r="AC21" s="1" t="e">
        <f>(Sheet1!#REF!+Sheet1!#REF!*0.5)*Sheet1!#REF!/65</f>
        <v>#REF!</v>
      </c>
      <c r="AD21" s="1" t="e">
        <f>(Sheet1!#REF!+Sheet1!#REF!*0.5)*Sheet1!#REF!/65</f>
        <v>#REF!</v>
      </c>
      <c r="AE21" s="1" t="e">
        <f>(Sheet1!#REF!+Sheet1!#REF!*0.5)*Sheet1!#REF!/65</f>
        <v>#REF!</v>
      </c>
      <c r="AF21" s="1" t="e">
        <f>(Sheet1!#REF!+Sheet1!#REF!*0.5)*Sheet1!#REF!/65</f>
        <v>#REF!</v>
      </c>
      <c r="AG21" s="1" t="e">
        <f>(Sheet1!#REF!+Sheet1!#REF!*0.5)*Sheet1!#REF!/65</f>
        <v>#REF!</v>
      </c>
      <c r="AH21" s="1" t="e">
        <f>(Sheet1!#REF!+Sheet1!#REF!*0.5)*Sheet1!#REF!/65</f>
        <v>#REF!</v>
      </c>
      <c r="AI21" s="1" t="e">
        <f>(Sheet1!#REF!+Sheet1!#REF!*0.5)*Sheet1!#REF!/65</f>
        <v>#REF!</v>
      </c>
      <c r="AJ21" s="1" t="e">
        <f>(Sheet1!#REF!+Sheet1!#REF!*0.5)*Sheet1!#REF!/65</f>
        <v>#REF!</v>
      </c>
      <c r="AK21" s="1" t="e">
        <f>(Sheet1!#REF!+Sheet1!#REF!*0.5)*Sheet1!#REF!/65</f>
        <v>#REF!</v>
      </c>
      <c r="AL21" s="1" t="e">
        <f>(Sheet1!#REF!+Sheet1!#REF!*0.5)*Sheet1!#REF!/65</f>
        <v>#REF!</v>
      </c>
      <c r="AM21" s="1" t="e">
        <f>(Sheet1!#REF!+Sheet1!#REF!*0.5)*Sheet1!#REF!/65</f>
        <v>#REF!</v>
      </c>
      <c r="AN21" s="1" t="e">
        <f>(Sheet1!#REF!+Sheet1!#REF!*0.5)*Sheet1!#REF!/65</f>
        <v>#REF!</v>
      </c>
      <c r="AO21" s="1" t="e">
        <f>(Sheet1!#REF!+Sheet1!#REF!*0.5)*Sheet1!#REF!/65</f>
        <v>#REF!</v>
      </c>
      <c r="AP21" s="1" t="e">
        <f>(Sheet1!#REF!+Sheet1!#REF!*0.5)*Sheet1!#REF!/65</f>
        <v>#REF!</v>
      </c>
      <c r="AQ21" s="1" t="e">
        <f>(Sheet1!#REF!+Sheet1!#REF!*0.5)*Sheet1!#REF!/65</f>
        <v>#REF!</v>
      </c>
      <c r="AR21" s="1" t="e">
        <f>(Sheet1!#REF!+Sheet1!#REF!*0.5)*Sheet1!#REF!/65</f>
        <v>#REF!</v>
      </c>
    </row>
    <row r="22" spans="1:44" x14ac:dyDescent="0.25">
      <c r="A22" t="s">
        <v>228</v>
      </c>
      <c r="B22" s="5" t="e">
        <f>Sheet1!#REF!</f>
        <v>#REF!</v>
      </c>
      <c r="C22" s="5" t="e">
        <f>Sheet1!#REF!</f>
        <v>#REF!</v>
      </c>
      <c r="D22" s="5" t="e">
        <f>Sheet1!#REF!</f>
        <v>#REF!</v>
      </c>
      <c r="E22" s="5" t="e">
        <f>Sheet1!#REF!</f>
        <v>#REF!</v>
      </c>
      <c r="F22" s="5" t="e">
        <f>Sheet1!#REF!</f>
        <v>#REF!</v>
      </c>
      <c r="G22" s="5" t="e">
        <f>Sheet1!#REF!</f>
        <v>#REF!</v>
      </c>
      <c r="H22" s="5" t="e">
        <f>Sheet1!#REF!</f>
        <v>#REF!</v>
      </c>
      <c r="I22" s="5" t="e">
        <f>Sheet1!#REF!</f>
        <v>#REF!</v>
      </c>
      <c r="J22" s="5" t="e">
        <f>Sheet1!#REF!</f>
        <v>#REF!</v>
      </c>
      <c r="K22" s="5" t="e">
        <f>Sheet1!#REF!</f>
        <v>#REF!</v>
      </c>
      <c r="L22" s="5" t="e">
        <f>Sheet1!#REF!</f>
        <v>#REF!</v>
      </c>
      <c r="M22" s="5" t="e">
        <f>Sheet1!#REF!</f>
        <v>#REF!</v>
      </c>
      <c r="N22" s="5" t="e">
        <f>Sheet1!#REF!</f>
        <v>#REF!</v>
      </c>
      <c r="O22" s="5" t="e">
        <f>Sheet1!#REF!</f>
        <v>#REF!</v>
      </c>
      <c r="P22" s="5" t="e">
        <f>Sheet1!#REF!</f>
        <v>#REF!</v>
      </c>
      <c r="Q22" s="5" t="e">
        <f>Sheet1!#REF!</f>
        <v>#REF!</v>
      </c>
      <c r="R22" s="5" t="e">
        <f>Sheet1!#REF!</f>
        <v>#REF!</v>
      </c>
      <c r="S22" s="5" t="e">
        <f>Sheet1!#REF!</f>
        <v>#REF!</v>
      </c>
      <c r="T22" s="5" t="e">
        <f>Sheet1!#REF!</f>
        <v>#REF!</v>
      </c>
      <c r="U22" s="5" t="e">
        <f>Sheet1!#REF!</f>
        <v>#REF!</v>
      </c>
      <c r="V22" s="5" t="e">
        <f>Sheet1!#REF!</f>
        <v>#REF!</v>
      </c>
      <c r="W22" s="5" t="e">
        <f>Sheet1!#REF!</f>
        <v>#REF!</v>
      </c>
      <c r="X22" s="5" t="e">
        <f>Sheet1!#REF!</f>
        <v>#REF!</v>
      </c>
      <c r="Y22" s="5" t="e">
        <f>Sheet1!#REF!</f>
        <v>#REF!</v>
      </c>
      <c r="Z22" s="5">
        <f>Sheet1!C98</f>
        <v>25.613553844356275</v>
      </c>
      <c r="AA22" s="5" t="e">
        <f>Sheet1!#REF!</f>
        <v>#REF!</v>
      </c>
      <c r="AB22" s="5" t="e">
        <f>Sheet1!#REF!</f>
        <v>#REF!</v>
      </c>
      <c r="AC22" s="5" t="e">
        <f>Sheet1!#REF!</f>
        <v>#REF!</v>
      </c>
      <c r="AD22" s="5" t="e">
        <f>Sheet1!#REF!</f>
        <v>#REF!</v>
      </c>
      <c r="AE22" s="5" t="e">
        <f>Sheet1!#REF!</f>
        <v>#REF!</v>
      </c>
      <c r="AF22" s="5" t="e">
        <f>Sheet1!#REF!</f>
        <v>#REF!</v>
      </c>
      <c r="AG22" s="5" t="e">
        <f>Sheet1!#REF!</f>
        <v>#REF!</v>
      </c>
      <c r="AH22" s="5" t="e">
        <f>Sheet1!#REF!</f>
        <v>#REF!</v>
      </c>
      <c r="AI22" s="5" t="e">
        <f>Sheet1!#REF!</f>
        <v>#REF!</v>
      </c>
      <c r="AJ22" s="5" t="e">
        <f>Sheet1!#REF!</f>
        <v>#REF!</v>
      </c>
      <c r="AK22" s="5" t="e">
        <f>Sheet1!#REF!</f>
        <v>#REF!</v>
      </c>
      <c r="AL22" s="5" t="e">
        <f>Sheet1!#REF!</f>
        <v>#REF!</v>
      </c>
      <c r="AM22" s="5" t="e">
        <f>Sheet1!#REF!</f>
        <v>#REF!</v>
      </c>
      <c r="AN22" s="5" t="e">
        <f>Sheet1!#REF!</f>
        <v>#REF!</v>
      </c>
      <c r="AO22" s="5" t="e">
        <f>Sheet1!#REF!</f>
        <v>#REF!</v>
      </c>
      <c r="AP22" s="5" t="e">
        <f>Sheet1!#REF!</f>
        <v>#REF!</v>
      </c>
      <c r="AQ22" s="5" t="e">
        <f>Sheet1!#REF!</f>
        <v>#REF!</v>
      </c>
      <c r="AR22" s="5" t="e">
        <f>Sheet1!#REF!</f>
        <v>#REF!</v>
      </c>
    </row>
    <row r="23" spans="1:44" x14ac:dyDescent="0.25">
      <c r="A23" t="s">
        <v>229</v>
      </c>
      <c r="B23" s="1" t="e">
        <f>B22^2*10/Sheet1!#REF!</f>
        <v>#REF!</v>
      </c>
      <c r="C23" s="1" t="e">
        <f>C22^2*10/Sheet1!#REF!</f>
        <v>#REF!</v>
      </c>
      <c r="D23" s="1" t="e">
        <f>D22^2*10/Sheet1!#REF!</f>
        <v>#REF!</v>
      </c>
      <c r="E23" s="1" t="e">
        <f>E22^2*10/Sheet1!#REF!</f>
        <v>#REF!</v>
      </c>
      <c r="F23" s="1" t="e">
        <f>F22^2*10/Sheet1!#REF!</f>
        <v>#REF!</v>
      </c>
      <c r="G23" s="1" t="e">
        <f>G22^2*10/Sheet1!#REF!</f>
        <v>#REF!</v>
      </c>
      <c r="H23" s="1" t="e">
        <f>H22^2*10/Sheet1!#REF!</f>
        <v>#REF!</v>
      </c>
      <c r="I23" s="1" t="e">
        <f>I22^2*10/Sheet1!#REF!</f>
        <v>#REF!</v>
      </c>
      <c r="J23" s="1" t="e">
        <f>J22^2*10/Sheet1!#REF!</f>
        <v>#REF!</v>
      </c>
      <c r="K23" s="1" t="e">
        <f>K22^2*10/Sheet1!#REF!</f>
        <v>#REF!</v>
      </c>
      <c r="L23" s="1" t="e">
        <f>L22^2*10/Sheet1!#REF!</f>
        <v>#REF!</v>
      </c>
      <c r="M23" s="1" t="e">
        <f>M22^2*10/Sheet1!#REF!</f>
        <v>#REF!</v>
      </c>
      <c r="N23" s="1" t="e">
        <f>N22^2*10/Sheet1!#REF!</f>
        <v>#REF!</v>
      </c>
      <c r="O23" s="1" t="e">
        <f>O22^2*10/Sheet1!#REF!</f>
        <v>#REF!</v>
      </c>
      <c r="P23" s="1" t="e">
        <f>P22^2*10/Sheet1!#REF!</f>
        <v>#REF!</v>
      </c>
      <c r="Q23" s="1" t="e">
        <f>Q22^2*10/Sheet1!#REF!</f>
        <v>#REF!</v>
      </c>
      <c r="R23" s="1" t="e">
        <f>R22^2*10/Sheet1!#REF!</f>
        <v>#REF!</v>
      </c>
      <c r="S23" s="1" t="e">
        <f>S22^2*10/Sheet1!#REF!</f>
        <v>#REF!</v>
      </c>
      <c r="T23" s="1" t="e">
        <f>T22^2*10/Sheet1!#REF!</f>
        <v>#REF!</v>
      </c>
      <c r="U23" s="1" t="e">
        <f>U22^2*10/Sheet1!#REF!</f>
        <v>#REF!</v>
      </c>
      <c r="V23" s="1" t="e">
        <f>V22^2*10/Sheet1!#REF!</f>
        <v>#REF!</v>
      </c>
      <c r="W23" s="1" t="e">
        <f>W22^2*10/Sheet1!#REF!</f>
        <v>#REF!</v>
      </c>
      <c r="X23" s="1" t="e">
        <f>X22^2*10/Sheet1!#REF!</f>
        <v>#REF!</v>
      </c>
      <c r="Y23" s="1" t="e">
        <f>Y22^2*10/Sheet1!#REF!</f>
        <v>#REF!</v>
      </c>
      <c r="Z23" s="1">
        <f>Z22^2*10/Sheet1!C16</f>
        <v>27.053778991246933</v>
      </c>
      <c r="AA23" s="1" t="e">
        <f>AA22^2*10/Sheet1!#REF!</f>
        <v>#REF!</v>
      </c>
      <c r="AB23" s="1" t="e">
        <f>AB22^2*10/Sheet1!#REF!</f>
        <v>#REF!</v>
      </c>
      <c r="AC23" s="1" t="e">
        <f>AC22^2*10/Sheet1!#REF!</f>
        <v>#REF!</v>
      </c>
      <c r="AD23" s="1" t="e">
        <f>AD22^2*10/Sheet1!#REF!</f>
        <v>#REF!</v>
      </c>
      <c r="AE23" s="1" t="e">
        <f>AE22^2*10/Sheet1!#REF!</f>
        <v>#REF!</v>
      </c>
      <c r="AF23" s="1" t="e">
        <f>AF22^2*10/Sheet1!#REF!</f>
        <v>#REF!</v>
      </c>
      <c r="AG23" s="1" t="e">
        <f>AG22^2*10/Sheet1!#REF!</f>
        <v>#REF!</v>
      </c>
      <c r="AH23" s="1" t="e">
        <f>AH22^2*10/Sheet1!#REF!</f>
        <v>#REF!</v>
      </c>
      <c r="AI23" s="1" t="e">
        <f>AI22^2*10/Sheet1!#REF!</f>
        <v>#REF!</v>
      </c>
      <c r="AJ23" s="1" t="e">
        <f>AJ22^2*10/Sheet1!#REF!</f>
        <v>#REF!</v>
      </c>
      <c r="AK23" s="1" t="e">
        <f>AK22^2*10/Sheet1!#REF!</f>
        <v>#REF!</v>
      </c>
      <c r="AL23" s="1" t="e">
        <f>AL22^2*10/Sheet1!#REF!</f>
        <v>#REF!</v>
      </c>
      <c r="AM23" s="1" t="e">
        <f>AM22^2*10/Sheet1!#REF!</f>
        <v>#REF!</v>
      </c>
      <c r="AN23" s="1" t="e">
        <f>AN22^2*10/Sheet1!#REF!</f>
        <v>#REF!</v>
      </c>
      <c r="AO23" s="1" t="e">
        <f>AO22^2*10/Sheet1!#REF!</f>
        <v>#REF!</v>
      </c>
      <c r="AP23" s="1" t="e">
        <f>AP22^2*10/Sheet1!#REF!</f>
        <v>#REF!</v>
      </c>
      <c r="AQ23" s="1" t="e">
        <f>AQ22^2*10/Sheet1!#REF!</f>
        <v>#REF!</v>
      </c>
      <c r="AR23" s="1" t="e">
        <f>AR22^2*10/Sheet1!#REF!</f>
        <v>#REF!</v>
      </c>
    </row>
    <row r="24" spans="1:44" x14ac:dyDescent="0.25">
      <c r="A24" t="s">
        <v>230</v>
      </c>
      <c r="B24" s="1" t="e">
        <f>(Sheet1!#REF!*Sheet1!#REF!*4+Sheet1!#REF!*Sheet1!#REF!)/10</f>
        <v>#REF!</v>
      </c>
      <c r="C24" s="1" t="e">
        <f>(Sheet1!#REF!*Sheet1!#REF!*4+Sheet1!#REF!*Sheet1!#REF!)/10</f>
        <v>#REF!</v>
      </c>
      <c r="D24" s="1" t="e">
        <f>(Sheet1!#REF!*Sheet1!#REF!*4+Sheet1!#REF!*Sheet1!#REF!)/10</f>
        <v>#REF!</v>
      </c>
      <c r="E24" s="1" t="e">
        <f>(Sheet1!#REF!*Sheet1!#REF!*4+Sheet1!#REF!*Sheet1!#REF!)/10</f>
        <v>#REF!</v>
      </c>
      <c r="F24" s="1" t="e">
        <f>(Sheet1!#REF!*Sheet1!#REF!*4+Sheet1!#REF!*Sheet1!#REF!)/10</f>
        <v>#REF!</v>
      </c>
      <c r="G24" s="1" t="e">
        <f>(Sheet1!#REF!*Sheet1!#REF!*4+Sheet1!#REF!*Sheet1!#REF!)/10</f>
        <v>#REF!</v>
      </c>
      <c r="H24" s="1" t="e">
        <f>(Sheet1!#REF!*Sheet1!#REF!*4+Sheet1!#REF!*Sheet1!#REF!)/10</f>
        <v>#REF!</v>
      </c>
      <c r="I24" s="1" t="e">
        <f>(Sheet1!#REF!*Sheet1!#REF!*4+Sheet1!#REF!*Sheet1!#REF!)/10</f>
        <v>#REF!</v>
      </c>
      <c r="J24" s="1" t="e">
        <f>(Sheet1!#REF!*Sheet1!#REF!*4+Sheet1!#REF!*Sheet1!#REF!)/10</f>
        <v>#REF!</v>
      </c>
      <c r="K24" s="1" t="e">
        <f>(Sheet1!#REF!*Sheet1!#REF!*4+Sheet1!#REF!*Sheet1!#REF!)/10</f>
        <v>#REF!</v>
      </c>
      <c r="L24" s="1" t="e">
        <f>(Sheet1!#REF!*Sheet1!#REF!*4+Sheet1!#REF!*Sheet1!#REF!)/10</f>
        <v>#REF!</v>
      </c>
      <c r="M24" s="1" t="e">
        <f>(Sheet1!#REF!*Sheet1!#REF!*4+Sheet1!#REF!*Sheet1!#REF!)/10</f>
        <v>#REF!</v>
      </c>
      <c r="N24" s="1" t="e">
        <f>(Sheet1!#REF!*Sheet1!#REF!*4+Sheet1!#REF!*Sheet1!#REF!)/10</f>
        <v>#REF!</v>
      </c>
      <c r="O24" s="1" t="e">
        <f>(Sheet1!#REF!*Sheet1!#REF!*4+Sheet1!#REF!*Sheet1!#REF!)/10</f>
        <v>#REF!</v>
      </c>
      <c r="P24" s="1" t="e">
        <f>(Sheet1!#REF!*Sheet1!#REF!*4+Sheet1!#REF!*Sheet1!#REF!)/10</f>
        <v>#REF!</v>
      </c>
      <c r="Q24" s="1" t="e">
        <f>(Sheet1!#REF!*Sheet1!#REF!*4+Sheet1!#REF!*Sheet1!#REF!)/10</f>
        <v>#REF!</v>
      </c>
      <c r="R24" s="1" t="e">
        <f>(Sheet1!#REF!*Sheet1!#REF!*4+Sheet1!#REF!*Sheet1!#REF!)/10</f>
        <v>#REF!</v>
      </c>
      <c r="S24" s="1" t="e">
        <f>(Sheet1!#REF!*Sheet1!#REF!*4+Sheet1!#REF!*Sheet1!#REF!)/10</f>
        <v>#REF!</v>
      </c>
      <c r="T24" s="1" t="e">
        <f>(Sheet1!#REF!*Sheet1!#REF!*4+Sheet1!#REF!*Sheet1!#REF!)/10</f>
        <v>#REF!</v>
      </c>
      <c r="U24" s="1" t="e">
        <f>(Sheet1!#REF!*Sheet1!#REF!*4+Sheet1!#REF!*Sheet1!#REF!)/10</f>
        <v>#REF!</v>
      </c>
      <c r="V24" s="1" t="e">
        <f>(Sheet1!#REF!*Sheet1!#REF!*4+Sheet1!#REF!*Sheet1!#REF!)/10</f>
        <v>#REF!</v>
      </c>
      <c r="W24" s="1" t="e">
        <f>(Sheet1!#REF!*Sheet1!#REF!*4+Sheet1!#REF!*Sheet1!#REF!)/10</f>
        <v>#REF!</v>
      </c>
      <c r="X24" s="1" t="e">
        <f>(Sheet1!#REF!*Sheet1!#REF!*4+Sheet1!#REF!*Sheet1!#REF!)/10</f>
        <v>#REF!</v>
      </c>
      <c r="Y24" s="1" t="e">
        <f>(Sheet1!#REF!*Sheet1!#REF!*4+Sheet1!#REF!*Sheet1!#REF!)/10</f>
        <v>#REF!</v>
      </c>
      <c r="Z24" s="1">
        <f>(Sheet1!C348*Sheet1!C349*4+Sheet1!C350*Sheet1!C351)/10</f>
        <v>8.8000000000000007</v>
      </c>
      <c r="AA24" s="1" t="e">
        <f>(Sheet1!#REF!*Sheet1!#REF!*4+Sheet1!#REF!*Sheet1!#REF!)/10</f>
        <v>#REF!</v>
      </c>
      <c r="AB24" s="1" t="e">
        <f>(Sheet1!#REF!*Sheet1!#REF!*4+Sheet1!#REF!*Sheet1!#REF!)/10</f>
        <v>#REF!</v>
      </c>
      <c r="AC24" s="1" t="e">
        <f>(Sheet1!#REF!*Sheet1!#REF!*4+Sheet1!#REF!*Sheet1!#REF!)/10</f>
        <v>#REF!</v>
      </c>
      <c r="AD24" s="1" t="e">
        <f>(Sheet1!#REF!*Sheet1!#REF!*4+Sheet1!#REF!*Sheet1!#REF!)/10</f>
        <v>#REF!</v>
      </c>
      <c r="AE24" s="1" t="e">
        <f>(Sheet1!#REF!*Sheet1!#REF!*4+Sheet1!#REF!*Sheet1!#REF!)/10</f>
        <v>#REF!</v>
      </c>
      <c r="AF24" s="1" t="e">
        <f>(Sheet1!#REF!*Sheet1!#REF!*4+Sheet1!#REF!*Sheet1!#REF!)/10</f>
        <v>#REF!</v>
      </c>
      <c r="AG24" s="1" t="e">
        <f>(Sheet1!#REF!*Sheet1!#REF!*4+Sheet1!#REF!*Sheet1!#REF!)/10</f>
        <v>#REF!</v>
      </c>
      <c r="AH24" s="1" t="e">
        <f>(Sheet1!#REF!*Sheet1!#REF!*4+Sheet1!#REF!*Sheet1!#REF!)/10</f>
        <v>#REF!</v>
      </c>
      <c r="AI24" s="1" t="e">
        <f>(Sheet1!#REF!*Sheet1!#REF!*4+Sheet1!#REF!*Sheet1!#REF!)/10</f>
        <v>#REF!</v>
      </c>
      <c r="AJ24" s="1" t="e">
        <f>(Sheet1!#REF!*Sheet1!#REF!*4+Sheet1!#REF!*Sheet1!#REF!)/10</f>
        <v>#REF!</v>
      </c>
      <c r="AK24" s="1" t="e">
        <f>(Sheet1!#REF!*Sheet1!#REF!*4+Sheet1!#REF!*Sheet1!#REF!)/10</f>
        <v>#REF!</v>
      </c>
      <c r="AL24" s="1" t="e">
        <f>(Sheet1!#REF!*Sheet1!#REF!*4+Sheet1!#REF!*Sheet1!#REF!)/10</f>
        <v>#REF!</v>
      </c>
      <c r="AM24" s="1" t="e">
        <f>(Sheet1!#REF!*Sheet1!#REF!*4+Sheet1!#REF!*Sheet1!#REF!)/10</f>
        <v>#REF!</v>
      </c>
      <c r="AN24" s="1" t="e">
        <f>(Sheet1!#REF!*Sheet1!#REF!*4+Sheet1!#REF!*Sheet1!#REF!)/10</f>
        <v>#REF!</v>
      </c>
      <c r="AO24" s="1" t="e">
        <f>(Sheet1!#REF!*Sheet1!#REF!*4+Sheet1!#REF!*Sheet1!#REF!)/10</f>
        <v>#REF!</v>
      </c>
      <c r="AP24" s="1" t="e">
        <f>(Sheet1!#REF!*Sheet1!#REF!*4+Sheet1!#REF!*Sheet1!#REF!)/10</f>
        <v>#REF!</v>
      </c>
      <c r="AQ24" s="1" t="e">
        <f>(Sheet1!#REF!*Sheet1!#REF!*4+Sheet1!#REF!*Sheet1!#REF!)/10</f>
        <v>#REF!</v>
      </c>
      <c r="AR24" s="1" t="e">
        <f>(Sheet1!#REF!*Sheet1!#REF!*4+Sheet1!#REF!*Sheet1!#REF!)/10</f>
        <v>#REF!</v>
      </c>
    </row>
    <row r="25" spans="1:44" x14ac:dyDescent="0.25">
      <c r="A25" t="s">
        <v>231</v>
      </c>
      <c r="B25" s="1" t="e">
        <f>(Sheet1!#REF!*Sheet1!#REF!*2+Sheet1!#REF!*Sheet1!#REF!+Sheet1!#REF!)*2</f>
        <v>#REF!</v>
      </c>
      <c r="C25" s="1" t="e">
        <f>(Sheet1!#REF!*Sheet1!#REF!*2+Sheet1!#REF!*Sheet1!#REF!+Sheet1!#REF!)*2</f>
        <v>#REF!</v>
      </c>
      <c r="D25" s="1" t="e">
        <f>(Sheet1!#REF!*Sheet1!#REF!*2+Sheet1!#REF!*Sheet1!#REF!+Sheet1!#REF!)*2</f>
        <v>#REF!</v>
      </c>
      <c r="E25" s="1" t="e">
        <f>(Sheet1!#REF!*Sheet1!#REF!*2+Sheet1!#REF!*Sheet1!#REF!+Sheet1!#REF!)*2</f>
        <v>#REF!</v>
      </c>
      <c r="F25" s="1" t="e">
        <f>(Sheet1!#REF!*Sheet1!#REF!*2+Sheet1!#REF!*Sheet1!#REF!+Sheet1!#REF!)*2</f>
        <v>#REF!</v>
      </c>
      <c r="G25" s="1" t="e">
        <f>(Sheet1!#REF!*Sheet1!#REF!*2+Sheet1!#REF!*Sheet1!#REF!+Sheet1!#REF!)*2</f>
        <v>#REF!</v>
      </c>
      <c r="H25" s="1" t="e">
        <f>(Sheet1!#REF!*Sheet1!#REF!*2+Sheet1!#REF!*Sheet1!#REF!+Sheet1!#REF!)*2</f>
        <v>#REF!</v>
      </c>
      <c r="I25" s="1" t="e">
        <f>(Sheet1!#REF!*Sheet1!#REF!*2+Sheet1!#REF!*Sheet1!#REF!+Sheet1!#REF!)*2</f>
        <v>#REF!</v>
      </c>
      <c r="J25" s="1" t="e">
        <f>(Sheet1!#REF!*Sheet1!#REF!*2+Sheet1!#REF!*Sheet1!#REF!+Sheet1!#REF!)*2</f>
        <v>#REF!</v>
      </c>
      <c r="K25" s="1" t="e">
        <f>(Sheet1!#REF!*Sheet1!#REF!*2+Sheet1!#REF!*Sheet1!#REF!+Sheet1!#REF!)*2</f>
        <v>#REF!</v>
      </c>
      <c r="L25" s="1" t="e">
        <f>(Sheet1!#REF!*Sheet1!#REF!*2+Sheet1!#REF!*Sheet1!#REF!+Sheet1!#REF!)*2</f>
        <v>#REF!</v>
      </c>
      <c r="M25" s="1" t="e">
        <f>(Sheet1!#REF!*Sheet1!#REF!*2+Sheet1!#REF!*Sheet1!#REF!+Sheet1!#REF!)*2</f>
        <v>#REF!</v>
      </c>
      <c r="N25" s="1" t="e">
        <f>(Sheet1!#REF!*Sheet1!#REF!*2+Sheet1!#REF!*Sheet1!#REF!+Sheet1!#REF!)*2</f>
        <v>#REF!</v>
      </c>
      <c r="O25" s="1" t="e">
        <f>(Sheet1!#REF!*Sheet1!#REF!*2+Sheet1!#REF!*Sheet1!#REF!+Sheet1!#REF!)*2</f>
        <v>#REF!</v>
      </c>
      <c r="P25" s="1" t="e">
        <f>(Sheet1!#REF!*Sheet1!#REF!*2+Sheet1!#REF!*Sheet1!#REF!+Sheet1!#REF!)*2</f>
        <v>#REF!</v>
      </c>
      <c r="Q25" s="1" t="e">
        <f>(Sheet1!#REF!*Sheet1!#REF!*2+Sheet1!#REF!*Sheet1!#REF!+Sheet1!#REF!)*2</f>
        <v>#REF!</v>
      </c>
      <c r="R25" s="1" t="e">
        <f>(Sheet1!#REF!*Sheet1!#REF!*2+Sheet1!#REF!*Sheet1!#REF!+Sheet1!#REF!)*2</f>
        <v>#REF!</v>
      </c>
      <c r="S25" s="1" t="e">
        <f>(Sheet1!#REF!*Sheet1!#REF!*2+Sheet1!#REF!*Sheet1!#REF!+Sheet1!#REF!)*2</f>
        <v>#REF!</v>
      </c>
      <c r="T25" s="1" t="e">
        <f>(Sheet1!#REF!*Sheet1!#REF!*2+Sheet1!#REF!*Sheet1!#REF!+Sheet1!#REF!)*2</f>
        <v>#REF!</v>
      </c>
      <c r="U25" s="1" t="e">
        <f>(Sheet1!#REF!*Sheet1!#REF!*2+Sheet1!#REF!*Sheet1!#REF!+Sheet1!#REF!)*2</f>
        <v>#REF!</v>
      </c>
      <c r="V25" s="1" t="e">
        <f>(Sheet1!#REF!*Sheet1!#REF!*2+Sheet1!#REF!*Sheet1!#REF!+Sheet1!#REF!)*2</f>
        <v>#REF!</v>
      </c>
      <c r="W25" s="1" t="e">
        <f>(Sheet1!#REF!*Sheet1!#REF!*2+Sheet1!#REF!*Sheet1!#REF!+Sheet1!#REF!)*2</f>
        <v>#REF!</v>
      </c>
      <c r="X25" s="1" t="e">
        <f>(Sheet1!#REF!*Sheet1!#REF!*2+Sheet1!#REF!*Sheet1!#REF!+Sheet1!#REF!)*2</f>
        <v>#REF!</v>
      </c>
      <c r="Y25" s="1" t="e">
        <f>(Sheet1!#REF!*Sheet1!#REF!*2+Sheet1!#REF!*Sheet1!#REF!+Sheet1!#REF!)*2</f>
        <v>#REF!</v>
      </c>
      <c r="Z25" s="1">
        <f>(Sheet1!C344*Sheet1!C345*2+Sheet1!C346*Sheet1!C347+Sheet1!C339)*2</f>
        <v>6</v>
      </c>
      <c r="AA25" s="1" t="e">
        <f>(Sheet1!#REF!*Sheet1!#REF!*2+Sheet1!#REF!*Sheet1!#REF!+Sheet1!#REF!)*2</f>
        <v>#REF!</v>
      </c>
      <c r="AB25" s="1" t="e">
        <f>(Sheet1!#REF!*Sheet1!#REF!*2+Sheet1!#REF!*Sheet1!#REF!+Sheet1!#REF!)*2</f>
        <v>#REF!</v>
      </c>
      <c r="AC25" s="1" t="e">
        <f>(Sheet1!#REF!*Sheet1!#REF!*2+Sheet1!#REF!*Sheet1!#REF!+Sheet1!#REF!)*2</f>
        <v>#REF!</v>
      </c>
      <c r="AD25" s="1" t="e">
        <f>(Sheet1!#REF!*Sheet1!#REF!*2+Sheet1!#REF!*Sheet1!#REF!+Sheet1!#REF!)*2</f>
        <v>#REF!</v>
      </c>
      <c r="AE25" s="1" t="e">
        <f>(Sheet1!#REF!*Sheet1!#REF!*2+Sheet1!#REF!*Sheet1!#REF!+Sheet1!#REF!)*2</f>
        <v>#REF!</v>
      </c>
      <c r="AF25" s="1" t="e">
        <f>(Sheet1!#REF!*Sheet1!#REF!*2+Sheet1!#REF!*Sheet1!#REF!+Sheet1!#REF!)*2</f>
        <v>#REF!</v>
      </c>
      <c r="AG25" s="1" t="e">
        <f>(Sheet1!#REF!*Sheet1!#REF!*2+Sheet1!#REF!*Sheet1!#REF!+Sheet1!#REF!)*2</f>
        <v>#REF!</v>
      </c>
      <c r="AH25" s="1" t="e">
        <f>(Sheet1!#REF!*Sheet1!#REF!*2+Sheet1!#REF!*Sheet1!#REF!+Sheet1!#REF!)*2</f>
        <v>#REF!</v>
      </c>
      <c r="AI25" s="1" t="e">
        <f>(Sheet1!#REF!*Sheet1!#REF!*2+Sheet1!#REF!*Sheet1!#REF!+Sheet1!#REF!)*2</f>
        <v>#REF!</v>
      </c>
      <c r="AJ25" s="1" t="e">
        <f>(Sheet1!#REF!*Sheet1!#REF!*2+Sheet1!#REF!*Sheet1!#REF!+Sheet1!#REF!)*2</f>
        <v>#REF!</v>
      </c>
      <c r="AK25" s="1" t="e">
        <f>(Sheet1!#REF!*Sheet1!#REF!*2+Sheet1!#REF!*Sheet1!#REF!+Sheet1!#REF!)*2</f>
        <v>#REF!</v>
      </c>
      <c r="AL25" s="1" t="e">
        <f>(Sheet1!#REF!*Sheet1!#REF!*2+Sheet1!#REF!*Sheet1!#REF!+Sheet1!#REF!)*2</f>
        <v>#REF!</v>
      </c>
      <c r="AM25" s="1" t="e">
        <f>(Sheet1!#REF!*Sheet1!#REF!*2+Sheet1!#REF!*Sheet1!#REF!+Sheet1!#REF!)*2</f>
        <v>#REF!</v>
      </c>
      <c r="AN25" s="1" t="e">
        <f>(Sheet1!#REF!*Sheet1!#REF!*2+Sheet1!#REF!*Sheet1!#REF!+Sheet1!#REF!)*2</f>
        <v>#REF!</v>
      </c>
      <c r="AO25" s="1" t="e">
        <f>(Sheet1!#REF!*Sheet1!#REF!*2+Sheet1!#REF!*Sheet1!#REF!+Sheet1!#REF!)*2</f>
        <v>#REF!</v>
      </c>
      <c r="AP25" s="1" t="e">
        <f>(Sheet1!#REF!*Sheet1!#REF!*2+Sheet1!#REF!*Sheet1!#REF!+Sheet1!#REF!)*2</f>
        <v>#REF!</v>
      </c>
      <c r="AQ25" s="1" t="e">
        <f>(Sheet1!#REF!*Sheet1!#REF!*2+Sheet1!#REF!*Sheet1!#REF!+Sheet1!#REF!)*2</f>
        <v>#REF!</v>
      </c>
      <c r="AR25" s="1" t="e">
        <f>(Sheet1!#REF!*Sheet1!#REF!*2+Sheet1!#REF!*Sheet1!#REF!+Sheet1!#REF!)*2</f>
        <v>#REF!</v>
      </c>
    </row>
    <row r="26" spans="1:44" x14ac:dyDescent="0.25">
      <c r="A26" t="s">
        <v>232</v>
      </c>
      <c r="B26">
        <v>15</v>
      </c>
      <c r="C26">
        <v>40</v>
      </c>
      <c r="D26">
        <v>40</v>
      </c>
      <c r="E26">
        <v>40</v>
      </c>
      <c r="F26">
        <v>2</v>
      </c>
      <c r="G26">
        <v>5</v>
      </c>
      <c r="H26">
        <v>20</v>
      </c>
      <c r="I26">
        <v>35</v>
      </c>
      <c r="J26">
        <v>15</v>
      </c>
      <c r="K26">
        <v>15</v>
      </c>
      <c r="L26">
        <v>25</v>
      </c>
      <c r="M26">
        <v>10</v>
      </c>
      <c r="N26">
        <v>12</v>
      </c>
      <c r="O26">
        <v>15</v>
      </c>
      <c r="P26">
        <v>5</v>
      </c>
      <c r="Q26">
        <v>12</v>
      </c>
      <c r="R26">
        <v>18</v>
      </c>
      <c r="S26">
        <v>30</v>
      </c>
      <c r="T26">
        <v>20</v>
      </c>
      <c r="U26">
        <v>25</v>
      </c>
      <c r="V26">
        <v>5</v>
      </c>
      <c r="W26">
        <v>2</v>
      </c>
      <c r="X26">
        <v>20</v>
      </c>
      <c r="Y26">
        <v>18</v>
      </c>
      <c r="Z26">
        <v>5</v>
      </c>
      <c r="AA26">
        <v>30</v>
      </c>
      <c r="AB26">
        <v>50</v>
      </c>
      <c r="AC26">
        <v>25</v>
      </c>
      <c r="AD26">
        <v>40</v>
      </c>
      <c r="AE26">
        <v>10</v>
      </c>
      <c r="AF26">
        <v>15</v>
      </c>
      <c r="AG26">
        <v>20</v>
      </c>
      <c r="AH26">
        <v>20</v>
      </c>
      <c r="AI26">
        <v>17</v>
      </c>
      <c r="AJ26">
        <v>20</v>
      </c>
      <c r="AN26">
        <v>25</v>
      </c>
      <c r="AO26">
        <v>26</v>
      </c>
      <c r="AP26">
        <v>18</v>
      </c>
      <c r="AQ26">
        <v>25</v>
      </c>
      <c r="AR26">
        <v>5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5"/>
  <sheetViews>
    <sheetView topLeftCell="P1" zoomScaleSheetLayoutView="100" workbookViewId="0">
      <selection activeCell="AE8" sqref="AE8"/>
    </sheetView>
  </sheetViews>
  <sheetFormatPr defaultColWidth="8.69921875" defaultRowHeight="15.6" x14ac:dyDescent="0.25"/>
  <cols>
    <col min="1" max="1" width="18.59765625" customWidth="1"/>
    <col min="2" max="2" width="12.69921875" style="1" bestFit="1" customWidth="1"/>
    <col min="24" max="24" width="12.69921875" bestFit="1" customWidth="1"/>
  </cols>
  <sheetData>
    <row r="1" spans="1:30" x14ac:dyDescent="0.25">
      <c r="A1" t="s">
        <v>233</v>
      </c>
      <c r="B1" s="1" t="e">
        <f>Sheet3!B2</f>
        <v>#REF!</v>
      </c>
      <c r="C1" t="e">
        <f>Sheet3!C2</f>
        <v>#REF!</v>
      </c>
      <c r="D1" t="e">
        <f>Sheet3!D2</f>
        <v>#REF!</v>
      </c>
      <c r="E1" t="e">
        <f>Sheet3!E2</f>
        <v>#REF!</v>
      </c>
      <c r="F1" t="e">
        <f>Sheet3!F2</f>
        <v>#REF!</v>
      </c>
      <c r="G1" t="e">
        <f>Sheet3!G2</f>
        <v>#REF!</v>
      </c>
      <c r="H1" t="e">
        <f>Sheet3!H2</f>
        <v>#REF!</v>
      </c>
      <c r="I1" t="e">
        <f>Sheet3!I2</f>
        <v>#REF!</v>
      </c>
      <c r="J1" t="e">
        <f>Sheet3!J2</f>
        <v>#REF!</v>
      </c>
      <c r="K1" t="e">
        <f>Sheet3!K2</f>
        <v>#REF!</v>
      </c>
      <c r="L1" t="e">
        <f>Sheet3!L2</f>
        <v>#REF!</v>
      </c>
      <c r="M1" t="e">
        <f>Sheet3!M2</f>
        <v>#REF!</v>
      </c>
      <c r="N1" t="e">
        <f>Sheet3!N2</f>
        <v>#REF!</v>
      </c>
      <c r="O1" t="e">
        <f>Sheet3!O2</f>
        <v>#REF!</v>
      </c>
      <c r="P1" t="e">
        <f>Sheet3!P2</f>
        <v>#REF!</v>
      </c>
      <c r="Q1" t="e">
        <f>Sheet3!Q2</f>
        <v>#REF!</v>
      </c>
      <c r="R1" t="e">
        <f>Sheet3!R2</f>
        <v>#REF!</v>
      </c>
      <c r="S1" t="e">
        <f>Sheet3!S2</f>
        <v>#REF!</v>
      </c>
      <c r="T1" t="e">
        <f>Sheet3!T2</f>
        <v>#REF!</v>
      </c>
      <c r="U1" t="e">
        <f>Sheet3!U2</f>
        <v>#REF!</v>
      </c>
      <c r="V1" t="e">
        <f>Sheet3!V2</f>
        <v>#REF!</v>
      </c>
      <c r="W1" t="e">
        <f>Sheet3!W2</f>
        <v>#REF!</v>
      </c>
      <c r="X1" t="e">
        <f>Sheet3!X2</f>
        <v>#REF!</v>
      </c>
      <c r="Y1" t="e">
        <f>Sheet3!Y2</f>
        <v>#REF!</v>
      </c>
      <c r="Z1" t="str">
        <f>Sheet3!Z2</f>
        <v>ZL02</v>
      </c>
      <c r="AA1" t="e">
        <f>Sheet3!AA2</f>
        <v>#REF!</v>
      </c>
      <c r="AB1" t="e">
        <f>Sheet3!AB2</f>
        <v>#REF!</v>
      </c>
      <c r="AC1" t="e">
        <f>Sheet3!AC2</f>
        <v>#REF!</v>
      </c>
      <c r="AD1" t="e">
        <f>Sheet3!AD2</f>
        <v>#REF!</v>
      </c>
    </row>
    <row r="2" spans="1:30" x14ac:dyDescent="0.25">
      <c r="A2" t="s">
        <v>4</v>
      </c>
    </row>
    <row r="3" spans="1:30" x14ac:dyDescent="0.25">
      <c r="A3" t="s">
        <v>234</v>
      </c>
      <c r="B3" s="2" t="e">
        <f>Sheet3!B24/Sheet3!B23</f>
        <v>#REF!</v>
      </c>
      <c r="W3" s="2" t="e">
        <f>Sheet3!B24/Sheet3!W23</f>
        <v>#REF!</v>
      </c>
      <c r="X3" s="2" t="e">
        <f>Sheet3!B24/Sheet3!X23</f>
        <v>#REF!</v>
      </c>
    </row>
    <row r="4" spans="1:30" x14ac:dyDescent="0.25">
      <c r="A4" t="s">
        <v>235</v>
      </c>
      <c r="B4" s="1" t="e">
        <f>Sheet3!B18*4/3-Sheet3!B20*2/3</f>
        <v>#REF!</v>
      </c>
      <c r="W4" s="1" t="e">
        <f>Sheet3!B18*4/3-Sheet3!W20*2/3</f>
        <v>#REF!</v>
      </c>
      <c r="X4" s="1" t="e">
        <f>Sheet3!B18*4/3-Sheet3!X20*2/3</f>
        <v>#REF!</v>
      </c>
    </row>
    <row r="5" spans="1:30" x14ac:dyDescent="0.25">
      <c r="A5" t="s">
        <v>236</v>
      </c>
      <c r="B5" s="1" t="e">
        <f>Sheet3!B18*2/3-Sheet3!B20*4/3</f>
        <v>#REF!</v>
      </c>
      <c r="W5" s="1" t="e">
        <f>Sheet3!B18*2/3-Sheet3!W20*4/3</f>
        <v>#REF!</v>
      </c>
      <c r="X5" s="1" t="e">
        <f>Sheet3!B18*2/3-Sheet3!X20*4/3</f>
        <v>#REF!</v>
      </c>
    </row>
    <row r="6" spans="1:30" x14ac:dyDescent="0.25">
      <c r="A6" t="s">
        <v>237</v>
      </c>
      <c r="B6" s="3">
        <f>Sheet3!B26/15/(Sheet3!B26/15)</f>
        <v>1</v>
      </c>
      <c r="W6" s="3">
        <f>Sheet3!B26/15/(Sheet3!W26/15)</f>
        <v>7.5</v>
      </c>
      <c r="X6" s="3">
        <f>Sheet3!B26/15/(Sheet3!X26/15)</f>
        <v>0.75</v>
      </c>
    </row>
    <row r="7" spans="1:30" x14ac:dyDescent="0.25">
      <c r="A7" t="s">
        <v>238</v>
      </c>
      <c r="B7" s="1" t="e">
        <f>(B4-B5)/2*B6+B5</f>
        <v>#REF!</v>
      </c>
      <c r="W7" s="1" t="e">
        <f>(W4-W5)/2*W6+W5</f>
        <v>#REF!</v>
      </c>
      <c r="X7" s="1" t="e">
        <f>(X4-X5)/2*X6+X5</f>
        <v>#REF!</v>
      </c>
    </row>
    <row r="8" spans="1:30" x14ac:dyDescent="0.25">
      <c r="A8" t="s">
        <v>239</v>
      </c>
      <c r="B8" s="1" t="e">
        <f>B3*B7</f>
        <v>#REF!</v>
      </c>
      <c r="W8" s="1" t="e">
        <f>W3*W7</f>
        <v>#REF!</v>
      </c>
      <c r="X8" s="1" t="e">
        <f>X3*X7</f>
        <v>#REF!</v>
      </c>
    </row>
    <row r="9" spans="1:30" x14ac:dyDescent="0.25">
      <c r="A9" t="s">
        <v>240</v>
      </c>
      <c r="B9" s="4" t="e">
        <f>Sheet3!B17/B8</f>
        <v>#REF!</v>
      </c>
      <c r="W9" s="4" t="e">
        <f>Sheet3!W17/W8</f>
        <v>#REF!</v>
      </c>
      <c r="X9" s="4" t="e">
        <f>Sheet3!X17/X8</f>
        <v>#REF!</v>
      </c>
    </row>
    <row r="10" spans="1:30" x14ac:dyDescent="0.25">
      <c r="A10" t="s">
        <v>5</v>
      </c>
      <c r="W10" s="1"/>
      <c r="X10" s="1"/>
    </row>
    <row r="11" spans="1:30" x14ac:dyDescent="0.25">
      <c r="A11" t="s">
        <v>234</v>
      </c>
      <c r="B11" s="2" t="e">
        <f>Sheet3!N24/Sheet3!B23</f>
        <v>#REF!</v>
      </c>
      <c r="W11" s="2" t="e">
        <f>Sheet3!N24/Sheet3!W23</f>
        <v>#REF!</v>
      </c>
      <c r="X11" s="2" t="e">
        <f>Sheet3!N24/Sheet3!X23</f>
        <v>#REF!</v>
      </c>
    </row>
    <row r="12" spans="1:30" x14ac:dyDescent="0.25">
      <c r="A12" t="s">
        <v>235</v>
      </c>
      <c r="B12" s="1" t="e">
        <f>Sheet3!N18*4/3-Sheet3!B20*2/3</f>
        <v>#REF!</v>
      </c>
      <c r="W12" s="1" t="e">
        <f>Sheet3!N18*4/3-Sheet3!W20*2/3</f>
        <v>#REF!</v>
      </c>
      <c r="X12" s="1" t="e">
        <f>Sheet3!N18*4/3-Sheet3!X20*2/3</f>
        <v>#REF!</v>
      </c>
    </row>
    <row r="13" spans="1:30" x14ac:dyDescent="0.25">
      <c r="A13" t="s">
        <v>236</v>
      </c>
      <c r="B13" s="1" t="e">
        <f>Sheet3!N18*2/3-Sheet3!B20*4/3</f>
        <v>#REF!</v>
      </c>
      <c r="W13" s="1" t="e">
        <f>Sheet3!N18*2/3-Sheet3!W20*4/3</f>
        <v>#REF!</v>
      </c>
      <c r="X13" s="1" t="e">
        <f>Sheet3!N18*2/3-Sheet3!X20*4/3</f>
        <v>#REF!</v>
      </c>
    </row>
    <row r="14" spans="1:30" x14ac:dyDescent="0.25">
      <c r="A14" t="s">
        <v>237</v>
      </c>
      <c r="B14" s="3">
        <f>Sheet3!N26/15/(Sheet3!B26/15)</f>
        <v>0.8</v>
      </c>
      <c r="W14" s="3">
        <f>Sheet3!N26/15/(Sheet3!W26/15)</f>
        <v>6</v>
      </c>
      <c r="X14" s="3">
        <f>Sheet3!N26/15/(Sheet3!X26/15)</f>
        <v>0.60000000000000009</v>
      </c>
    </row>
    <row r="15" spans="1:30" x14ac:dyDescent="0.25">
      <c r="A15" t="s">
        <v>238</v>
      </c>
      <c r="B15" s="1" t="e">
        <f>(B12-B13)/2*B14+B13</f>
        <v>#REF!</v>
      </c>
      <c r="W15" s="1" t="e">
        <f>(W12-W13)/2*W14+W13</f>
        <v>#REF!</v>
      </c>
      <c r="X15" s="1" t="e">
        <f>(X12-X13)/2*X14+X13</f>
        <v>#REF!</v>
      </c>
    </row>
    <row r="16" spans="1:30" x14ac:dyDescent="0.25">
      <c r="A16" t="s">
        <v>239</v>
      </c>
      <c r="B16" s="1" t="e">
        <f>B11*B15</f>
        <v>#REF!</v>
      </c>
      <c r="W16" s="1" t="e">
        <f>W11*W15</f>
        <v>#REF!</v>
      </c>
      <c r="X16" s="1" t="e">
        <f>X11*X15</f>
        <v>#REF!</v>
      </c>
    </row>
    <row r="17" spans="1:24" x14ac:dyDescent="0.25">
      <c r="A17" t="s">
        <v>240</v>
      </c>
      <c r="B17" s="4" t="e">
        <f>Sheet3!B17/B16</f>
        <v>#REF!</v>
      </c>
      <c r="W17" s="4" t="e">
        <f>Sheet3!W17/W16</f>
        <v>#REF!</v>
      </c>
      <c r="X17" s="4" t="e">
        <f>Sheet3!X17/X16</f>
        <v>#REF!</v>
      </c>
    </row>
    <row r="18" spans="1:24" x14ac:dyDescent="0.25">
      <c r="A18" t="s">
        <v>6</v>
      </c>
    </row>
    <row r="19" spans="1:24" x14ac:dyDescent="0.25">
      <c r="A19" t="s">
        <v>234</v>
      </c>
      <c r="B19" s="2" t="e">
        <f>Sheet3!W24/Sheet3!B23</f>
        <v>#REF!</v>
      </c>
      <c r="W19" s="2" t="e">
        <f>Sheet3!W24/Sheet3!W23</f>
        <v>#REF!</v>
      </c>
      <c r="X19" s="2" t="e">
        <f>Sheet3!W24/Sheet3!X23</f>
        <v>#REF!</v>
      </c>
    </row>
    <row r="20" spans="1:24" x14ac:dyDescent="0.25">
      <c r="A20" t="s">
        <v>235</v>
      </c>
      <c r="B20" s="1" t="e">
        <f>Sheet3!W18*4/3-Sheet3!B20*2/3</f>
        <v>#REF!</v>
      </c>
      <c r="W20" s="1" t="e">
        <f>Sheet3!W18*4/3-Sheet3!W20*2/3</f>
        <v>#REF!</v>
      </c>
      <c r="X20" s="1" t="e">
        <f>Sheet3!W18*4/3-Sheet3!X20*2/3</f>
        <v>#REF!</v>
      </c>
    </row>
    <row r="21" spans="1:24" x14ac:dyDescent="0.25">
      <c r="A21" t="s">
        <v>236</v>
      </c>
      <c r="B21" s="1" t="e">
        <f>Sheet3!W18*2/3-Sheet3!B20*4/3</f>
        <v>#REF!</v>
      </c>
      <c r="W21" s="1" t="e">
        <f>Sheet3!W18*2/3-Sheet3!W20*4/3</f>
        <v>#REF!</v>
      </c>
      <c r="X21" s="1" t="e">
        <f>Sheet3!W18*2/3-Sheet3!X20*4/3</f>
        <v>#REF!</v>
      </c>
    </row>
    <row r="22" spans="1:24" x14ac:dyDescent="0.25">
      <c r="A22" t="s">
        <v>237</v>
      </c>
      <c r="B22" s="3">
        <f>Sheet3!W26/15/(Sheet3!B26/15)</f>
        <v>0.13333333333333333</v>
      </c>
      <c r="W22" s="3">
        <f>Sheet3!W26/15/(Sheet3!W26/15)</f>
        <v>1</v>
      </c>
      <c r="X22" s="3">
        <f>Sheet3!W26/15/(Sheet3!X26/15)</f>
        <v>0.1</v>
      </c>
    </row>
    <row r="23" spans="1:24" x14ac:dyDescent="0.25">
      <c r="A23" t="s">
        <v>238</v>
      </c>
      <c r="B23" s="1" t="e">
        <f>(B20-B21)/2*B22+B21</f>
        <v>#REF!</v>
      </c>
      <c r="W23" s="1" t="e">
        <f>(W20-W21)/2*W22+W21</f>
        <v>#REF!</v>
      </c>
      <c r="X23" s="1" t="e">
        <f>(X20-X21)/2*X22+X21</f>
        <v>#REF!</v>
      </c>
    </row>
    <row r="24" spans="1:24" x14ac:dyDescent="0.25">
      <c r="A24" t="s">
        <v>239</v>
      </c>
      <c r="B24" s="1" t="e">
        <f>B19*B23</f>
        <v>#REF!</v>
      </c>
      <c r="W24" s="1" t="e">
        <f>W19*W23</f>
        <v>#REF!</v>
      </c>
      <c r="X24" s="1" t="e">
        <f>X19*X23</f>
        <v>#REF!</v>
      </c>
    </row>
    <row r="25" spans="1:24" x14ac:dyDescent="0.25">
      <c r="A25" t="s">
        <v>240</v>
      </c>
      <c r="B25" s="4" t="e">
        <f>Sheet3!B17/B24</f>
        <v>#REF!</v>
      </c>
      <c r="W25" s="4" t="e">
        <f>Sheet3!W17/W24</f>
        <v>#REF!</v>
      </c>
      <c r="X25" s="4" t="e">
        <f>Sheet3!X17/X24</f>
        <v>#REF!</v>
      </c>
    </row>
  </sheetData>
  <phoneticPr fontId="1" type="noConversion"/>
  <pageMargins left="0.75" right="0.75" top="1" bottom="1" header="0.51111111111111107" footer="0.5111111111111110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roseyanyh</dc:creator>
  <cp:keywords/>
  <dc:description/>
  <cp:lastModifiedBy>zbh</cp:lastModifiedBy>
  <cp:revision/>
  <dcterms:created xsi:type="dcterms:W3CDTF">2012-06-06T01:30:27Z</dcterms:created>
  <dcterms:modified xsi:type="dcterms:W3CDTF">2019-07-07T22:39:07Z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