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126"/>
  <workbookPr defaultThemeVersion="124226"/>
  <mc:AlternateContent xmlns:mc="http://schemas.openxmlformats.org/markup-compatibility/2006">
    <mc:Choice Requires="x15">
      <x15ac:absPath xmlns:x15ac="http://schemas.microsoft.com/office/spreadsheetml/2010/11/ac" url="F:\PycharmProjects\GitHub\test\export_data\"/>
    </mc:Choice>
  </mc:AlternateContent>
  <xr:revisionPtr revIDLastSave="0" documentId="13_ncr:1_{E547B59C-047D-431E-82E9-982A12B4D61F}" xr6:coauthVersionLast="40" xr6:coauthVersionMax="40" xr10:uidLastSave="{00000000-0000-0000-0000-000000000000}"/>
  <bookViews>
    <workbookView xWindow="240" yWindow="165" windowWidth="14805" windowHeight="6720" activeTab="1" xr2:uid="{00000000-000D-0000-FFFF-FFFF00000000}"/>
  </bookViews>
  <sheets>
    <sheet name="报表模板参照" sheetId="1" r:id="rId1"/>
    <sheet name="总量" sheetId="2" r:id="rId2"/>
    <sheet name="承保" sheetId="3" r:id="rId3"/>
    <sheet name="退保" sheetId="4" r:id="rId4"/>
  </sheets>
  <externalReferences>
    <externalReference r:id="rId5"/>
  </externalReferences>
  <calcPr calcId="191029"/>
</workbook>
</file>

<file path=xl/calcChain.xml><?xml version="1.0" encoding="utf-8"?>
<calcChain xmlns="http://schemas.openxmlformats.org/spreadsheetml/2006/main">
  <c r="H11" i="1" l="1"/>
  <c r="I19" i="1" l="1"/>
  <c r="I18" i="1"/>
  <c r="I17" i="1"/>
  <c r="I16" i="1"/>
  <c r="I15" i="1"/>
  <c r="I13" i="1"/>
  <c r="H13" i="1"/>
  <c r="I4" i="1"/>
  <c r="I5" i="1"/>
  <c r="I6" i="1"/>
  <c r="I7" i="1"/>
  <c r="I8" i="1"/>
  <c r="I9" i="1"/>
  <c r="I10" i="1"/>
  <c r="I3" i="1"/>
  <c r="H4" i="1"/>
  <c r="H5" i="1"/>
  <c r="H6" i="1"/>
  <c r="H7" i="1"/>
  <c r="H8" i="1"/>
  <c r="H9" i="1"/>
  <c r="H10" i="1"/>
  <c r="H3" i="1"/>
  <c r="G19" i="1"/>
  <c r="F19" i="1"/>
  <c r="G17" i="1"/>
  <c r="G16" i="1"/>
  <c r="G15" i="1"/>
  <c r="G14" i="1"/>
  <c r="G13" i="1"/>
  <c r="G12" i="1"/>
  <c r="F17" i="1"/>
  <c r="F16" i="1"/>
  <c r="F15" i="1"/>
  <c r="F14" i="1"/>
  <c r="F13" i="1"/>
  <c r="F12" i="1"/>
  <c r="G4" i="1"/>
  <c r="G11" i="1" s="1"/>
  <c r="G20" i="1" s="1"/>
  <c r="G5" i="1"/>
  <c r="G6" i="1"/>
  <c r="G7" i="1"/>
  <c r="G8" i="1"/>
  <c r="G9" i="1"/>
  <c r="G10" i="1"/>
  <c r="G3" i="1"/>
  <c r="F4" i="1"/>
  <c r="F5" i="1"/>
  <c r="F6" i="1"/>
  <c r="F7" i="1"/>
  <c r="F8" i="1"/>
  <c r="F9" i="1"/>
  <c r="F10" i="1"/>
  <c r="F3" i="1"/>
  <c r="F11" i="1" s="1"/>
  <c r="F20" i="1" s="1"/>
  <c r="E19" i="1"/>
  <c r="E17" i="1"/>
  <c r="E16" i="1"/>
  <c r="E15" i="1"/>
  <c r="E14" i="1"/>
  <c r="E13" i="1"/>
  <c r="E12" i="1"/>
  <c r="D14" i="1"/>
  <c r="E4" i="1"/>
  <c r="E5" i="1"/>
  <c r="E6" i="1"/>
  <c r="E7" i="1"/>
  <c r="E8" i="1"/>
  <c r="E9" i="1"/>
  <c r="E10" i="1"/>
  <c r="E3" i="1"/>
  <c r="D19" i="1"/>
  <c r="D17" i="1"/>
  <c r="D16" i="1"/>
  <c r="D15" i="1"/>
  <c r="D13" i="1"/>
  <c r="D12" i="1"/>
  <c r="D4" i="1"/>
  <c r="D5" i="1"/>
  <c r="D6" i="1"/>
  <c r="D7" i="1"/>
  <c r="D8" i="1"/>
  <c r="D9" i="1"/>
  <c r="D10" i="1"/>
  <c r="D3" i="1"/>
  <c r="C19" i="1"/>
  <c r="C13" i="1"/>
  <c r="C4" i="1"/>
  <c r="C5" i="1"/>
  <c r="C6" i="1"/>
  <c r="C7" i="1"/>
  <c r="C8" i="1"/>
  <c r="C9" i="1"/>
  <c r="C10" i="1"/>
  <c r="C3" i="1"/>
  <c r="H19" i="1"/>
  <c r="H18" i="1"/>
  <c r="H17" i="1"/>
  <c r="H16" i="1"/>
  <c r="H15" i="1"/>
  <c r="E11" i="1" l="1"/>
  <c r="E20" i="1" s="1"/>
  <c r="D11" i="1"/>
  <c r="D20" i="1" s="1"/>
  <c r="H20" i="1"/>
  <c r="C11" i="1"/>
  <c r="C20" i="1" s="1"/>
  <c r="I11" i="1"/>
  <c r="I20" i="1" s="1"/>
</calcChain>
</file>

<file path=xl/sharedStrings.xml><?xml version="1.0" encoding="utf-8"?>
<sst xmlns="http://schemas.openxmlformats.org/spreadsheetml/2006/main" count="54" uniqueCount="43">
  <si>
    <t>渠道</t>
  </si>
  <si>
    <t>子渠道</t>
  </si>
  <si>
    <t>交易总量</t>
  </si>
  <si>
    <t>承保量</t>
  </si>
  <si>
    <t>承保保费(元)</t>
  </si>
  <si>
    <t>退保量</t>
  </si>
  <si>
    <t>退保保费（元）</t>
  </si>
  <si>
    <t>建行柜台</t>
  </si>
  <si>
    <t>建行手机银行</t>
  </si>
  <si>
    <t>建行网银</t>
  </si>
  <si>
    <t>建行智慧柜员机</t>
  </si>
  <si>
    <t>银保通</t>
  </si>
  <si>
    <t>建行自助终端</t>
  </si>
  <si>
    <t>中信银行手机</t>
  </si>
  <si>
    <t>中信银行网银</t>
  </si>
  <si>
    <t>团保通</t>
  </si>
  <si>
    <t>总计</t>
  </si>
  <si>
    <t>官网</t>
  </si>
  <si>
    <t>互联网</t>
  </si>
  <si>
    <t>微信</t>
  </si>
  <si>
    <t>悦生活</t>
  </si>
  <si>
    <t>个险</t>
  </si>
  <si>
    <t>手工单</t>
  </si>
  <si>
    <t>团险</t>
  </si>
  <si>
    <t>税优健康</t>
  </si>
  <si>
    <t>保交所退保</t>
  </si>
  <si>
    <t>备注： 1、电商渠道退保交易不会区分官网、微信和悦生活，在统计所有的交易量及退保量时为合并格式；
       2、建信E保承保为非实时，仅统计当天申请的保单数量；
       3、手工单个险、团险和健康险是在核心系统直接处理，未统计交易总量；
       4、交易总量排除绿灯交易
       5、建信e保交易量相对较多原因是建信e保渠道多个交易完成一个业务；
       6、个险手工单取待收费未承保的数据，因为晚上跑签单批处理后才承保。
       7、团险退保量统计分单退保</t>
  </si>
  <si>
    <t>电商</t>
  </si>
  <si>
    <t>电商官网</t>
  </si>
  <si>
    <t>电商微信</t>
  </si>
  <si>
    <t>电商悦生活</t>
  </si>
  <si>
    <t>其他银行</t>
  </si>
  <si>
    <t>个险手工单承保</t>
  </si>
  <si>
    <t>团险手工单承保</t>
  </si>
  <si>
    <t>健康险手工单承保</t>
  </si>
  <si>
    <t>建信E保承保</t>
  </si>
  <si>
    <t>个险核心手工退保</t>
  </si>
  <si>
    <t>团险核心手工退保</t>
  </si>
  <si>
    <t>健康险核心退保</t>
  </si>
  <si>
    <t>建信E保退保</t>
  </si>
  <si>
    <t>预约投保量</t>
    <phoneticPr fontId="2" type="noConversion"/>
  </si>
  <si>
    <t>预约投保保费(元)</t>
    <phoneticPr fontId="2" type="noConversion"/>
  </si>
  <si>
    <t>建信E保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</si>
</sst>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¥&quot;#,##0.00_);[Red]\(&quot;¥&quot;#,##0.00\)"/>
    <numFmt numFmtId="177" formatCode="yyyy\-mm\-dd\ h:mm:ss"/>
  </numFmts>
  <fonts count="11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b/>
      <sz val="10.5"/>
      <color theme="1"/>
      <name val="宋体"/>
      <family val="3"/>
      <charset val="134"/>
    </font>
    <font>
      <sz val="10.5"/>
      <color theme="1"/>
      <name val="宋体"/>
      <family val="3"/>
      <charset val="134"/>
    </font>
    <font>
      <sz val="10.5"/>
      <color theme="1"/>
      <name val="Calibri"/>
      <family val="2"/>
    </font>
    <font>
      <b/>
      <sz val="10.5"/>
      <color theme="1"/>
      <name val="Calibri"/>
      <family val="2"/>
    </font>
    <font>
      <b/>
      <sz val="10.5"/>
      <name val="宋体"/>
      <family val="3"/>
      <charset val="134"/>
    </font>
    <font>
      <sz val="10.5"/>
      <color theme="1"/>
      <name val="宋体"/>
      <family val="3"/>
      <charset val="134"/>
      <scheme val="minor"/>
    </font>
    <font>
      <sz val="10"/>
      <color theme="1"/>
      <name val="宋体"/>
      <family val="2"/>
      <scheme val="minor"/>
    </font>
    <font>
      <b/>
      <sz val="28"/>
      <color theme="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3DFEE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45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3" fillId="2" borderId="2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horizontal="justify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justify" vertical="center" wrapText="1"/>
    </xf>
    <xf numFmtId="0" fontId="3" fillId="2" borderId="0" xfId="0" applyFont="1" applyFill="1" applyAlignment="1">
      <alignment vertical="center" wrapText="1"/>
    </xf>
    <xf numFmtId="0" fontId="3" fillId="3" borderId="1" xfId="0" applyFont="1" applyFill="1" applyBorder="1" applyAlignment="1">
      <alignment horizontal="justify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vertical="center" wrapText="1"/>
    </xf>
    <xf numFmtId="0" fontId="4" fillId="2" borderId="0" xfId="0" applyFont="1" applyFill="1" applyAlignment="1">
      <alignment horizontal="justify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vertical="center" wrapText="1"/>
    </xf>
    <xf numFmtId="0" fontId="7" fillId="2" borderId="5" xfId="0" applyFont="1" applyFill="1" applyBorder="1" applyAlignment="1">
      <alignment vertical="center" wrapText="1"/>
    </xf>
    <xf numFmtId="0" fontId="3" fillId="4" borderId="1" xfId="0" applyFont="1" applyFill="1" applyBorder="1" applyAlignment="1">
      <alignment horizontal="left" vertical="center" wrapText="1"/>
    </xf>
    <xf numFmtId="0" fontId="5" fillId="4" borderId="1" xfId="0" applyFont="1" applyFill="1" applyBorder="1" applyAlignment="1">
      <alignment horizontal="justify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justify" vertical="center" wrapText="1"/>
    </xf>
    <xf numFmtId="0" fontId="0" fillId="0" borderId="0" xfId="0" applyAlignment="1">
      <alignment vertical="center"/>
    </xf>
    <xf numFmtId="0" fontId="8" fillId="2" borderId="1" xfId="0" applyFont="1" applyFill="1" applyBorder="1" applyAlignment="1">
      <alignment horizontal="center" vertical="center" wrapText="1"/>
    </xf>
    <xf numFmtId="0" fontId="8" fillId="2" borderId="0" xfId="0" applyFont="1" applyFill="1" applyAlignment="1">
      <alignment horizontal="justify" vertical="center" wrapText="1"/>
    </xf>
    <xf numFmtId="0" fontId="8" fillId="2" borderId="0" xfId="0" applyFont="1" applyFill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0" fillId="0" borderId="0" xfId="0"/>
    <xf numFmtId="176" fontId="6" fillId="3" borderId="1" xfId="0" applyNumberFormat="1" applyFont="1" applyFill="1" applyBorder="1" applyAlignment="1">
      <alignment horizontal="center" vertical="center" wrapText="1"/>
    </xf>
    <xf numFmtId="176" fontId="6" fillId="3" borderId="3" xfId="0" applyNumberFormat="1" applyFont="1" applyFill="1" applyBorder="1" applyAlignment="1">
      <alignment horizontal="center" vertical="center" wrapText="1"/>
    </xf>
    <xf numFmtId="176" fontId="8" fillId="2" borderId="1" xfId="0" applyNumberFormat="1" applyFont="1" applyFill="1" applyBorder="1" applyAlignment="1">
      <alignment horizontal="center" vertical="center" wrapText="1"/>
    </xf>
    <xf numFmtId="176" fontId="8" fillId="2" borderId="3" xfId="0" applyNumberFormat="1" applyFont="1" applyFill="1" applyBorder="1" applyAlignment="1">
      <alignment horizontal="center" vertical="center" wrapText="1"/>
    </xf>
    <xf numFmtId="176" fontId="8" fillId="2" borderId="2" xfId="0" applyNumberFormat="1" applyFont="1" applyFill="1" applyBorder="1" applyAlignment="1">
      <alignment horizontal="center" vertical="center" wrapText="1"/>
    </xf>
    <xf numFmtId="176" fontId="8" fillId="2" borderId="5" xfId="0" applyNumberFormat="1" applyFont="1" applyFill="1" applyBorder="1" applyAlignment="1">
      <alignment horizontal="center" vertical="center" wrapText="1"/>
    </xf>
    <xf numFmtId="176" fontId="8" fillId="4" borderId="1" xfId="0" applyNumberFormat="1" applyFont="1" applyFill="1" applyBorder="1" applyAlignment="1">
      <alignment horizontal="center" vertical="center" wrapText="1"/>
    </xf>
    <xf numFmtId="177" fontId="0" fillId="0" borderId="0" xfId="0" applyNumberFormat="1" applyAlignment="1">
      <alignment vertical="center"/>
    </xf>
    <xf numFmtId="0" fontId="5" fillId="0" borderId="0" xfId="0" applyNumberFormat="1" applyFont="1" applyAlignment="1">
      <alignment vertical="center"/>
    </xf>
    <xf numFmtId="0" fontId="0" fillId="0" borderId="0" xfId="0" applyNumberFormat="1" applyAlignment="1">
      <alignment vertical="center"/>
    </xf>
    <xf numFmtId="0" fontId="0" fillId="0" borderId="0" xfId="0" applyNumberFormat="1"/>
    <xf numFmtId="0" fontId="0" fillId="0" borderId="0" xfId="0" applyAlignment="1">
      <alignment horizontal="center"/>
    </xf>
    <xf numFmtId="0" fontId="4" fillId="2" borderId="0" xfId="0" applyFont="1" applyFill="1" applyBorder="1" applyAlignment="1">
      <alignment horizontal="center" vertical="center" wrapText="1"/>
    </xf>
    <xf numFmtId="0" fontId="0" fillId="0" borderId="1" xfId="0" applyBorder="1"/>
    <xf numFmtId="176" fontId="4" fillId="2" borderId="1" xfId="0" applyNumberFormat="1" applyFont="1" applyFill="1" applyBorder="1" applyAlignment="1">
      <alignment horizontal="center" vertical="center" wrapText="1"/>
    </xf>
    <xf numFmtId="176" fontId="8" fillId="3" borderId="1" xfId="0" applyNumberFormat="1" applyFont="1" applyFill="1" applyBorder="1" applyAlignment="1">
      <alignment horizontal="center" vertical="center" wrapText="1"/>
    </xf>
    <xf numFmtId="0" fontId="9" fillId="5" borderId="0" xfId="1" applyFont="1" applyFill="1" applyAlignment="1">
      <alignment horizontal="left" wrapText="1"/>
    </xf>
    <xf numFmtId="0" fontId="0" fillId="0" borderId="0" xfId="0"/>
    <xf numFmtId="0" fontId="10" fillId="0" borderId="0" xfId="1" applyFont="1" applyAlignment="1">
      <alignment horizontal="center" vertical="center"/>
    </xf>
  </cellXfs>
  <cellStyles count="2">
    <cellStyle name="Normal" xfId="0" builtinId="0"/>
    <cellStyle name="常规 2" xfId="1" xr:uid="{00000000-0005-0000-0000-000001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000801101/AppData/Local/Microsoft/Windows/Temporary%20Internet%20Files/Content.Outlook/ZZRLRDMV/&#28165;&#21333;&#20449;&#24687;201901021200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ALL"/>
    </sheetNames>
    <sheetDataSet>
      <sheetData sheetId="0" refreshError="1"/>
      <sheetData sheetId="1" refreshError="1">
        <row r="1">
          <cell r="B1" t="str">
            <v>建行手机银行</v>
          </cell>
          <cell r="I1" t="str">
            <v>电商</v>
          </cell>
          <cell r="J1">
            <v>34</v>
          </cell>
          <cell r="K1">
            <v>3069713.69</v>
          </cell>
        </row>
        <row r="2">
          <cell r="I2" t="str">
            <v>建行柜台</v>
          </cell>
          <cell r="J2">
            <v>81</v>
          </cell>
          <cell r="K2">
            <v>12924741.470000001</v>
          </cell>
        </row>
        <row r="3">
          <cell r="I3" t="str">
            <v>建行手机银行</v>
          </cell>
          <cell r="J3">
            <v>20</v>
          </cell>
          <cell r="K3">
            <v>60256.39</v>
          </cell>
        </row>
        <row r="4">
          <cell r="I4" t="str">
            <v>建行智慧柜员机</v>
          </cell>
          <cell r="J4">
            <v>150</v>
          </cell>
          <cell r="K4">
            <v>17478676</v>
          </cell>
        </row>
        <row r="5">
          <cell r="I5" t="str">
            <v>个险核心手工退保</v>
          </cell>
          <cell r="J5">
            <v>20</v>
          </cell>
          <cell r="K5">
            <v>5949946.04</v>
          </cell>
        </row>
        <row r="6">
          <cell r="I6" t="str">
            <v>团险核心手工退保</v>
          </cell>
          <cell r="J6">
            <v>6</v>
          </cell>
          <cell r="K6">
            <v>700.35</v>
          </cell>
        </row>
        <row r="7">
          <cell r="I7" t="str">
            <v>健康险核心退保</v>
          </cell>
          <cell r="J7">
            <v>4</v>
          </cell>
          <cell r="K7">
            <v>2244.7800000000002</v>
          </cell>
        </row>
        <row r="8">
          <cell r="I8" t="str">
            <v>建信E保退保</v>
          </cell>
          <cell r="J8">
            <v>267</v>
          </cell>
          <cell r="K8">
            <v>51996319.539999999</v>
          </cell>
        </row>
        <row r="9">
          <cell r="I9" t="str">
            <v>保交所退保</v>
          </cell>
          <cell r="J9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24"/>
  <sheetViews>
    <sheetView topLeftCell="A13" zoomScale="130" zoomScaleNormal="130" workbookViewId="0">
      <selection activeCell="A23" sqref="A23:I24"/>
    </sheetView>
  </sheetViews>
  <sheetFormatPr defaultRowHeight="13.5" x14ac:dyDescent="0.15"/>
  <cols>
    <col min="1" max="1" width="9" style="25" bestFit="1" customWidth="1"/>
    <col min="2" max="2" width="14.125" style="25" bestFit="1" customWidth="1"/>
    <col min="3" max="3" width="9" style="25" bestFit="1" customWidth="1"/>
    <col min="4" max="4" width="7.125" bestFit="1" customWidth="1"/>
    <col min="5" max="5" width="15.125" style="25" bestFit="1" customWidth="1"/>
    <col min="6" max="6" width="11" style="25" bestFit="1" customWidth="1"/>
    <col min="7" max="7" width="17.375" style="25" bestFit="1" customWidth="1"/>
    <col min="8" max="8" width="7.125" style="25" bestFit="1" customWidth="1"/>
    <col min="9" max="9" width="15.125" style="25" bestFit="1" customWidth="1"/>
  </cols>
  <sheetData>
    <row r="2" spans="1:9" s="37" customFormat="1" x14ac:dyDescent="0.1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40</v>
      </c>
      <c r="G2" s="1" t="s">
        <v>41</v>
      </c>
      <c r="H2" s="1" t="s">
        <v>5</v>
      </c>
      <c r="I2" s="1" t="s">
        <v>6</v>
      </c>
    </row>
    <row r="3" spans="1:9" x14ac:dyDescent="0.15">
      <c r="A3" s="2"/>
      <c r="B3" s="3" t="s">
        <v>7</v>
      </c>
      <c r="C3" s="4">
        <f>IFERROR(VLOOKUP(B3,总量!$C:$D,2,FALSE),0)</f>
        <v>0</v>
      </c>
      <c r="D3" s="4">
        <f>IFERROR(VLOOKUP(B3,承保!$B:$D,2,FALSE),0)</f>
        <v>10</v>
      </c>
      <c r="E3" s="40">
        <f>IFERROR(VLOOKUP(B3,承保!$B:$D,3,FALSE),0)</f>
        <v>3257600</v>
      </c>
      <c r="F3" s="4">
        <f>IFERROR(VLOOKUP(B3,承保!$B:$F,4,FALSE),0)</f>
        <v>0</v>
      </c>
      <c r="G3" s="40">
        <f>IFERROR(VLOOKUP(B3,承保!$B:$F,5,FALSE),0)</f>
        <v>0</v>
      </c>
      <c r="H3" s="4">
        <f>IFERROR(VLOOKUP(B3,退保!$B:$D,2,FALSE),0)</f>
        <v>90</v>
      </c>
      <c r="I3" s="40">
        <f>IFERROR(VLOOKUP(B3,退保!$B:$D,3,FALSE),0)</f>
        <v>13491151.630000001</v>
      </c>
    </row>
    <row r="4" spans="1:9" x14ac:dyDescent="0.15">
      <c r="A4" s="2"/>
      <c r="B4" s="3" t="s">
        <v>8</v>
      </c>
      <c r="C4" s="4">
        <f>IFERROR(VLOOKUP(B4,总量!$C:$D,2,FALSE),0)</f>
        <v>0</v>
      </c>
      <c r="D4" s="4">
        <f>IFERROR(VLOOKUP(B4,承保!$B:$D,2,FALSE),0)</f>
        <v>795</v>
      </c>
      <c r="E4" s="40">
        <f>IFERROR(VLOOKUP(B4,承保!$B:$D,3,FALSE),0)</f>
        <v>73633308</v>
      </c>
      <c r="F4" s="4">
        <f>IFERROR(VLOOKUP(B4,承保!$B:$F,4,FALSE),0)</f>
        <v>19</v>
      </c>
      <c r="G4" s="40">
        <f>IFERROR(VLOOKUP(B4,承保!$B:$F,5,FALSE),0)</f>
        <v>4540000</v>
      </c>
      <c r="H4" s="4">
        <f>IFERROR(VLOOKUP(B4,退保!$B:$D,2,FALSE),0)</f>
        <v>25</v>
      </c>
      <c r="I4" s="40">
        <f>IFERROR(VLOOKUP(B4,退保!$B:$D,3,FALSE),0)</f>
        <v>79073.89</v>
      </c>
    </row>
    <row r="5" spans="1:9" x14ac:dyDescent="0.15">
      <c r="A5" s="2"/>
      <c r="B5" s="5" t="s">
        <v>9</v>
      </c>
      <c r="C5" s="4">
        <f>IFERROR(VLOOKUP(B5,总量!$C:$D,2,FALSE),0)</f>
        <v>0</v>
      </c>
      <c r="D5" s="4">
        <f>IFERROR(VLOOKUP(B5,承保!$B:$D,2,FALSE),0)</f>
        <v>103</v>
      </c>
      <c r="E5" s="40">
        <f>IFERROR(VLOOKUP(B5,承保!$B:$D,3,FALSE),0)</f>
        <v>8787357.5</v>
      </c>
      <c r="F5" s="4">
        <f>IFERROR(VLOOKUP(B5,承保!$B:$F,4,FALSE),0)</f>
        <v>8</v>
      </c>
      <c r="G5" s="40">
        <f>IFERROR(VLOOKUP(B5,承保!$B:$F,5,FALSE),0)</f>
        <v>739000</v>
      </c>
      <c r="H5" s="4">
        <f>IFERROR(VLOOKUP(B5,退保!$B:$D,2,FALSE),0)</f>
        <v>0</v>
      </c>
      <c r="I5" s="40">
        <f>IFERROR(VLOOKUP(B5,退保!$B:$D,3,FALSE),0)</f>
        <v>0</v>
      </c>
    </row>
    <row r="6" spans="1:9" x14ac:dyDescent="0.15">
      <c r="A6" s="6"/>
      <c r="B6" s="3" t="s">
        <v>10</v>
      </c>
      <c r="C6" s="4">
        <f>IFERROR(VLOOKUP(B6,总量!$C:$D,2,FALSE),0)</f>
        <v>0</v>
      </c>
      <c r="D6" s="4">
        <f>IFERROR(VLOOKUP(B6,承保!$B:$D,2,FALSE),0)</f>
        <v>989</v>
      </c>
      <c r="E6" s="40">
        <f>IFERROR(VLOOKUP(B6,承保!$B:$D,3,FALSE),0)</f>
        <v>93259516.200000003</v>
      </c>
      <c r="F6" s="4">
        <f>IFERROR(VLOOKUP(B6,承保!$B:$F,4,FALSE),0)</f>
        <v>10</v>
      </c>
      <c r="G6" s="40">
        <f>IFERROR(VLOOKUP(B6,承保!$B:$F,5,FALSE),0)</f>
        <v>1638000</v>
      </c>
      <c r="H6" s="4">
        <f>IFERROR(VLOOKUP(B6,退保!$B:$D,2,FALSE),0)</f>
        <v>169</v>
      </c>
      <c r="I6" s="40">
        <f>IFERROR(VLOOKUP(B6,退保!$B:$D,3,FALSE),0)</f>
        <v>18667060</v>
      </c>
    </row>
    <row r="7" spans="1:9" x14ac:dyDescent="0.15">
      <c r="A7" s="2" t="s">
        <v>11</v>
      </c>
      <c r="B7" s="5" t="s">
        <v>12</v>
      </c>
      <c r="C7" s="4">
        <f>IFERROR(VLOOKUP(B7,总量!$C:$D,2,FALSE),0)</f>
        <v>0</v>
      </c>
      <c r="D7" s="4">
        <f>IFERROR(VLOOKUP(B7,承保!$B:$D,2,FALSE),0)</f>
        <v>10</v>
      </c>
      <c r="E7" s="40">
        <f>IFERROR(VLOOKUP(B7,承保!$B:$D,3,FALSE),0)</f>
        <v>1380</v>
      </c>
      <c r="F7" s="4">
        <f>IFERROR(VLOOKUP(B7,承保!$B:$F,4,FALSE),0)</f>
        <v>0</v>
      </c>
      <c r="G7" s="40">
        <f>IFERROR(VLOOKUP(B7,承保!$B:$F,5,FALSE),0)</f>
        <v>0</v>
      </c>
      <c r="H7" s="4">
        <f>IFERROR(VLOOKUP(B7,退保!$B:$D,2,FALSE),0)</f>
        <v>0</v>
      </c>
      <c r="I7" s="40">
        <f>IFERROR(VLOOKUP(B7,退保!$B:$D,3,FALSE),0)</f>
        <v>0</v>
      </c>
    </row>
    <row r="8" spans="1:9" x14ac:dyDescent="0.15">
      <c r="A8" s="2"/>
      <c r="B8" s="3" t="s">
        <v>13</v>
      </c>
      <c r="C8" s="4">
        <f>IFERROR(VLOOKUP(B8,总量!$C:$D,2,FALSE),0)</f>
        <v>0</v>
      </c>
      <c r="D8" s="4">
        <f>IFERROR(VLOOKUP(B8,承保!$B:$D,2,FALSE),0)</f>
        <v>0</v>
      </c>
      <c r="E8" s="40">
        <f>IFERROR(VLOOKUP(B8,承保!$B:$D,3,FALSE),0)</f>
        <v>0</v>
      </c>
      <c r="F8" s="4">
        <f>IFERROR(VLOOKUP(B8,承保!$B:$F,4,FALSE),0)</f>
        <v>0</v>
      </c>
      <c r="G8" s="40">
        <f>IFERROR(VLOOKUP(B8,承保!$B:$F,5,FALSE),0)</f>
        <v>0</v>
      </c>
      <c r="H8" s="4">
        <f>IFERROR(VLOOKUP(B8,退保!$B:$D,2,FALSE),0)</f>
        <v>0</v>
      </c>
      <c r="I8" s="40">
        <f>IFERROR(VLOOKUP(B8,退保!$B:$D,3,FALSE),0)</f>
        <v>0</v>
      </c>
    </row>
    <row r="9" spans="1:9" x14ac:dyDescent="0.15">
      <c r="A9" s="2"/>
      <c r="B9" s="5" t="s">
        <v>14</v>
      </c>
      <c r="C9" s="4">
        <f>IFERROR(VLOOKUP(B9,总量!$C:$D,2,FALSE),0)</f>
        <v>0</v>
      </c>
      <c r="D9" s="4">
        <f>IFERROR(VLOOKUP(B9,承保!$B:$D,2,FALSE),0)</f>
        <v>0</v>
      </c>
      <c r="E9" s="40">
        <f>IFERROR(VLOOKUP(B9,承保!$B:$D,3,FALSE),0)</f>
        <v>0</v>
      </c>
      <c r="F9" s="4">
        <f>IFERROR(VLOOKUP(B9,承保!$B:$F,4,FALSE),0)</f>
        <v>0</v>
      </c>
      <c r="G9" s="40">
        <f>IFERROR(VLOOKUP(B9,承保!$B:$F,5,FALSE),0)</f>
        <v>0</v>
      </c>
      <c r="H9" s="4">
        <f>IFERROR(VLOOKUP(B9,退保!$B:$D,2,FALSE),0)</f>
        <v>0</v>
      </c>
      <c r="I9" s="40">
        <f>IFERROR(VLOOKUP(B9,退保!$B:$D,3,FALSE),0)</f>
        <v>0</v>
      </c>
    </row>
    <row r="10" spans="1:9" x14ac:dyDescent="0.15">
      <c r="A10" s="2"/>
      <c r="B10" s="3" t="s">
        <v>15</v>
      </c>
      <c r="C10" s="4">
        <f>IFERROR(VLOOKUP(B10,总量!$C:$D,2,FALSE),0)</f>
        <v>0</v>
      </c>
      <c r="D10" s="4">
        <f>IFERROR(VLOOKUP(B10,承保!$B:$D,2,FALSE),0)</f>
        <v>2</v>
      </c>
      <c r="E10" s="40">
        <f>IFERROR(VLOOKUP(B10,承保!$B:$D,3,FALSE),0)</f>
        <v>3640</v>
      </c>
      <c r="F10" s="4">
        <f>IFERROR(VLOOKUP(B10,承保!$B:$F,4,FALSE),0)</f>
        <v>0</v>
      </c>
      <c r="G10" s="40">
        <f>IFERROR(VLOOKUP(B10,承保!$B:$F,5,FALSE),0)</f>
        <v>0</v>
      </c>
      <c r="H10" s="4">
        <f>IFERROR(VLOOKUP(B10,退保!$B:$D,2,FALSE),0)</f>
        <v>0</v>
      </c>
      <c r="I10" s="40">
        <f>IFERROR(VLOOKUP(B10,退保!$B:$D,3,FALSE),0)</f>
        <v>0</v>
      </c>
    </row>
    <row r="11" spans="1:9" ht="14.25" customHeight="1" x14ac:dyDescent="0.15">
      <c r="A11" s="6"/>
      <c r="B11" s="7" t="s">
        <v>16</v>
      </c>
      <c r="C11" s="8">
        <f t="shared" ref="C11:I11" si="0">SUM(C3:C10)</f>
        <v>0</v>
      </c>
      <c r="D11" s="8">
        <f t="shared" si="0"/>
        <v>1909</v>
      </c>
      <c r="E11" s="26">
        <f t="shared" si="0"/>
        <v>178942801.69999999</v>
      </c>
      <c r="F11" s="8">
        <f t="shared" si="0"/>
        <v>37</v>
      </c>
      <c r="G11" s="26">
        <f t="shared" si="0"/>
        <v>6917000</v>
      </c>
      <c r="H11" s="4">
        <f>IFERROR(VLOOKUP(B11,退保!$B:$D,2,FALSE),0)</f>
        <v>0</v>
      </c>
      <c r="I11" s="27">
        <f t="shared" si="0"/>
        <v>32237285.520000003</v>
      </c>
    </row>
    <row r="12" spans="1:9" x14ac:dyDescent="0.15">
      <c r="A12" s="9"/>
      <c r="B12" s="3" t="s">
        <v>17</v>
      </c>
      <c r="C12" s="10"/>
      <c r="D12" s="20">
        <f>IFERROR(VLOOKUP("电商官网",承保!$B:$D,2,FALSE),0)</f>
        <v>2</v>
      </c>
      <c r="E12" s="28">
        <f>IFERROR(VLOOKUP("电商官网",承保!$B:$D,3,FALSE),0)</f>
        <v>777</v>
      </c>
      <c r="F12" s="20">
        <f>IFERROR(VLOOKUP("电商官网",承保!$B:$F,4,FALSE),0)</f>
        <v>0</v>
      </c>
      <c r="G12" s="28">
        <f>IFERROR(VLOOKUP("电商官网",承保!$B:$F,5,FALSE),0)</f>
        <v>0</v>
      </c>
      <c r="H12" s="21"/>
      <c r="I12" s="29"/>
    </row>
    <row r="13" spans="1:9" x14ac:dyDescent="0.15">
      <c r="A13" s="2" t="s">
        <v>18</v>
      </c>
      <c r="B13" s="3" t="s">
        <v>19</v>
      </c>
      <c r="C13" s="38">
        <f>IFERROR(VLOOKUP("电商",总量!$C:$D,2,FALSE),0)</f>
        <v>0</v>
      </c>
      <c r="D13" s="20">
        <f>IFERROR(VLOOKUP("电商微信",承保!$B:$D,2,FALSE),0)</f>
        <v>56</v>
      </c>
      <c r="E13" s="28">
        <f>IFERROR(VLOOKUP("电商微信",承保!$B:$D,3,FALSE),0)</f>
        <v>206395.4</v>
      </c>
      <c r="F13" s="20">
        <f>IFERROR(VLOOKUP("电商微信",承保!$B:$F,4,FALSE),0)</f>
        <v>0</v>
      </c>
      <c r="G13" s="28">
        <f>IFERROR(VLOOKUP("电商微信",承保!$B:$F,5,FALSE),0)</f>
        <v>0</v>
      </c>
      <c r="H13" s="22">
        <f>IFERROR(VLOOKUP("电商",退保!$B:$D,2,FALSE),0)</f>
        <v>38</v>
      </c>
      <c r="I13" s="30">
        <f>IFERROR(VLOOKUP("电商",退保!$B:$D,3,FALSE),0)</f>
        <v>3104439.38</v>
      </c>
    </row>
    <row r="14" spans="1:9" ht="14.25" customHeight="1" x14ac:dyDescent="0.15">
      <c r="A14" s="2"/>
      <c r="B14" s="3" t="s">
        <v>20</v>
      </c>
      <c r="C14" s="11"/>
      <c r="D14" s="20">
        <f>IFERROR(VLOOKUP("电商悦生活",承保!$B:$D,2,FALSE),0)</f>
        <v>184</v>
      </c>
      <c r="E14" s="28">
        <f>IFERROR(VLOOKUP("电商悦生活",承保!$B:$D,3,FALSE),0)</f>
        <v>175105.6</v>
      </c>
      <c r="F14" s="20">
        <f>IFERROR(VLOOKUP("电商悦生活",承保!$B:$F,4,FALSE),0)</f>
        <v>0</v>
      </c>
      <c r="G14" s="28">
        <f>IFERROR(VLOOKUP("电商悦生活",承保!$B:$F,5,FALSE),0)</f>
        <v>0</v>
      </c>
      <c r="H14" s="22"/>
      <c r="I14" s="31"/>
    </row>
    <row r="15" spans="1:9" ht="14.25" customHeight="1" x14ac:dyDescent="0.15">
      <c r="A15" s="9"/>
      <c r="B15" s="3" t="s">
        <v>21</v>
      </c>
      <c r="C15" s="12"/>
      <c r="D15" s="20">
        <f>IFERROR(VLOOKUP("个险手工单承保",承保!$B:$D,2,FALSE),0)</f>
        <v>0</v>
      </c>
      <c r="E15" s="28">
        <f>IFERROR(VLOOKUP("个险手工单承保",承保!$B:$D,3,FALSE),0)</f>
        <v>0</v>
      </c>
      <c r="F15" s="20">
        <f>IFERROR(VLOOKUP("个险手工单承保",承保!$B:$F,4,FALSE),0)</f>
        <v>0</v>
      </c>
      <c r="G15" s="28">
        <f>IFERROR(VLOOKUP("个险手工单承保",承保!$B:$F,5,FALSE),0)</f>
        <v>0</v>
      </c>
      <c r="H15" s="20">
        <f>IFERROR(VLOOKUP("个险核心手工退保",[1]ALL!I:K,2,FALSE),0)</f>
        <v>20</v>
      </c>
      <c r="I15" s="31">
        <f>IFERROR(VLOOKUP("个险核心手工退保",退保!$B:$D,3,FALSE),0)</f>
        <v>8649946.0399999991</v>
      </c>
    </row>
    <row r="16" spans="1:9" ht="14.25" customHeight="1" x14ac:dyDescent="0.15">
      <c r="A16" s="13" t="s">
        <v>22</v>
      </c>
      <c r="B16" s="3" t="s">
        <v>23</v>
      </c>
      <c r="C16" s="12"/>
      <c r="D16" s="20">
        <f>IFERROR(VLOOKUP("团险手工单承保",承保!$B:$D,2,FALSE),0)</f>
        <v>258</v>
      </c>
      <c r="E16" s="28">
        <f>IFERROR(VLOOKUP("团险手工单承保",承保!$B:$D,3,FALSE),0)</f>
        <v>411963.12</v>
      </c>
      <c r="F16" s="20">
        <f>IFERROR(VLOOKUP("团险手工单承保",承保!$B:$F,4,FALSE),0)</f>
        <v>0</v>
      </c>
      <c r="G16" s="28">
        <f>IFERROR(VLOOKUP("团险手工单承保",承保!$B:$F,5,FALSE),0)</f>
        <v>0</v>
      </c>
      <c r="H16" s="20">
        <f>IFERROR(VLOOKUP("团险核心手工退保",[1]ALL!I:K,2,FALSE),0)</f>
        <v>6</v>
      </c>
      <c r="I16" s="28">
        <f>IFERROR(VLOOKUP("团险核心手工退保",退保!$B:$D,3,FALSE),0)</f>
        <v>1346.42</v>
      </c>
    </row>
    <row r="17" spans="1:9" ht="14.25" customHeight="1" x14ac:dyDescent="0.15">
      <c r="A17" s="14"/>
      <c r="B17" s="3" t="s">
        <v>24</v>
      </c>
      <c r="C17" s="12"/>
      <c r="D17" s="20">
        <f>IFERROR(VLOOKUP("健康险手工单承保",承保!$B:$D,2,FALSE),0)</f>
        <v>8</v>
      </c>
      <c r="E17" s="28">
        <f>IFERROR(VLOOKUP("健康险手工单承保",承保!$B:$D,3,FALSE),0)</f>
        <v>4317.3999999999996</v>
      </c>
      <c r="F17" s="20">
        <f>IFERROR(VLOOKUP("健康险手工单承保",承保!$B:$F,4,FALSE),0)</f>
        <v>0</v>
      </c>
      <c r="G17" s="28">
        <f>IFERROR(VLOOKUP("健康险手工单承保",承保!$B:$F,5,FALSE),0)</f>
        <v>0</v>
      </c>
      <c r="H17" s="20">
        <f>IFERROR(VLOOKUP("健康险核心退保",[1]ALL!I:K,2,FALSE),0)</f>
        <v>4</v>
      </c>
      <c r="I17" s="28">
        <f>IFERROR(VLOOKUP("健康险核心退保",退保!$B:$D,3,FALSE),0)</f>
        <v>2244.7800000000002</v>
      </c>
    </row>
    <row r="18" spans="1:9" ht="25.5" customHeight="1" x14ac:dyDescent="0.15">
      <c r="A18" s="15" t="s">
        <v>25</v>
      </c>
      <c r="B18" s="3"/>
      <c r="C18" s="12"/>
      <c r="D18" s="23"/>
      <c r="E18" s="41"/>
      <c r="F18" s="23"/>
      <c r="G18" s="41"/>
      <c r="H18" s="20">
        <f>IFERROR(VLOOKUP("保交所退保",[1]ALL!I:K,2,FALSE),0)</f>
        <v>0</v>
      </c>
      <c r="I18" s="31">
        <f>IFERROR(VLOOKUP("保交所退保",退保!$B:$D,3,FALSE),0)</f>
        <v>0</v>
      </c>
    </row>
    <row r="19" spans="1:9" ht="14.25" customHeight="1" x14ac:dyDescent="0.15">
      <c r="A19" s="15" t="s">
        <v>42</v>
      </c>
      <c r="B19" s="16"/>
      <c r="C19" s="4">
        <f>IFERROR(VLOOKUP("建信E保",总量!$C:$D,2,FALSE),0)</f>
        <v>0</v>
      </c>
      <c r="D19" s="24">
        <f>IFERROR(VLOOKUP("建信E保承保",承保!$B:$D,2,FALSE),0)</f>
        <v>284</v>
      </c>
      <c r="E19" s="32">
        <f>IFERROR(VLOOKUP("建信E保承保",承保!$B:$D,3,FALSE),0)</f>
        <v>26880314.100000001</v>
      </c>
      <c r="F19" s="24">
        <f>IFERROR(VLOOKUP("建信E保承保",承保!$B:$F,4,FALSE),0)</f>
        <v>0</v>
      </c>
      <c r="G19" s="32">
        <f>IFERROR(VLOOKUP("建信E保承保",承保!$B:$F,5,FALSE),0)</f>
        <v>0</v>
      </c>
      <c r="H19" s="24">
        <f>IFERROR(VLOOKUP("建信E保退保",[1]ALL!I:K,2,FALSE),0)</f>
        <v>267</v>
      </c>
      <c r="I19" s="32">
        <f>IFERROR(VLOOKUP("建信E保退保",退保!$B:$D,3,FALSE),0)</f>
        <v>54803496.649999999</v>
      </c>
    </row>
    <row r="20" spans="1:9" ht="14.25" customHeight="1" x14ac:dyDescent="0.15">
      <c r="A20" s="17" t="s">
        <v>16</v>
      </c>
      <c r="B20" s="18"/>
      <c r="C20" s="8">
        <f t="shared" ref="C20:I20" si="1">SUM(C11:C19)</f>
        <v>0</v>
      </c>
      <c r="D20" s="8">
        <f t="shared" si="1"/>
        <v>2701</v>
      </c>
      <c r="E20" s="26">
        <f t="shared" si="1"/>
        <v>206621674.31999999</v>
      </c>
      <c r="F20" s="8">
        <f t="shared" si="1"/>
        <v>37</v>
      </c>
      <c r="G20" s="26">
        <f t="shared" si="1"/>
        <v>6917000</v>
      </c>
      <c r="H20" s="8">
        <f t="shared" si="1"/>
        <v>335</v>
      </c>
      <c r="I20" s="26">
        <f t="shared" si="1"/>
        <v>98798758.790000007</v>
      </c>
    </row>
    <row r="22" spans="1:9" ht="84" customHeight="1" x14ac:dyDescent="0.15">
      <c r="A22" s="42" t="s">
        <v>26</v>
      </c>
      <c r="B22" s="43"/>
      <c r="C22" s="43"/>
      <c r="D22" s="43"/>
      <c r="E22" s="43"/>
      <c r="F22" s="43"/>
      <c r="G22" s="43"/>
      <c r="H22" s="43"/>
      <c r="I22" s="43"/>
    </row>
    <row r="23" spans="1:9" ht="15.75" customHeight="1" x14ac:dyDescent="0.15">
      <c r="A23" s="44"/>
      <c r="B23" s="43"/>
      <c r="C23" s="43"/>
      <c r="D23" s="43"/>
      <c r="E23" s="43"/>
      <c r="F23" s="43"/>
      <c r="G23" s="43"/>
      <c r="H23" s="43"/>
      <c r="I23" s="43"/>
    </row>
    <row r="24" spans="1:9" ht="17.25" customHeight="1" x14ac:dyDescent="0.15">
      <c r="A24" s="43"/>
      <c r="B24" s="43"/>
      <c r="C24" s="43"/>
      <c r="D24" s="43"/>
      <c r="E24" s="43"/>
      <c r="F24" s="43"/>
      <c r="G24" s="43"/>
      <c r="H24" s="43"/>
      <c r="I24" s="43"/>
    </row>
  </sheetData>
  <mergeCells count="2">
    <mergeCell ref="A22:I22"/>
    <mergeCell ref="A23:I24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6"/>
  <sheetViews>
    <sheetView tabSelected="1" workbookViewId="0">
      <selection activeCell="E13" sqref="A1:E13"/>
    </sheetView>
  </sheetViews>
  <sheetFormatPr defaultRowHeight="13.5" x14ac:dyDescent="0.15"/>
  <cols>
    <col min="1" max="1" width="8" style="36" bestFit="1" customWidth="1"/>
    <col min="2" max="2" width="20.5" style="25" bestFit="1" customWidth="1"/>
    <col min="3" max="3" width="15.125" bestFit="1" customWidth="1"/>
    <col min="4" max="4" width="5.875" style="36" bestFit="1" customWidth="1"/>
    <col min="5" max="5" width="15.25" style="25" customWidth="1"/>
  </cols>
  <sheetData>
    <row r="1" spans="1:8" ht="14.25" customHeight="1" x14ac:dyDescent="0.15">
      <c r="A1" s="34"/>
      <c r="B1" s="19"/>
      <c r="C1" s="19"/>
      <c r="D1" s="34"/>
      <c r="E1" s="19"/>
      <c r="F1" s="19"/>
      <c r="G1" s="19"/>
      <c r="H1" s="19"/>
    </row>
    <row r="2" spans="1:8" ht="14.25" customHeight="1" x14ac:dyDescent="0.15">
      <c r="A2" s="34"/>
      <c r="B2" s="33"/>
      <c r="C2" s="19"/>
      <c r="D2" s="34"/>
      <c r="E2" s="19"/>
      <c r="F2" s="19"/>
      <c r="G2" s="19"/>
      <c r="H2" s="19"/>
    </row>
    <row r="3" spans="1:8" ht="14.25" customHeight="1" x14ac:dyDescent="0.15">
      <c r="A3" s="34"/>
      <c r="B3" s="33"/>
      <c r="C3" s="19"/>
      <c r="D3" s="34"/>
      <c r="E3" s="19"/>
      <c r="F3" s="19"/>
      <c r="G3" s="19"/>
      <c r="H3" s="19"/>
    </row>
    <row r="4" spans="1:8" ht="14.25" customHeight="1" x14ac:dyDescent="0.15">
      <c r="A4" s="34"/>
      <c r="B4" s="33"/>
      <c r="C4" s="19"/>
      <c r="D4" s="34"/>
      <c r="E4" s="19"/>
      <c r="F4" s="19"/>
      <c r="G4" s="19"/>
      <c r="H4" s="19"/>
    </row>
    <row r="5" spans="1:8" ht="14.25" customHeight="1" x14ac:dyDescent="0.15">
      <c r="A5" s="34"/>
      <c r="B5" s="33"/>
      <c r="C5" s="19"/>
      <c r="D5" s="34"/>
      <c r="E5" s="19"/>
      <c r="F5" s="19"/>
      <c r="G5" s="19"/>
      <c r="H5" s="19"/>
    </row>
    <row r="6" spans="1:8" ht="14.25" customHeight="1" x14ac:dyDescent="0.15">
      <c r="A6" s="34"/>
      <c r="B6" s="33"/>
      <c r="C6" s="19"/>
      <c r="D6" s="34"/>
      <c r="E6" s="19"/>
      <c r="F6" s="19"/>
      <c r="G6" s="19"/>
      <c r="H6" s="19"/>
    </row>
    <row r="7" spans="1:8" ht="14.25" customHeight="1" x14ac:dyDescent="0.15">
      <c r="A7" s="34"/>
      <c r="B7" s="33"/>
      <c r="C7" s="19"/>
      <c r="D7" s="34"/>
      <c r="E7" s="19"/>
      <c r="F7" s="19"/>
      <c r="G7" s="19"/>
      <c r="H7" s="19"/>
    </row>
    <row r="8" spans="1:8" ht="14.25" customHeight="1" x14ac:dyDescent="0.15">
      <c r="A8" s="34"/>
      <c r="B8" s="33"/>
      <c r="C8" s="19"/>
      <c r="D8" s="34"/>
      <c r="E8" s="19"/>
      <c r="F8" s="19"/>
      <c r="G8" s="19"/>
      <c r="H8" s="19"/>
    </row>
    <row r="9" spans="1:8" ht="14.25" customHeight="1" x14ac:dyDescent="0.15">
      <c r="A9" s="34"/>
      <c r="B9" s="33"/>
      <c r="C9" s="19"/>
      <c r="D9" s="34"/>
      <c r="E9" s="19"/>
      <c r="F9" s="19"/>
      <c r="G9" s="19"/>
      <c r="H9" s="19"/>
    </row>
    <row r="10" spans="1:8" ht="14.25" customHeight="1" x14ac:dyDescent="0.15">
      <c r="A10" s="35"/>
      <c r="B10" s="33"/>
      <c r="C10" s="19"/>
      <c r="D10" s="34"/>
      <c r="E10" s="19"/>
      <c r="F10" s="19"/>
      <c r="G10" s="19"/>
      <c r="H10" s="19"/>
    </row>
    <row r="11" spans="1:8" ht="14.25" customHeight="1" x14ac:dyDescent="0.15">
      <c r="A11" s="35"/>
      <c r="B11" s="19"/>
      <c r="C11" s="19"/>
      <c r="D11" s="34"/>
      <c r="E11" s="19"/>
      <c r="F11" s="19"/>
      <c r="G11" s="19"/>
      <c r="H11" s="19"/>
    </row>
    <row r="12" spans="1:8" x14ac:dyDescent="0.15">
      <c r="A12" s="35"/>
      <c r="B12" s="19"/>
      <c r="C12" s="19"/>
      <c r="D12" s="35"/>
      <c r="E12" s="19"/>
      <c r="F12" s="19"/>
      <c r="G12" s="19"/>
      <c r="H12" s="19"/>
    </row>
    <row r="13" spans="1:8" x14ac:dyDescent="0.15">
      <c r="A13" s="35"/>
      <c r="B13" s="19"/>
      <c r="C13" s="19"/>
      <c r="D13" s="35"/>
      <c r="E13" s="19"/>
      <c r="F13" s="19"/>
      <c r="G13" s="19"/>
      <c r="H13" s="19"/>
    </row>
    <row r="14" spans="1:8" x14ac:dyDescent="0.15">
      <c r="A14" s="35"/>
      <c r="B14" s="19"/>
      <c r="C14" s="19"/>
      <c r="D14" s="35"/>
      <c r="E14" s="19"/>
      <c r="F14" s="19"/>
      <c r="G14" s="19"/>
      <c r="H14" s="19"/>
    </row>
    <row r="15" spans="1:8" x14ac:dyDescent="0.15">
      <c r="A15" s="35"/>
      <c r="B15" s="19"/>
      <c r="C15" s="19"/>
      <c r="D15" s="35"/>
      <c r="E15" s="19"/>
      <c r="F15" s="19"/>
      <c r="G15" s="19"/>
      <c r="H15" s="19"/>
    </row>
    <row r="16" spans="1:8" x14ac:dyDescent="0.15">
      <c r="A16" s="35"/>
      <c r="B16" s="19"/>
      <c r="C16" s="19"/>
      <c r="D16" s="35"/>
      <c r="E16" s="19"/>
      <c r="F16" s="19"/>
      <c r="G16" s="19"/>
      <c r="H16" s="19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F15"/>
  <sheetViews>
    <sheetView workbookViewId="0">
      <selection activeCell="C2" sqref="C2:C15"/>
    </sheetView>
  </sheetViews>
  <sheetFormatPr defaultRowHeight="13.5" x14ac:dyDescent="0.15"/>
  <cols>
    <col min="3" max="3" width="4.5" bestFit="1" customWidth="1"/>
  </cols>
  <sheetData>
    <row r="2" spans="1:6" x14ac:dyDescent="0.15">
      <c r="A2">
        <v>1</v>
      </c>
      <c r="B2" t="s">
        <v>28</v>
      </c>
      <c r="C2">
        <v>2</v>
      </c>
      <c r="D2">
        <v>777</v>
      </c>
      <c r="E2">
        <v>0</v>
      </c>
      <c r="F2">
        <v>0</v>
      </c>
    </row>
    <row r="3" spans="1:6" x14ac:dyDescent="0.15">
      <c r="A3">
        <v>2</v>
      </c>
      <c r="B3" t="s">
        <v>29</v>
      </c>
      <c r="C3">
        <v>56</v>
      </c>
      <c r="D3">
        <v>206395.4</v>
      </c>
      <c r="E3">
        <v>0</v>
      </c>
      <c r="F3">
        <v>0</v>
      </c>
    </row>
    <row r="4" spans="1:6" x14ac:dyDescent="0.15">
      <c r="A4">
        <v>3</v>
      </c>
      <c r="B4" t="s">
        <v>30</v>
      </c>
      <c r="C4">
        <v>184</v>
      </c>
      <c r="D4">
        <v>175105.6</v>
      </c>
      <c r="E4">
        <v>0</v>
      </c>
      <c r="F4">
        <v>0</v>
      </c>
    </row>
    <row r="5" spans="1:6" x14ac:dyDescent="0.15">
      <c r="A5">
        <v>4</v>
      </c>
      <c r="B5" t="s">
        <v>7</v>
      </c>
      <c r="C5">
        <v>10</v>
      </c>
      <c r="D5">
        <v>3257600</v>
      </c>
      <c r="E5">
        <v>0</v>
      </c>
      <c r="F5">
        <v>0</v>
      </c>
    </row>
    <row r="6" spans="1:6" x14ac:dyDescent="0.15">
      <c r="A6">
        <v>5</v>
      </c>
      <c r="B6" t="s">
        <v>8</v>
      </c>
      <c r="C6">
        <v>795</v>
      </c>
      <c r="D6">
        <v>73633308</v>
      </c>
      <c r="E6">
        <v>19</v>
      </c>
      <c r="F6">
        <v>4540000</v>
      </c>
    </row>
    <row r="7" spans="1:6" x14ac:dyDescent="0.15">
      <c r="A7">
        <v>6</v>
      </c>
      <c r="B7" t="s">
        <v>9</v>
      </c>
      <c r="C7">
        <v>103</v>
      </c>
      <c r="D7">
        <v>8787357.5</v>
      </c>
      <c r="E7">
        <v>8</v>
      </c>
      <c r="F7">
        <v>739000</v>
      </c>
    </row>
    <row r="8" spans="1:6" x14ac:dyDescent="0.15">
      <c r="A8">
        <v>7</v>
      </c>
      <c r="B8" t="s">
        <v>10</v>
      </c>
      <c r="C8">
        <v>989</v>
      </c>
      <c r="D8">
        <v>93259516.200000003</v>
      </c>
      <c r="E8">
        <v>10</v>
      </c>
      <c r="F8">
        <v>1638000</v>
      </c>
    </row>
    <row r="9" spans="1:6" x14ac:dyDescent="0.15">
      <c r="A9">
        <v>8</v>
      </c>
      <c r="B9" t="s">
        <v>12</v>
      </c>
      <c r="C9">
        <v>10</v>
      </c>
      <c r="D9">
        <v>1380</v>
      </c>
      <c r="E9">
        <v>0</v>
      </c>
      <c r="F9">
        <v>0</v>
      </c>
    </row>
    <row r="10" spans="1:6" x14ac:dyDescent="0.15">
      <c r="A10">
        <v>9</v>
      </c>
      <c r="B10" t="s">
        <v>31</v>
      </c>
      <c r="C10">
        <v>5</v>
      </c>
      <c r="D10">
        <v>1801</v>
      </c>
      <c r="E10">
        <v>0</v>
      </c>
      <c r="F10">
        <v>0</v>
      </c>
    </row>
    <row r="11" spans="1:6" x14ac:dyDescent="0.15">
      <c r="A11">
        <v>10</v>
      </c>
      <c r="B11" t="s">
        <v>15</v>
      </c>
      <c r="C11">
        <v>2</v>
      </c>
      <c r="D11">
        <v>3640</v>
      </c>
      <c r="E11">
        <v>0</v>
      </c>
      <c r="F11">
        <v>0</v>
      </c>
    </row>
    <row r="12" spans="1:6" x14ac:dyDescent="0.15">
      <c r="A12">
        <v>11</v>
      </c>
      <c r="B12" t="s">
        <v>32</v>
      </c>
      <c r="C12">
        <v>0</v>
      </c>
      <c r="E12">
        <v>0</v>
      </c>
      <c r="F12">
        <v>0</v>
      </c>
    </row>
    <row r="13" spans="1:6" x14ac:dyDescent="0.15">
      <c r="A13">
        <v>12</v>
      </c>
      <c r="B13" t="s">
        <v>33</v>
      </c>
      <c r="C13">
        <v>258</v>
      </c>
      <c r="D13">
        <v>411963.12</v>
      </c>
      <c r="E13">
        <v>0</v>
      </c>
      <c r="F13">
        <v>0</v>
      </c>
    </row>
    <row r="14" spans="1:6" x14ac:dyDescent="0.15">
      <c r="A14">
        <v>13</v>
      </c>
      <c r="B14" t="s">
        <v>34</v>
      </c>
      <c r="C14">
        <v>8</v>
      </c>
      <c r="D14">
        <v>4317.3999999999996</v>
      </c>
      <c r="E14">
        <v>0</v>
      </c>
      <c r="F14">
        <v>0</v>
      </c>
    </row>
    <row r="15" spans="1:6" x14ac:dyDescent="0.15">
      <c r="A15">
        <v>14</v>
      </c>
      <c r="B15" t="s">
        <v>35</v>
      </c>
      <c r="C15">
        <v>284</v>
      </c>
      <c r="D15">
        <v>26880314.100000001</v>
      </c>
      <c r="E15">
        <v>0</v>
      </c>
      <c r="F15">
        <v>0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D10"/>
  <sheetViews>
    <sheetView workbookViewId="0">
      <selection activeCell="B2" sqref="B1:D1048576"/>
    </sheetView>
  </sheetViews>
  <sheetFormatPr defaultRowHeight="13.5" x14ac:dyDescent="0.15"/>
  <cols>
    <col min="2" max="4" width="9" style="39"/>
  </cols>
  <sheetData>
    <row r="2" spans="1:4" x14ac:dyDescent="0.15">
      <c r="A2">
        <v>1</v>
      </c>
      <c r="B2" s="39" t="s">
        <v>27</v>
      </c>
      <c r="C2" s="39">
        <v>38</v>
      </c>
      <c r="D2" s="39">
        <v>3104439.38</v>
      </c>
    </row>
    <row r="3" spans="1:4" x14ac:dyDescent="0.15">
      <c r="A3">
        <v>2</v>
      </c>
      <c r="B3" s="39" t="s">
        <v>7</v>
      </c>
      <c r="C3" s="39">
        <v>90</v>
      </c>
      <c r="D3" s="39">
        <v>13491151.630000001</v>
      </c>
    </row>
    <row r="4" spans="1:4" x14ac:dyDescent="0.15">
      <c r="A4">
        <v>3</v>
      </c>
      <c r="B4" s="39" t="s">
        <v>8</v>
      </c>
      <c r="C4" s="39">
        <v>25</v>
      </c>
      <c r="D4" s="39">
        <v>79073.89</v>
      </c>
    </row>
    <row r="5" spans="1:4" x14ac:dyDescent="0.15">
      <c r="A5">
        <v>4</v>
      </c>
      <c r="B5" s="39" t="s">
        <v>10</v>
      </c>
      <c r="C5" s="39">
        <v>169</v>
      </c>
      <c r="D5" s="39">
        <v>18667060</v>
      </c>
    </row>
    <row r="6" spans="1:4" x14ac:dyDescent="0.15">
      <c r="A6">
        <v>5</v>
      </c>
      <c r="B6" s="39" t="s">
        <v>36</v>
      </c>
      <c r="C6" s="39">
        <v>21</v>
      </c>
      <c r="D6" s="39">
        <v>8649946.0399999991</v>
      </c>
    </row>
    <row r="7" spans="1:4" x14ac:dyDescent="0.15">
      <c r="A7">
        <v>6</v>
      </c>
      <c r="B7" s="39" t="s">
        <v>37</v>
      </c>
      <c r="C7" s="39">
        <v>11</v>
      </c>
      <c r="D7" s="39">
        <v>1346.42</v>
      </c>
    </row>
    <row r="8" spans="1:4" x14ac:dyDescent="0.15">
      <c r="A8">
        <v>7</v>
      </c>
      <c r="B8" s="39" t="s">
        <v>38</v>
      </c>
      <c r="C8" s="39">
        <v>4</v>
      </c>
      <c r="D8" s="39">
        <v>2244.7800000000002</v>
      </c>
    </row>
    <row r="9" spans="1:4" x14ac:dyDescent="0.15">
      <c r="A9">
        <v>8</v>
      </c>
      <c r="B9" s="39" t="s">
        <v>39</v>
      </c>
      <c r="C9" s="39">
        <v>292</v>
      </c>
      <c r="D9" s="39">
        <v>54803496.649999999</v>
      </c>
    </row>
    <row r="10" spans="1:4" x14ac:dyDescent="0.15">
      <c r="A10">
        <v>9</v>
      </c>
      <c r="B10" s="39" t="s">
        <v>25</v>
      </c>
      <c r="C10" s="39">
        <v>0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报表模板参照</vt:lpstr>
      <vt:lpstr>总量</vt:lpstr>
      <vt:lpstr>承保</vt:lpstr>
      <vt:lpstr>退保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ZhangJin张进</dc:creator>
  <cp:lastModifiedBy>11</cp:lastModifiedBy>
  <dcterms:created xsi:type="dcterms:W3CDTF">2006-09-16T00:00:00Z</dcterms:created>
  <dcterms:modified xsi:type="dcterms:W3CDTF">2019-01-12T08:42:12Z</dcterms:modified>
</cp:coreProperties>
</file>