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3.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comments4.xml" ContentType="application/vnd.openxmlformats-officedocument.spreadsheetml.comments+xml"/>
  <Override PartName="/xl/pivotTables/pivotTable7.xml" ContentType="application/vnd.openxmlformats-officedocument.spreadsheetml.pivotTab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filterPrivacy="1" codeName="ThisWorkbook"/>
  <xr:revisionPtr revIDLastSave="0" documentId="13_ncr:1_{704FA4B6-A000-4CBC-A74E-74298A9BA05B}" xr6:coauthVersionLast="45" xr6:coauthVersionMax="45" xr10:uidLastSave="{00000000-0000-0000-0000-000000000000}"/>
  <bookViews>
    <workbookView xWindow="-108" yWindow="-108" windowWidth="22140" windowHeight="13176" firstSheet="10" activeTab="15" xr2:uid="{00000000-000D-0000-FFFF-FFFF00000000}"/>
  </bookViews>
  <sheets>
    <sheet name="SFC Report" sheetId="6" r:id="rId1"/>
    <sheet name="Risk Analytics" sheetId="19" r:id="rId2"/>
    <sheet name="Rating" sheetId="14" r:id="rId3"/>
    <sheet name="Sector Allocation" sheetId="9" r:id="rId4"/>
    <sheet name="Industry Breakdown" sheetId="10" r:id="rId5"/>
    <sheet name="Sheet2" sheetId="22" r:id="rId6"/>
    <sheet name="Geneva investment position repo" sheetId="1" r:id="rId7"/>
    <sheet name="Sheet1" sheetId="21" r:id="rId8"/>
    <sheet name="BBG - VaR Data (Sample, Indus )" sheetId="17" r:id="rId9"/>
    <sheet name="BBG - Scenarios (Sample View)" sheetId="18" r:id="rId10"/>
    <sheet name="LQA" sheetId="3" r:id="rId11"/>
    <sheet name="LQA Stress" sheetId="16" r:id="rId12"/>
    <sheet name="FX Rates" sheetId="4" r:id="rId13"/>
    <sheet name="Liquidity Bucket" sheetId="5" r:id="rId14"/>
    <sheet name="Rating Scale" sheetId="7" r:id="rId15"/>
    <sheet name="SFC Classifcation" sheetId="8" r:id="rId16"/>
    <sheet name="Trustee Discrepancy" sheetId="12" r:id="rId17"/>
    <sheet name="SFC Reference" sheetId="13" r:id="rId18"/>
    <sheet name="Enchancement" sheetId="15" r:id="rId19"/>
    <sheet name="Country_Code" sheetId="23" r:id="rId20"/>
  </sheets>
  <definedNames>
    <definedName name="_xlnm._FilterDatabase" localSheetId="8" hidden="1">'BBG - VaR Data (Sample, Indus )'!$A$15:$AS$160</definedName>
    <definedName name="_xlnm._FilterDatabase" localSheetId="6" hidden="1">'Geneva investment position repo'!$A$1:$BU$194</definedName>
    <definedName name="_xlnm._FilterDatabase" localSheetId="10" hidden="1">LQA!$A$39:$Q$186</definedName>
    <definedName name="_xlnm._FilterDatabase" localSheetId="11" hidden="1">'LQA Stress'!$A$39:$Q$172</definedName>
    <definedName name="_xlnm.Print_Area" localSheetId="1">'Risk Analytics'!$A$1:$T$172</definedName>
    <definedName name="_xlnm.Print_Area" localSheetId="0">'SFC Report'!$A$1:$S$207</definedName>
    <definedName name="_xlnm.Print_Titles" localSheetId="1">'Risk Analytics'!$1:$14</definedName>
    <definedName name="_xlnm.Print_Titles" localSheetId="0">'SFC Report'!$1:$14</definedName>
  </definedNames>
  <calcPr calcId="191029"/>
  <pivotCaches>
    <pivotCache cacheId="0" r:id="rId21"/>
    <pivotCache cacheId="1" r:id="rId22"/>
    <pivotCache cacheId="2" r:id="rId23"/>
    <pivotCache cacheId="3" r:id="rId24"/>
    <pivotCache cacheId="4"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4" i="1" l="1"/>
  <c r="AB194" i="1"/>
  <c r="BN194" i="1" s="1"/>
  <c r="R194" i="1"/>
  <c r="Q194" i="1" l="1"/>
  <c r="Z194" i="1" l="1"/>
  <c r="Y194" i="1"/>
  <c r="AA194" i="1" s="1"/>
  <c r="W194" i="1"/>
  <c r="V194" i="1"/>
  <c r="X194" i="1" s="1"/>
  <c r="S194" i="1"/>
  <c r="U194" i="1"/>
  <c r="T194" i="1"/>
  <c r="AW194" i="1"/>
  <c r="AX194" i="1"/>
  <c r="AL194" i="1"/>
  <c r="BR194" i="1" l="1"/>
  <c r="AD194" i="1"/>
  <c r="AC194" i="1"/>
  <c r="BU194" i="1"/>
  <c r="BQ194" i="1"/>
  <c r="BT194" i="1"/>
  <c r="BS194" i="1"/>
  <c r="BK194" i="1"/>
  <c r="BD194" i="1"/>
  <c r="BC194" i="1"/>
  <c r="BA194" i="1"/>
  <c r="AZ194" i="1"/>
  <c r="AY194" i="1"/>
  <c r="AM194" i="1"/>
  <c r="AT194" i="1"/>
  <c r="AS194" i="1"/>
  <c r="AR194" i="1"/>
  <c r="AQ194" i="1"/>
  <c r="AP194" i="1"/>
  <c r="AO194" i="1"/>
  <c r="AV194" i="1"/>
  <c r="AN194" i="1"/>
  <c r="AU194" i="1"/>
  <c r="AG194" i="1"/>
  <c r="AJ194" i="1" s="1"/>
  <c r="AF194" i="1"/>
  <c r="AI194" i="1" s="1"/>
  <c r="AE194" i="1"/>
  <c r="AH194" i="1" s="1"/>
  <c r="AK194" i="1"/>
  <c r="BE194" i="1"/>
  <c r="BF194" i="1" l="1"/>
  <c r="BG194" i="1" a="1"/>
  <c r="BG194" i="1" s="1"/>
  <c r="BI194" i="1"/>
  <c r="BM194" i="1"/>
  <c r="BJ194" i="1"/>
  <c r="BL194" i="1"/>
  <c r="BH194" i="1"/>
  <c r="BB194" i="1"/>
  <c r="AB193" i="1"/>
  <c r="BN193" i="1" s="1"/>
  <c r="BP194" i="1"/>
  <c r="R193" i="1"/>
  <c r="Q193" i="1" l="1"/>
  <c r="T193" i="1" l="1"/>
  <c r="W193" i="1"/>
  <c r="S193" i="1"/>
  <c r="Z193" i="1"/>
  <c r="V193" i="1"/>
  <c r="X193" i="1" s="1"/>
  <c r="Y193" i="1"/>
  <c r="AA193" i="1" s="1"/>
  <c r="U193" i="1"/>
  <c r="AX193" i="1"/>
  <c r="AW193" i="1"/>
  <c r="AL193" i="1"/>
  <c r="AC193" i="1" l="1"/>
  <c r="AD193" i="1"/>
  <c r="BR193" i="1"/>
  <c r="BU193" i="1"/>
  <c r="BS193" i="1"/>
  <c r="BQ193" i="1"/>
  <c r="BT193" i="1"/>
  <c r="BK193" i="1"/>
  <c r="BA193" i="1"/>
  <c r="AY193" i="1"/>
  <c r="AZ193" i="1"/>
  <c r="BD193" i="1"/>
  <c r="BC193" i="1"/>
  <c r="AV193" i="1"/>
  <c r="AN193" i="1"/>
  <c r="AU193" i="1"/>
  <c r="AM193" i="1"/>
  <c r="AT193" i="1"/>
  <c r="AS193" i="1"/>
  <c r="AR193" i="1"/>
  <c r="AO193" i="1"/>
  <c r="AQ193" i="1"/>
  <c r="AP193" i="1"/>
  <c r="AE193" i="1"/>
  <c r="AH193" i="1" s="1"/>
  <c r="AG193" i="1"/>
  <c r="AJ193" i="1" s="1"/>
  <c r="AF193" i="1"/>
  <c r="AI193" i="1" s="1"/>
  <c r="BE193" i="1"/>
  <c r="AK193" i="1"/>
  <c r="BF193" i="1" l="1"/>
  <c r="BM193" i="1"/>
  <c r="BL193" i="1"/>
  <c r="BJ193" i="1"/>
  <c r="BI193" i="1"/>
  <c r="BG193" i="1" a="1"/>
  <c r="BG193" i="1" s="1"/>
  <c r="BH193" i="1"/>
  <c r="BB193" i="1"/>
  <c r="AB192" i="1"/>
  <c r="BN192" i="1" s="1"/>
  <c r="BP193" i="1"/>
  <c r="R192" i="1"/>
  <c r="Q192" i="1" l="1"/>
  <c r="T192" i="1" l="1"/>
  <c r="S192" i="1"/>
  <c r="U192" i="1"/>
  <c r="Z192" i="1"/>
  <c r="Y192" i="1"/>
  <c r="AA192" i="1" s="1"/>
  <c r="W192" i="1"/>
  <c r="V192" i="1"/>
  <c r="X192" i="1" s="1"/>
  <c r="AW192" i="1"/>
  <c r="AX192" i="1"/>
  <c r="AL192" i="1"/>
  <c r="AD192" i="1" l="1"/>
  <c r="AC192" i="1"/>
  <c r="BR192" i="1"/>
  <c r="BU192" i="1"/>
  <c r="BT192" i="1"/>
  <c r="BS192" i="1"/>
  <c r="BQ192" i="1"/>
  <c r="BK192" i="1"/>
  <c r="BA192" i="1"/>
  <c r="BD192" i="1"/>
  <c r="AZ192" i="1"/>
  <c r="AY192" i="1"/>
  <c r="BC192" i="1"/>
  <c r="AV192" i="1"/>
  <c r="AN192" i="1"/>
  <c r="AU192" i="1"/>
  <c r="AT192" i="1"/>
  <c r="AS192" i="1"/>
  <c r="AR192" i="1"/>
  <c r="AQ192" i="1"/>
  <c r="AM192" i="1"/>
  <c r="AP192" i="1"/>
  <c r="AO192" i="1"/>
  <c r="AG192" i="1"/>
  <c r="AJ192" i="1" s="1"/>
  <c r="AF192" i="1"/>
  <c r="AI192" i="1" s="1"/>
  <c r="AE192" i="1"/>
  <c r="AH192" i="1" s="1"/>
  <c r="AK192" i="1"/>
  <c r="BE192" i="1"/>
  <c r="BG192" i="1" l="1" a="1"/>
  <c r="BG192" i="1" s="1"/>
  <c r="BM192" i="1"/>
  <c r="BL192" i="1"/>
  <c r="BJ192" i="1"/>
  <c r="BH192" i="1"/>
  <c r="BI192" i="1"/>
  <c r="BB192" i="1"/>
  <c r="BF192" i="1"/>
  <c r="AB191" i="1"/>
  <c r="BN191" i="1" s="1"/>
  <c r="BP192" i="1"/>
  <c r="R191" i="1"/>
  <c r="Q191" i="1" l="1"/>
  <c r="T191" i="1" l="1"/>
  <c r="V191" i="1"/>
  <c r="X191" i="1" s="1"/>
  <c r="S191" i="1"/>
  <c r="Z191" i="1"/>
  <c r="U191" i="1"/>
  <c r="Y191" i="1"/>
  <c r="AA191" i="1" s="1"/>
  <c r="W191" i="1"/>
  <c r="AX191" i="1"/>
  <c r="AW191" i="1"/>
  <c r="AL191" i="1"/>
  <c r="BR191" i="1" l="1"/>
  <c r="AD191" i="1"/>
  <c r="AC191" i="1"/>
  <c r="BU191" i="1"/>
  <c r="BT191" i="1"/>
  <c r="BS191" i="1"/>
  <c r="BQ191" i="1"/>
  <c r="BK191" i="1"/>
  <c r="BA191" i="1"/>
  <c r="AZ191" i="1"/>
  <c r="AY191" i="1"/>
  <c r="BD191" i="1"/>
  <c r="BC191" i="1"/>
  <c r="AV191" i="1"/>
  <c r="AN191" i="1"/>
  <c r="AT191" i="1"/>
  <c r="AR191" i="1"/>
  <c r="AO191" i="1"/>
  <c r="AU191" i="1"/>
  <c r="AM191" i="1"/>
  <c r="AS191" i="1"/>
  <c r="AQ191" i="1"/>
  <c r="AP191" i="1"/>
  <c r="AE191" i="1"/>
  <c r="AH191" i="1" s="1"/>
  <c r="AG191" i="1"/>
  <c r="AJ191" i="1" s="1"/>
  <c r="AF191" i="1"/>
  <c r="AI191" i="1" s="1"/>
  <c r="AK191" i="1"/>
  <c r="BE191" i="1"/>
  <c r="BG191" i="1" l="1" a="1"/>
  <c r="BG191" i="1" s="1"/>
  <c r="BM191" i="1"/>
  <c r="BL191" i="1"/>
  <c r="BJ191" i="1"/>
  <c r="BI191" i="1"/>
  <c r="BH191" i="1"/>
  <c r="BB191" i="1"/>
  <c r="BF191" i="1"/>
  <c r="AB190" i="1"/>
  <c r="BN190" i="1" s="1"/>
  <c r="BP191" i="1"/>
  <c r="R190" i="1"/>
  <c r="Q190" i="1" l="1"/>
  <c r="T190" i="1" l="1"/>
  <c r="Y190" i="1"/>
  <c r="AA190" i="1" s="1"/>
  <c r="U190" i="1"/>
  <c r="S190" i="1"/>
  <c r="Z190" i="1"/>
  <c r="W190" i="1"/>
  <c r="V190" i="1"/>
  <c r="X190" i="1" s="1"/>
  <c r="AX190" i="1"/>
  <c r="AW190" i="1"/>
  <c r="AL190" i="1"/>
  <c r="BR190" i="1" l="1"/>
  <c r="AD190" i="1"/>
  <c r="AC190" i="1"/>
  <c r="BU190" i="1"/>
  <c r="BS190" i="1"/>
  <c r="BQ190" i="1"/>
  <c r="BT190" i="1"/>
  <c r="BK190" i="1"/>
  <c r="BA190" i="1"/>
  <c r="AZ190" i="1"/>
  <c r="AY190" i="1"/>
  <c r="BD190" i="1"/>
  <c r="BC190" i="1"/>
  <c r="AV190" i="1"/>
  <c r="AN190" i="1"/>
  <c r="AU190" i="1"/>
  <c r="AM190" i="1"/>
  <c r="AR190" i="1"/>
  <c r="AP190" i="1"/>
  <c r="AT190" i="1"/>
  <c r="AS190" i="1"/>
  <c r="AQ190" i="1"/>
  <c r="AO190" i="1"/>
  <c r="AG190" i="1"/>
  <c r="AJ190" i="1" s="1"/>
  <c r="AF190" i="1"/>
  <c r="AI190" i="1" s="1"/>
  <c r="AE190" i="1"/>
  <c r="AH190" i="1" s="1"/>
  <c r="AK190" i="1"/>
  <c r="BE190" i="1"/>
  <c r="BG190" i="1" l="1" a="1"/>
  <c r="BG190" i="1" s="1"/>
  <c r="BM190" i="1"/>
  <c r="BJ190" i="1"/>
  <c r="BI190" i="1"/>
  <c r="BL190" i="1"/>
  <c r="BH190" i="1"/>
  <c r="BB190" i="1"/>
  <c r="BF190" i="1"/>
  <c r="AB189" i="1"/>
  <c r="BN189" i="1" s="1"/>
  <c r="BP190" i="1"/>
  <c r="R189" i="1"/>
  <c r="Q189" i="1" l="1"/>
  <c r="T189" i="1" l="1"/>
  <c r="S189" i="1"/>
  <c r="Y189" i="1"/>
  <c r="AA189" i="1" s="1"/>
  <c r="U189" i="1"/>
  <c r="Z189" i="1"/>
  <c r="W189" i="1"/>
  <c r="V189" i="1"/>
  <c r="X189" i="1" s="1"/>
  <c r="AW189" i="1"/>
  <c r="AX189" i="1"/>
  <c r="AL189" i="1"/>
  <c r="AD189" i="1" l="1"/>
  <c r="AC189" i="1"/>
  <c r="BR189" i="1"/>
  <c r="BU189" i="1"/>
  <c r="BT189" i="1"/>
  <c r="BS189" i="1"/>
  <c r="BQ189" i="1"/>
  <c r="BK189" i="1"/>
  <c r="BA189" i="1"/>
  <c r="AZ189" i="1"/>
  <c r="AY189" i="1"/>
  <c r="BC189" i="1"/>
  <c r="BD189" i="1"/>
  <c r="AV189" i="1"/>
  <c r="AN189" i="1"/>
  <c r="AQ189" i="1"/>
  <c r="AP189" i="1"/>
  <c r="AU189" i="1"/>
  <c r="AM189" i="1"/>
  <c r="AR189" i="1"/>
  <c r="AT189" i="1"/>
  <c r="AS189" i="1"/>
  <c r="AO189" i="1"/>
  <c r="AE189" i="1"/>
  <c r="AH189" i="1" s="1"/>
  <c r="AG189" i="1"/>
  <c r="AJ189" i="1" s="1"/>
  <c r="AF189" i="1"/>
  <c r="AI189" i="1" s="1"/>
  <c r="BE189" i="1"/>
  <c r="AK189" i="1"/>
  <c r="BF189" i="1" l="1"/>
  <c r="BG189" i="1" a="1"/>
  <c r="BG189" i="1" s="1"/>
  <c r="BM189" i="1"/>
  <c r="BL189" i="1"/>
  <c r="BJ189" i="1"/>
  <c r="BI189" i="1"/>
  <c r="BH189" i="1"/>
  <c r="BB189" i="1"/>
  <c r="AB188" i="1"/>
  <c r="BN188" i="1" s="1"/>
  <c r="BP189" i="1"/>
  <c r="R188" i="1"/>
  <c r="Q188" i="1" l="1"/>
  <c r="T188" i="1" l="1"/>
  <c r="Y188" i="1"/>
  <c r="AA188" i="1" s="1"/>
  <c r="S188" i="1"/>
  <c r="Z188" i="1"/>
  <c r="W188" i="1"/>
  <c r="U188" i="1"/>
  <c r="V188" i="1"/>
  <c r="X188" i="1" s="1"/>
  <c r="AW188" i="1"/>
  <c r="AX188" i="1"/>
  <c r="AL188" i="1"/>
  <c r="AD188" i="1" l="1"/>
  <c r="AC188" i="1"/>
  <c r="BR188" i="1"/>
  <c r="BU188" i="1"/>
  <c r="BT188" i="1"/>
  <c r="BQ188" i="1"/>
  <c r="BS188" i="1"/>
  <c r="BK188" i="1"/>
  <c r="AZ188" i="1"/>
  <c r="AY188" i="1"/>
  <c r="BA188" i="1"/>
  <c r="BD188" i="1"/>
  <c r="BC188" i="1"/>
  <c r="AV188" i="1"/>
  <c r="AN188" i="1"/>
  <c r="AU188" i="1"/>
  <c r="AM188" i="1"/>
  <c r="AT188" i="1"/>
  <c r="AQ188" i="1"/>
  <c r="AO188" i="1"/>
  <c r="AS188" i="1"/>
  <c r="AR188" i="1"/>
  <c r="AP188" i="1"/>
  <c r="AE188" i="1"/>
  <c r="AH188" i="1" s="1"/>
  <c r="AG188" i="1"/>
  <c r="AJ188" i="1" s="1"/>
  <c r="AF188" i="1"/>
  <c r="AI188" i="1" s="1"/>
  <c r="BE188" i="1"/>
  <c r="AK188" i="1"/>
  <c r="BF188" i="1" l="1"/>
  <c r="BG188" i="1" a="1"/>
  <c r="BG188" i="1" s="1"/>
  <c r="BL188" i="1"/>
  <c r="BJ188" i="1"/>
  <c r="BM188" i="1"/>
  <c r="BI188" i="1"/>
  <c r="BH188" i="1"/>
  <c r="BB188" i="1"/>
  <c r="AB187" i="1"/>
  <c r="BN187" i="1" s="1"/>
  <c r="BP188" i="1"/>
  <c r="R187" i="1"/>
  <c r="Q187" i="1" l="1"/>
  <c r="T187" i="1" l="1"/>
  <c r="Y187" i="1"/>
  <c r="AA187" i="1" s="1"/>
  <c r="S187" i="1"/>
  <c r="Z187" i="1"/>
  <c r="W187" i="1"/>
  <c r="V187" i="1"/>
  <c r="X187" i="1" s="1"/>
  <c r="U187" i="1"/>
  <c r="AW187" i="1"/>
  <c r="AX187" i="1"/>
  <c r="AL187" i="1"/>
  <c r="AC187" i="1" l="1"/>
  <c r="AD187" i="1"/>
  <c r="BR187" i="1"/>
  <c r="BU187" i="1"/>
  <c r="BT187" i="1"/>
  <c r="BS187" i="1"/>
  <c r="BQ187" i="1"/>
  <c r="BK187" i="1"/>
  <c r="BA187" i="1"/>
  <c r="AZ187" i="1"/>
  <c r="BD187" i="1"/>
  <c r="AY187" i="1"/>
  <c r="BC187" i="1"/>
  <c r="AV187" i="1"/>
  <c r="AN187" i="1"/>
  <c r="AU187" i="1"/>
  <c r="AM187" i="1"/>
  <c r="AT187" i="1"/>
  <c r="AS187" i="1"/>
  <c r="AR187" i="1"/>
  <c r="AQ187" i="1"/>
  <c r="AP187" i="1"/>
  <c r="AO187" i="1"/>
  <c r="AE187" i="1"/>
  <c r="AH187" i="1" s="1"/>
  <c r="AG187" i="1"/>
  <c r="AJ187" i="1" s="1"/>
  <c r="AF187" i="1"/>
  <c r="AI187" i="1" s="1"/>
  <c r="AK187" i="1"/>
  <c r="BE187" i="1"/>
  <c r="BF187" i="1" l="1"/>
  <c r="BG187" i="1" a="1"/>
  <c r="BG187" i="1" s="1"/>
  <c r="BM187" i="1"/>
  <c r="BL187" i="1"/>
  <c r="BJ187" i="1"/>
  <c r="BI187" i="1"/>
  <c r="BH187" i="1"/>
  <c r="BB187" i="1"/>
  <c r="AB186" i="1"/>
  <c r="BN186" i="1" s="1"/>
  <c r="BP187" i="1"/>
  <c r="R186" i="1"/>
  <c r="Q186" i="1" l="1"/>
  <c r="T186" i="1" l="1"/>
  <c r="Y186" i="1"/>
  <c r="AA186" i="1" s="1"/>
  <c r="S186" i="1"/>
  <c r="U186" i="1"/>
  <c r="Z186" i="1"/>
  <c r="W186" i="1"/>
  <c r="V186" i="1"/>
  <c r="X186" i="1" s="1"/>
  <c r="AW186" i="1"/>
  <c r="AX186" i="1"/>
  <c r="AL186" i="1"/>
  <c r="BR186" i="1" l="1"/>
  <c r="AD186" i="1"/>
  <c r="AC186" i="1"/>
  <c r="BU186" i="1"/>
  <c r="BT186" i="1"/>
  <c r="BS186" i="1"/>
  <c r="BQ186" i="1"/>
  <c r="BK186" i="1"/>
  <c r="BA186" i="1"/>
  <c r="AZ186" i="1"/>
  <c r="AY186" i="1"/>
  <c r="BD186" i="1"/>
  <c r="BC186" i="1"/>
  <c r="AV186" i="1"/>
  <c r="AN186" i="1"/>
  <c r="AU186" i="1"/>
  <c r="AM186" i="1"/>
  <c r="AT186" i="1"/>
  <c r="AS186" i="1"/>
  <c r="AR186" i="1"/>
  <c r="AQ186" i="1"/>
  <c r="AP186" i="1"/>
  <c r="AO186" i="1"/>
  <c r="AF186" i="1"/>
  <c r="AI186" i="1" s="1"/>
  <c r="AG186" i="1"/>
  <c r="AJ186" i="1" s="1"/>
  <c r="AE186" i="1"/>
  <c r="AH186" i="1" s="1"/>
  <c r="BE186" i="1"/>
  <c r="AK186" i="1"/>
  <c r="BF186" i="1" l="1"/>
  <c r="BG186" i="1" a="1"/>
  <c r="BG186" i="1" s="1"/>
  <c r="BM186" i="1"/>
  <c r="BJ186" i="1"/>
  <c r="BL186" i="1"/>
  <c r="BH186" i="1"/>
  <c r="BI186" i="1"/>
  <c r="BB186" i="1"/>
  <c r="AB185" i="1"/>
  <c r="BN185" i="1" s="1"/>
  <c r="BP186" i="1"/>
  <c r="R185" i="1"/>
  <c r="Q185" i="1" l="1"/>
  <c r="T185" i="1" l="1"/>
  <c r="S185" i="1"/>
  <c r="Z185" i="1"/>
  <c r="Y185" i="1"/>
  <c r="AA185" i="1" s="1"/>
  <c r="U185" i="1"/>
  <c r="W185" i="1"/>
  <c r="V185" i="1"/>
  <c r="X185" i="1" s="1"/>
  <c r="AW185" i="1"/>
  <c r="AX185" i="1"/>
  <c r="AL185" i="1"/>
  <c r="AD185" i="1" l="1"/>
  <c r="AC185" i="1"/>
  <c r="BR185" i="1"/>
  <c r="BU185" i="1"/>
  <c r="BS185" i="1"/>
  <c r="BQ185" i="1"/>
  <c r="BT185" i="1"/>
  <c r="BK185" i="1"/>
  <c r="BA185" i="1"/>
  <c r="AZ185" i="1"/>
  <c r="AY185" i="1"/>
  <c r="BC185" i="1"/>
  <c r="BD185" i="1"/>
  <c r="AV185" i="1"/>
  <c r="AN185" i="1"/>
  <c r="AU185" i="1"/>
  <c r="AM185" i="1"/>
  <c r="AQ185" i="1"/>
  <c r="AT185" i="1"/>
  <c r="AR185" i="1"/>
  <c r="AP185" i="1"/>
  <c r="AO185" i="1"/>
  <c r="AS185" i="1"/>
  <c r="AG185" i="1"/>
  <c r="AJ185" i="1" s="1"/>
  <c r="AF185" i="1"/>
  <c r="AI185" i="1" s="1"/>
  <c r="AE185" i="1"/>
  <c r="AH185" i="1" s="1"/>
  <c r="BE185" i="1"/>
  <c r="AK185" i="1"/>
  <c r="BF185" i="1" l="1"/>
  <c r="BG185" i="1" a="1"/>
  <c r="BG185" i="1" s="1"/>
  <c r="BM185" i="1"/>
  <c r="BL185" i="1"/>
  <c r="BI185" i="1"/>
  <c r="BJ185" i="1"/>
  <c r="BH185" i="1"/>
  <c r="BB185" i="1"/>
  <c r="AB184" i="1"/>
  <c r="BN184" i="1" s="1"/>
  <c r="BP185" i="1"/>
  <c r="R184" i="1"/>
  <c r="Q184" i="1" l="1"/>
  <c r="T184" i="1" l="1"/>
  <c r="S184" i="1"/>
  <c r="V184" i="1"/>
  <c r="X184" i="1" s="1"/>
  <c r="U184" i="1"/>
  <c r="Z184" i="1"/>
  <c r="W184" i="1"/>
  <c r="Y184" i="1"/>
  <c r="AA184" i="1" s="1"/>
  <c r="AX184" i="1"/>
  <c r="AW184" i="1"/>
  <c r="AL184" i="1"/>
  <c r="AD184" i="1" l="1"/>
  <c r="AC184" i="1"/>
  <c r="BR184" i="1"/>
  <c r="BU184" i="1"/>
  <c r="BT184" i="1"/>
  <c r="BS184" i="1"/>
  <c r="BQ184" i="1"/>
  <c r="BK184" i="1"/>
  <c r="BA184" i="1"/>
  <c r="AZ184" i="1"/>
  <c r="AY184" i="1"/>
  <c r="BD184" i="1"/>
  <c r="BC184" i="1"/>
  <c r="AV184" i="1"/>
  <c r="AN184" i="1"/>
  <c r="AU184" i="1"/>
  <c r="AM184" i="1"/>
  <c r="AT184" i="1"/>
  <c r="AS184" i="1"/>
  <c r="AR184" i="1"/>
  <c r="AQ184" i="1"/>
  <c r="AP184" i="1"/>
  <c r="AO184" i="1"/>
  <c r="AE184" i="1"/>
  <c r="AH184" i="1" s="1"/>
  <c r="AF184" i="1"/>
  <c r="AI184" i="1" s="1"/>
  <c r="AG184" i="1"/>
  <c r="AJ184" i="1" s="1"/>
  <c r="BE184" i="1"/>
  <c r="AK184" i="1"/>
  <c r="BF184" i="1" l="1"/>
  <c r="BG184" i="1" a="1"/>
  <c r="BG184" i="1" s="1"/>
  <c r="BH184" i="1"/>
  <c r="BM184" i="1"/>
  <c r="BJ184" i="1"/>
  <c r="BL184" i="1"/>
  <c r="BI184" i="1"/>
  <c r="BB184" i="1"/>
  <c r="AB183" i="1"/>
  <c r="BN183" i="1" s="1"/>
  <c r="BP184" i="1"/>
  <c r="R183" i="1"/>
  <c r="Q183" i="1" l="1"/>
  <c r="T183" i="1" l="1"/>
  <c r="S183" i="1"/>
  <c r="W183" i="1"/>
  <c r="U183" i="1"/>
  <c r="Z183" i="1"/>
  <c r="V183" i="1"/>
  <c r="X183" i="1" s="1"/>
  <c r="Y183" i="1"/>
  <c r="AA183" i="1" s="1"/>
  <c r="AW183" i="1"/>
  <c r="AX183" i="1"/>
  <c r="AL183" i="1"/>
  <c r="AC183" i="1" l="1"/>
  <c r="AD183" i="1"/>
  <c r="BR183" i="1"/>
  <c r="BU183" i="1"/>
  <c r="BT183" i="1"/>
  <c r="BS183" i="1"/>
  <c r="BQ183" i="1"/>
  <c r="BK183" i="1"/>
  <c r="BA183" i="1"/>
  <c r="AZ183" i="1"/>
  <c r="AY183" i="1"/>
  <c r="BC183" i="1"/>
  <c r="BD183" i="1"/>
  <c r="AV183" i="1"/>
  <c r="AN183" i="1"/>
  <c r="AU183" i="1"/>
  <c r="AM183" i="1"/>
  <c r="AT183" i="1"/>
  <c r="AS183" i="1"/>
  <c r="AR183" i="1"/>
  <c r="AQ183" i="1"/>
  <c r="AP183" i="1"/>
  <c r="AO183" i="1"/>
  <c r="AF183" i="1"/>
  <c r="AI183" i="1" s="1"/>
  <c r="AG183" i="1"/>
  <c r="AJ183" i="1" s="1"/>
  <c r="AE183" i="1"/>
  <c r="AH183" i="1" s="1"/>
  <c r="BE183" i="1"/>
  <c r="AK183" i="1"/>
  <c r="BF183" i="1" l="1"/>
  <c r="BG183" i="1" a="1"/>
  <c r="BG183" i="1" s="1"/>
  <c r="BL183" i="1"/>
  <c r="BH183" i="1"/>
  <c r="BM183" i="1"/>
  <c r="BJ183" i="1"/>
  <c r="BI183" i="1"/>
  <c r="BB183" i="1"/>
  <c r="AB182" i="1"/>
  <c r="BN182" i="1" s="1"/>
  <c r="BP183" i="1"/>
  <c r="R182" i="1"/>
  <c r="Q182" i="1" l="1"/>
  <c r="T182" i="1" l="1"/>
  <c r="S182" i="1"/>
  <c r="Z182" i="1"/>
  <c r="V182" i="1"/>
  <c r="X182" i="1" s="1"/>
  <c r="Y182" i="1"/>
  <c r="AA182" i="1" s="1"/>
  <c r="U182" i="1"/>
  <c r="W182" i="1"/>
  <c r="AW182" i="1"/>
  <c r="AX182" i="1"/>
  <c r="AL182" i="1"/>
  <c r="AD182" i="1" l="1"/>
  <c r="AC182" i="1"/>
  <c r="BR182" i="1"/>
  <c r="BU182" i="1"/>
  <c r="BT182" i="1"/>
  <c r="BS182" i="1"/>
  <c r="BQ182" i="1"/>
  <c r="BK182" i="1"/>
  <c r="BA182" i="1"/>
  <c r="AZ182" i="1"/>
  <c r="AY182" i="1"/>
  <c r="BC182" i="1"/>
  <c r="BD182" i="1"/>
  <c r="AV182" i="1"/>
  <c r="AN182" i="1"/>
  <c r="AU182" i="1"/>
  <c r="AM182" i="1"/>
  <c r="AT182" i="1"/>
  <c r="AS182" i="1"/>
  <c r="AQ182" i="1"/>
  <c r="AR182" i="1"/>
  <c r="AP182" i="1"/>
  <c r="AO182" i="1"/>
  <c r="AF182" i="1"/>
  <c r="AI182" i="1" s="1"/>
  <c r="AG182" i="1"/>
  <c r="AJ182" i="1" s="1"/>
  <c r="AE182" i="1"/>
  <c r="AH182" i="1" s="1"/>
  <c r="AK182" i="1"/>
  <c r="BE182" i="1"/>
  <c r="BF182" i="1" l="1"/>
  <c r="BG182" i="1" a="1"/>
  <c r="BG182" i="1" s="1"/>
  <c r="BM182" i="1"/>
  <c r="BJ182" i="1"/>
  <c r="BH182" i="1"/>
  <c r="BI182" i="1"/>
  <c r="BL182" i="1"/>
  <c r="BB182" i="1"/>
  <c r="AB181" i="1"/>
  <c r="BN181" i="1" s="1"/>
  <c r="Q181" i="1"/>
  <c r="BP182" i="1"/>
  <c r="R181" i="1"/>
  <c r="V181" i="1" l="1"/>
  <c r="X181" i="1" s="1"/>
  <c r="Y181" i="1"/>
  <c r="AA181" i="1" s="1"/>
  <c r="W181" i="1"/>
  <c r="Z181" i="1"/>
  <c r="T181" i="1"/>
  <c r="AE181" i="1"/>
  <c r="AX181" i="1"/>
  <c r="AW181" i="1"/>
  <c r="S181" i="1"/>
  <c r="U181" i="1"/>
  <c r="AH181" i="1" l="1"/>
  <c r="AD181" i="1"/>
  <c r="AC181" i="1"/>
  <c r="AS181" i="1"/>
  <c r="AL181" i="1"/>
  <c r="BS181" i="1"/>
  <c r="AR181" i="1"/>
  <c r="BT181" i="1"/>
  <c r="BK181" i="1"/>
  <c r="BI181" i="1"/>
  <c r="AP181" i="1"/>
  <c r="BC181" i="1"/>
  <c r="AO181" i="1"/>
  <c r="AN181" i="1"/>
  <c r="AZ181" i="1"/>
  <c r="BA181" i="1"/>
  <c r="AG181" i="1"/>
  <c r="AM181" i="1"/>
  <c r="AY181" i="1"/>
  <c r="AF181" i="1"/>
  <c r="AQ181" i="1"/>
  <c r="BU181" i="1"/>
  <c r="AI181" i="1" l="1"/>
  <c r="AT181" i="1"/>
  <c r="AJ181" i="1"/>
  <c r="BQ181" i="1"/>
  <c r="AV181" i="1"/>
  <c r="BL181" i="1"/>
  <c r="BM181" i="1"/>
  <c r="AB180" i="1"/>
  <c r="BN180" i="1" s="1"/>
  <c r="Q180" i="1"/>
  <c r="AK181" i="1"/>
  <c r="BG181" i="1" a="1"/>
  <c r="R180" i="1"/>
  <c r="AU181" i="1" l="1"/>
  <c r="BG181" i="1"/>
  <c r="V180" i="1"/>
  <c r="X180" i="1" s="1"/>
  <c r="Z180" i="1"/>
  <c r="Y180" i="1"/>
  <c r="AA180" i="1" s="1"/>
  <c r="W180" i="1"/>
  <c r="T180" i="1"/>
  <c r="AE180" i="1"/>
  <c r="BP181" i="1"/>
  <c r="AX180" i="1"/>
  <c r="AW180" i="1"/>
  <c r="S180" i="1"/>
  <c r="U180" i="1"/>
  <c r="AH180" i="1" l="1"/>
  <c r="AD180" i="1"/>
  <c r="AC180" i="1"/>
  <c r="AS180" i="1"/>
  <c r="AL180" i="1"/>
  <c r="AP180" i="1"/>
  <c r="AR180" i="1"/>
  <c r="AQ180" i="1"/>
  <c r="BK180" i="1"/>
  <c r="BG180" i="1" a="1"/>
  <c r="BS180" i="1"/>
  <c r="BC180" i="1"/>
  <c r="AO180" i="1"/>
  <c r="AN180" i="1"/>
  <c r="AZ180" i="1"/>
  <c r="BA180" i="1"/>
  <c r="AG180" i="1"/>
  <c r="AM180" i="1"/>
  <c r="AY180" i="1"/>
  <c r="AF180" i="1"/>
  <c r="BT180" i="1"/>
  <c r="BU180" i="1"/>
  <c r="AI180" i="1" l="1"/>
  <c r="AT180" i="1"/>
  <c r="AJ180" i="1"/>
  <c r="AV180" i="1"/>
  <c r="BQ180" i="1"/>
  <c r="BG180" i="1"/>
  <c r="BM180" i="1"/>
  <c r="BL180" i="1"/>
  <c r="AB179" i="1"/>
  <c r="BN179" i="1" s="1"/>
  <c r="Q179" i="1"/>
  <c r="AK180" i="1"/>
  <c r="BI180" i="1"/>
  <c r="BP180" i="1"/>
  <c r="R179" i="1"/>
  <c r="AU180" i="1" l="1"/>
  <c r="V179" i="1"/>
  <c r="X179" i="1" s="1"/>
  <c r="W179" i="1"/>
  <c r="Z179" i="1"/>
  <c r="Y179" i="1"/>
  <c r="AA179" i="1" s="1"/>
  <c r="T179" i="1"/>
  <c r="AE179" i="1"/>
  <c r="AX179" i="1"/>
  <c r="AW179" i="1"/>
  <c r="S179" i="1"/>
  <c r="U179" i="1"/>
  <c r="AH179" i="1" l="1"/>
  <c r="AD179" i="1"/>
  <c r="AC179" i="1"/>
  <c r="AS179" i="1"/>
  <c r="AL179" i="1"/>
  <c r="AM179" i="1"/>
  <c r="AR179" i="1"/>
  <c r="BT179" i="1"/>
  <c r="AF179" i="1"/>
  <c r="AQ179" i="1"/>
  <c r="BS179" i="1"/>
  <c r="AP179" i="1"/>
  <c r="AO179" i="1"/>
  <c r="BK179" i="1"/>
  <c r="AZ179" i="1"/>
  <c r="BC179" i="1"/>
  <c r="AG179" i="1"/>
  <c r="AN179" i="1"/>
  <c r="AY179" i="1"/>
  <c r="BA179" i="1"/>
  <c r="BU179" i="1"/>
  <c r="BG179" i="1" a="1"/>
  <c r="AJ179" i="1" l="1"/>
  <c r="AI179" i="1"/>
  <c r="AT179" i="1"/>
  <c r="BQ179" i="1"/>
  <c r="AV179" i="1"/>
  <c r="BG179" i="1"/>
  <c r="BL179" i="1"/>
  <c r="BM179" i="1"/>
  <c r="AB178" i="1"/>
  <c r="BN178" i="1" s="1"/>
  <c r="Q178" i="1"/>
  <c r="AK179" i="1"/>
  <c r="BP179" i="1"/>
  <c r="BI179" i="1"/>
  <c r="R178" i="1"/>
  <c r="AU179" i="1" l="1"/>
  <c r="V178" i="1"/>
  <c r="X178" i="1" s="1"/>
  <c r="Z178" i="1"/>
  <c r="Y178" i="1"/>
  <c r="AA178" i="1" s="1"/>
  <c r="W178" i="1"/>
  <c r="T178" i="1"/>
  <c r="AE178" i="1"/>
  <c r="AX178" i="1"/>
  <c r="AW178" i="1"/>
  <c r="S178" i="1"/>
  <c r="U178" i="1"/>
  <c r="AH178" i="1" l="1"/>
  <c r="AD178" i="1"/>
  <c r="AC178" i="1"/>
  <c r="AS178" i="1"/>
  <c r="AL178" i="1"/>
  <c r="AF178" i="1"/>
  <c r="AR178" i="1"/>
  <c r="AQ178" i="1"/>
  <c r="BT178" i="1"/>
  <c r="BS178" i="1"/>
  <c r="AP178" i="1"/>
  <c r="BK178" i="1"/>
  <c r="AO178" i="1"/>
  <c r="BC178" i="1"/>
  <c r="AN178" i="1"/>
  <c r="AZ178" i="1"/>
  <c r="BA178" i="1"/>
  <c r="AG178" i="1"/>
  <c r="AM178" i="1"/>
  <c r="AY178" i="1"/>
  <c r="BU178" i="1"/>
  <c r="BI178" i="1"/>
  <c r="AT178" i="1" l="1"/>
  <c r="AJ178" i="1"/>
  <c r="AI178" i="1"/>
  <c r="BQ178" i="1"/>
  <c r="AV178" i="1"/>
  <c r="BM178" i="1"/>
  <c r="BL178" i="1"/>
  <c r="AB177" i="1"/>
  <c r="BN177" i="1" s="1"/>
  <c r="Q177" i="1"/>
  <c r="AK178" i="1"/>
  <c r="BG178" i="1" a="1"/>
  <c r="R177" i="1"/>
  <c r="AU178" i="1" l="1"/>
  <c r="BG178" i="1"/>
  <c r="V177" i="1"/>
  <c r="X177" i="1" s="1"/>
  <c r="Z177" i="1"/>
  <c r="Y177" i="1"/>
  <c r="AA177" i="1" s="1"/>
  <c r="W177" i="1"/>
  <c r="T177" i="1"/>
  <c r="BP178" i="1"/>
  <c r="AQ177" i="1"/>
  <c r="AX177" i="1"/>
  <c r="AW177" i="1"/>
  <c r="U177" i="1"/>
  <c r="AS177" i="1" l="1"/>
  <c r="AD177" i="1"/>
  <c r="AC177" i="1"/>
  <c r="AL177" i="1"/>
  <c r="AM177" i="1"/>
  <c r="BT177" i="1"/>
  <c r="BS177" i="1"/>
  <c r="AZ177" i="1"/>
  <c r="AE177" i="1"/>
  <c r="AP177" i="1"/>
  <c r="AG177" i="1"/>
  <c r="AF177" i="1"/>
  <c r="AO177" i="1"/>
  <c r="AY177" i="1"/>
  <c r="BK177" i="1"/>
  <c r="BC177" i="1"/>
  <c r="BU177" i="1"/>
  <c r="BI177" i="1"/>
  <c r="AN177" i="1"/>
  <c r="AR177" i="1"/>
  <c r="BA177" i="1"/>
  <c r="AI177" i="1" l="1"/>
  <c r="AJ177" i="1"/>
  <c r="AH177" i="1"/>
  <c r="AT177" i="1"/>
  <c r="AV177" i="1"/>
  <c r="BQ177" i="1"/>
  <c r="BL177" i="1"/>
  <c r="BM177" i="1"/>
  <c r="AB176" i="1"/>
  <c r="BN176" i="1" s="1"/>
  <c r="Q176" i="1"/>
  <c r="AK177" i="1"/>
  <c r="BG177" i="1" a="1"/>
  <c r="R176" i="1"/>
  <c r="BG177" i="1" l="1"/>
  <c r="AU177" i="1"/>
  <c r="V176" i="1"/>
  <c r="X176" i="1" s="1"/>
  <c r="Z176" i="1"/>
  <c r="W176" i="1"/>
  <c r="Y176" i="1"/>
  <c r="AA176" i="1" s="1"/>
  <c r="T176" i="1"/>
  <c r="BP177" i="1"/>
  <c r="AE176" i="1"/>
  <c r="AW176" i="1"/>
  <c r="AX176" i="1"/>
  <c r="S176" i="1"/>
  <c r="U176" i="1"/>
  <c r="AH176" i="1" l="1"/>
  <c r="AD176" i="1"/>
  <c r="AC176" i="1"/>
  <c r="AS176" i="1"/>
  <c r="AL176" i="1"/>
  <c r="AF176" i="1"/>
  <c r="AR176" i="1"/>
  <c r="BT176" i="1"/>
  <c r="AQ176" i="1"/>
  <c r="AP176" i="1"/>
  <c r="BS176" i="1"/>
  <c r="AO176" i="1"/>
  <c r="BK176" i="1"/>
  <c r="BC176" i="1"/>
  <c r="AZ176" i="1"/>
  <c r="AN176" i="1"/>
  <c r="AG176" i="1"/>
  <c r="BU176" i="1"/>
  <c r="BA176" i="1"/>
  <c r="AY176" i="1"/>
  <c r="AM176" i="1"/>
  <c r="BG176" i="1" a="1"/>
  <c r="AT176" i="1" l="1"/>
  <c r="AJ176" i="1"/>
  <c r="AI176" i="1"/>
  <c r="BQ176" i="1"/>
  <c r="AV176" i="1"/>
  <c r="BG176" i="1"/>
  <c r="BL176" i="1"/>
  <c r="BM176" i="1"/>
  <c r="AB175" i="1"/>
  <c r="BN175" i="1" s="1"/>
  <c r="Q175" i="1"/>
  <c r="AK176" i="1"/>
  <c r="BI176" i="1"/>
  <c r="BP176" i="1"/>
  <c r="R175" i="1"/>
  <c r="AU176" i="1" l="1"/>
  <c r="V175" i="1"/>
  <c r="X175" i="1" s="1"/>
  <c r="W175" i="1"/>
  <c r="Z175" i="1"/>
  <c r="Y175" i="1"/>
  <c r="AA175" i="1" s="1"/>
  <c r="T175" i="1"/>
  <c r="AE175" i="1"/>
  <c r="AW175" i="1"/>
  <c r="AX175" i="1"/>
  <c r="S175" i="1"/>
  <c r="U175" i="1"/>
  <c r="AH175" i="1" l="1"/>
  <c r="AD175" i="1"/>
  <c r="AC175" i="1"/>
  <c r="AS175" i="1"/>
  <c r="AL175" i="1"/>
  <c r="AO175" i="1"/>
  <c r="AR175" i="1"/>
  <c r="AQ175" i="1"/>
  <c r="BC175" i="1"/>
  <c r="BS175" i="1"/>
  <c r="AN175" i="1"/>
  <c r="BK175" i="1"/>
  <c r="BA175" i="1"/>
  <c r="AZ175" i="1"/>
  <c r="AM175" i="1"/>
  <c r="AG175" i="1"/>
  <c r="AY175" i="1"/>
  <c r="BI175" i="1"/>
  <c r="BT175" i="1"/>
  <c r="AF175" i="1"/>
  <c r="AP175" i="1"/>
  <c r="BU175" i="1"/>
  <c r="AI175" i="1" l="1"/>
  <c r="AJ175" i="1"/>
  <c r="AT175" i="1"/>
  <c r="BQ175" i="1"/>
  <c r="AV175" i="1"/>
  <c r="BM175" i="1"/>
  <c r="BL175" i="1"/>
  <c r="AB174" i="1"/>
  <c r="BN174" i="1" s="1"/>
  <c r="Q174" i="1"/>
  <c r="AK175" i="1"/>
  <c r="BG175" i="1" a="1"/>
  <c r="R174" i="1"/>
  <c r="AU175" i="1" l="1"/>
  <c r="BG175" i="1"/>
  <c r="V174" i="1"/>
  <c r="X174" i="1" s="1"/>
  <c r="Z174" i="1"/>
  <c r="Y174" i="1"/>
  <c r="AA174" i="1" s="1"/>
  <c r="W174" i="1"/>
  <c r="T174" i="1"/>
  <c r="BP175" i="1"/>
  <c r="AE174" i="1"/>
  <c r="AX174" i="1"/>
  <c r="AW174" i="1"/>
  <c r="S174" i="1"/>
  <c r="U174" i="1"/>
  <c r="AH174" i="1" l="1"/>
  <c r="AD174" i="1"/>
  <c r="AC174" i="1"/>
  <c r="AS174" i="1"/>
  <c r="AL174" i="1"/>
  <c r="AF174" i="1"/>
  <c r="AR174" i="1"/>
  <c r="AQ174" i="1"/>
  <c r="BT174" i="1"/>
  <c r="BS174" i="1"/>
  <c r="AP174" i="1"/>
  <c r="BK174" i="1"/>
  <c r="AO174" i="1"/>
  <c r="BC174" i="1"/>
  <c r="AZ174" i="1"/>
  <c r="AN174" i="1"/>
  <c r="AG174" i="1"/>
  <c r="BA174" i="1"/>
  <c r="AY174" i="1"/>
  <c r="AM174" i="1"/>
  <c r="BU174" i="1"/>
  <c r="BG174" i="1" a="1"/>
  <c r="AT174" i="1" l="1"/>
  <c r="AJ174" i="1"/>
  <c r="AI174" i="1"/>
  <c r="BQ174" i="1"/>
  <c r="AV174" i="1"/>
  <c r="BG174" i="1"/>
  <c r="BM174" i="1"/>
  <c r="BL174" i="1"/>
  <c r="AB173" i="1"/>
  <c r="BN173" i="1" s="1"/>
  <c r="Q173" i="1"/>
  <c r="AK174" i="1"/>
  <c r="BI174" i="1"/>
  <c r="BP174" i="1"/>
  <c r="R173" i="1"/>
  <c r="AU174" i="1" l="1"/>
  <c r="V173" i="1"/>
  <c r="X173" i="1" s="1"/>
  <c r="Z173" i="1"/>
  <c r="W173" i="1"/>
  <c r="Y173" i="1"/>
  <c r="AA173" i="1" s="1"/>
  <c r="T173" i="1"/>
  <c r="AE173" i="1"/>
  <c r="AX173" i="1"/>
  <c r="AW173" i="1"/>
  <c r="S173" i="1"/>
  <c r="U173" i="1"/>
  <c r="AH173" i="1" l="1"/>
  <c r="AD173" i="1"/>
  <c r="AC173" i="1"/>
  <c r="AS173" i="1"/>
  <c r="AL173" i="1"/>
  <c r="AQ173" i="1"/>
  <c r="AR173" i="1"/>
  <c r="BI173" i="1"/>
  <c r="AP173" i="1"/>
  <c r="BS173" i="1"/>
  <c r="AO173" i="1"/>
  <c r="BK173" i="1"/>
  <c r="AN173" i="1"/>
  <c r="BC173" i="1"/>
  <c r="BA173" i="1"/>
  <c r="AZ173" i="1"/>
  <c r="AM173" i="1"/>
  <c r="AG173" i="1"/>
  <c r="AF173" i="1"/>
  <c r="AY173" i="1"/>
  <c r="BT173" i="1"/>
  <c r="BU173" i="1"/>
  <c r="BG173" i="1" a="1"/>
  <c r="AI173" i="1" l="1"/>
  <c r="AJ173" i="1"/>
  <c r="AT173" i="1"/>
  <c r="BQ173" i="1"/>
  <c r="AV173" i="1"/>
  <c r="BG173" i="1"/>
  <c r="BM173" i="1"/>
  <c r="BL173" i="1"/>
  <c r="AB172" i="1"/>
  <c r="BN172" i="1" s="1"/>
  <c r="Q172" i="1"/>
  <c r="AK173" i="1"/>
  <c r="BP173" i="1"/>
  <c r="R172" i="1"/>
  <c r="AU173" i="1" l="1"/>
  <c r="V172" i="1"/>
  <c r="X172" i="1" s="1"/>
  <c r="Y172" i="1"/>
  <c r="AA172" i="1" s="1"/>
  <c r="Z172" i="1"/>
  <c r="W172" i="1"/>
  <c r="T172" i="1"/>
  <c r="AE172" i="1"/>
  <c r="AX172" i="1"/>
  <c r="AW172" i="1"/>
  <c r="S172" i="1"/>
  <c r="U172" i="1"/>
  <c r="AH172" i="1" l="1"/>
  <c r="AD172" i="1"/>
  <c r="AC172" i="1"/>
  <c r="AS172" i="1"/>
  <c r="AL172" i="1"/>
  <c r="AF172" i="1"/>
  <c r="AR172" i="1"/>
  <c r="BT172" i="1"/>
  <c r="AQ172" i="1"/>
  <c r="AP172" i="1"/>
  <c r="BS172" i="1"/>
  <c r="AO172" i="1"/>
  <c r="BK172" i="1"/>
  <c r="AN172" i="1"/>
  <c r="BC172" i="1"/>
  <c r="AZ172" i="1"/>
  <c r="BA172" i="1"/>
  <c r="AG172" i="1"/>
  <c r="AM172" i="1"/>
  <c r="AY172" i="1"/>
  <c r="BU172" i="1"/>
  <c r="BI172" i="1"/>
  <c r="AT172" i="1" l="1"/>
  <c r="AJ172" i="1"/>
  <c r="AI172" i="1"/>
  <c r="BQ172" i="1"/>
  <c r="AV172" i="1"/>
  <c r="BM172" i="1"/>
  <c r="BL172" i="1"/>
  <c r="AB171" i="1"/>
  <c r="BN171" i="1" s="1"/>
  <c r="Q171" i="1"/>
  <c r="AK172" i="1"/>
  <c r="BG172" i="1" a="1"/>
  <c r="R171" i="1"/>
  <c r="AU172" i="1" l="1"/>
  <c r="BG172" i="1"/>
  <c r="V171" i="1"/>
  <c r="X171" i="1" s="1"/>
  <c r="Z171" i="1"/>
  <c r="W171" i="1"/>
  <c r="Y171" i="1"/>
  <c r="AA171" i="1" s="1"/>
  <c r="T171" i="1"/>
  <c r="AE171" i="1"/>
  <c r="BP172" i="1"/>
  <c r="AW171" i="1"/>
  <c r="AX171" i="1"/>
  <c r="S171" i="1"/>
  <c r="U171" i="1"/>
  <c r="AH171" i="1" l="1"/>
  <c r="AD171" i="1"/>
  <c r="AC171" i="1"/>
  <c r="AS171" i="1"/>
  <c r="AL171" i="1"/>
  <c r="BT171" i="1"/>
  <c r="AQ171" i="1"/>
  <c r="BS171" i="1"/>
  <c r="AP171" i="1"/>
  <c r="BK171" i="1"/>
  <c r="AO171" i="1"/>
  <c r="BC171" i="1"/>
  <c r="AN171" i="1"/>
  <c r="AZ171" i="1"/>
  <c r="BA171" i="1"/>
  <c r="AG171" i="1"/>
  <c r="AM171" i="1"/>
  <c r="AY171" i="1"/>
  <c r="AR171" i="1"/>
  <c r="AF171" i="1"/>
  <c r="BU171" i="1"/>
  <c r="BI171" i="1"/>
  <c r="AI171" i="1" l="1"/>
  <c r="AT171" i="1"/>
  <c r="AJ171" i="1"/>
  <c r="BQ171" i="1"/>
  <c r="AV171" i="1"/>
  <c r="BM171" i="1"/>
  <c r="BL171" i="1"/>
  <c r="AB170" i="1"/>
  <c r="BN170" i="1" s="1"/>
  <c r="Q170" i="1"/>
  <c r="AK171" i="1"/>
  <c r="BG171" i="1" a="1"/>
  <c r="R170" i="1"/>
  <c r="AU171" i="1" l="1"/>
  <c r="BG171" i="1"/>
  <c r="V170" i="1"/>
  <c r="X170" i="1" s="1"/>
  <c r="W170" i="1"/>
  <c r="Z170" i="1"/>
  <c r="Y170" i="1"/>
  <c r="AA170" i="1" s="1"/>
  <c r="T170" i="1"/>
  <c r="BP171" i="1"/>
  <c r="AE170" i="1"/>
  <c r="AW170" i="1"/>
  <c r="AX170" i="1"/>
  <c r="S170" i="1"/>
  <c r="U170" i="1"/>
  <c r="AH170" i="1" l="1"/>
  <c r="AD170" i="1"/>
  <c r="AC170" i="1"/>
  <c r="AS170" i="1"/>
  <c r="AL170" i="1"/>
  <c r="AQ170" i="1"/>
  <c r="AR170" i="1"/>
  <c r="BT170" i="1"/>
  <c r="BS170" i="1"/>
  <c r="AP170" i="1"/>
  <c r="AO170" i="1"/>
  <c r="BK170" i="1"/>
  <c r="AN170" i="1"/>
  <c r="BC170" i="1"/>
  <c r="BA170" i="1"/>
  <c r="AZ170" i="1"/>
  <c r="AM170" i="1"/>
  <c r="AG170" i="1"/>
  <c r="AY170" i="1"/>
  <c r="AF170" i="1"/>
  <c r="BU170" i="1"/>
  <c r="BG170" i="1" a="1"/>
  <c r="AI170" i="1" l="1"/>
  <c r="AJ170" i="1"/>
  <c r="AT170" i="1"/>
  <c r="BQ170" i="1"/>
  <c r="AV170" i="1"/>
  <c r="BG170" i="1"/>
  <c r="BL170" i="1"/>
  <c r="BM170" i="1"/>
  <c r="AB169" i="1"/>
  <c r="BN169" i="1" s="1"/>
  <c r="Q169" i="1"/>
  <c r="AK170" i="1"/>
  <c r="BP170" i="1"/>
  <c r="BI170" i="1"/>
  <c r="R169" i="1"/>
  <c r="AU170" i="1" l="1"/>
  <c r="V169" i="1"/>
  <c r="X169" i="1" s="1"/>
  <c r="W169" i="1"/>
  <c r="Z169" i="1"/>
  <c r="Y169" i="1"/>
  <c r="AA169" i="1" s="1"/>
  <c r="T169" i="1"/>
  <c r="AE169" i="1"/>
  <c r="AW169" i="1"/>
  <c r="AX169" i="1"/>
  <c r="S169" i="1"/>
  <c r="U169" i="1"/>
  <c r="AH169" i="1" l="1"/>
  <c r="AD169" i="1"/>
  <c r="AC169" i="1"/>
  <c r="AS169" i="1"/>
  <c r="AL169" i="1"/>
  <c r="BT169" i="1"/>
  <c r="AR169" i="1"/>
  <c r="AP169" i="1"/>
  <c r="AQ169" i="1"/>
  <c r="AO169" i="1"/>
  <c r="BS169" i="1"/>
  <c r="AN169" i="1"/>
  <c r="BK169" i="1"/>
  <c r="BA169" i="1"/>
  <c r="BC169" i="1"/>
  <c r="AM169" i="1"/>
  <c r="AY169" i="1"/>
  <c r="AZ169" i="1"/>
  <c r="AF169" i="1"/>
  <c r="AG169" i="1"/>
  <c r="BU169" i="1"/>
  <c r="BG169" i="1" a="1"/>
  <c r="AJ169" i="1" l="1"/>
  <c r="AI169" i="1"/>
  <c r="AT169" i="1"/>
  <c r="BQ169" i="1"/>
  <c r="AV169" i="1"/>
  <c r="BG169" i="1"/>
  <c r="BM169" i="1"/>
  <c r="BL169" i="1"/>
  <c r="AB168" i="1"/>
  <c r="BN168" i="1" s="1"/>
  <c r="Q168" i="1"/>
  <c r="AK169" i="1"/>
  <c r="BP169" i="1"/>
  <c r="BI169" i="1"/>
  <c r="R168" i="1"/>
  <c r="AU169" i="1" l="1"/>
  <c r="V168" i="1"/>
  <c r="X168" i="1" s="1"/>
  <c r="Z168" i="1"/>
  <c r="W168" i="1"/>
  <c r="Y168" i="1"/>
  <c r="AA168" i="1" s="1"/>
  <c r="T168" i="1"/>
  <c r="AE168" i="1"/>
  <c r="AX168" i="1"/>
  <c r="AW168" i="1"/>
  <c r="S168" i="1"/>
  <c r="U168" i="1"/>
  <c r="AH168" i="1" l="1"/>
  <c r="AD168" i="1"/>
  <c r="AC168" i="1"/>
  <c r="AS168" i="1"/>
  <c r="AL168" i="1"/>
  <c r="AY168" i="1"/>
  <c r="AR168" i="1"/>
  <c r="BT168" i="1"/>
  <c r="AF168" i="1"/>
  <c r="BS168" i="1"/>
  <c r="AQ168" i="1"/>
  <c r="BK168" i="1"/>
  <c r="AP168" i="1"/>
  <c r="BC168" i="1"/>
  <c r="AO168" i="1"/>
  <c r="AN168" i="1"/>
  <c r="AZ168" i="1"/>
  <c r="BA168" i="1"/>
  <c r="AG168" i="1"/>
  <c r="AM168" i="1"/>
  <c r="BU168" i="1"/>
  <c r="BI168" i="1"/>
  <c r="AT168" i="1" l="1"/>
  <c r="AJ168" i="1"/>
  <c r="AI168" i="1"/>
  <c r="BQ168" i="1"/>
  <c r="AV168" i="1"/>
  <c r="BM168" i="1"/>
  <c r="BL168" i="1"/>
  <c r="AB167" i="1"/>
  <c r="BN167" i="1" s="1"/>
  <c r="Q167" i="1"/>
  <c r="AK168" i="1"/>
  <c r="BG168" i="1" a="1"/>
  <c r="R167" i="1"/>
  <c r="AU168" i="1" l="1"/>
  <c r="BG168" i="1"/>
  <c r="V167" i="1"/>
  <c r="X167" i="1" s="1"/>
  <c r="Z167" i="1"/>
  <c r="W167" i="1"/>
  <c r="Y167" i="1"/>
  <c r="AA167" i="1" s="1"/>
  <c r="T167" i="1"/>
  <c r="AC167" i="1"/>
  <c r="BP168" i="1"/>
  <c r="AE167" i="1"/>
  <c r="S167" i="1"/>
  <c r="U167" i="1"/>
  <c r="AH167" i="1" l="1"/>
  <c r="AS167" i="1"/>
  <c r="AD167" i="1"/>
  <c r="AL167" i="1"/>
  <c r="AY167" i="1"/>
  <c r="BU167" i="1"/>
  <c r="BT167" i="1"/>
  <c r="AF167" i="1"/>
  <c r="AR167" i="1"/>
  <c r="AP167" i="1"/>
  <c r="AQ167" i="1"/>
  <c r="AO167" i="1"/>
  <c r="BS167" i="1"/>
  <c r="AN167" i="1"/>
  <c r="BK167" i="1"/>
  <c r="BA167" i="1"/>
  <c r="BC167" i="1"/>
  <c r="AM167" i="1"/>
  <c r="AZ167" i="1"/>
  <c r="AG167" i="1"/>
  <c r="BG167" i="1" a="1"/>
  <c r="AJ167" i="1" l="1"/>
  <c r="AT167" i="1"/>
  <c r="AI167" i="1"/>
  <c r="AV167" i="1"/>
  <c r="BQ167" i="1"/>
  <c r="BG167" i="1"/>
  <c r="BM167" i="1"/>
  <c r="BL167" i="1"/>
  <c r="AB166" i="1"/>
  <c r="BN166" i="1" s="1"/>
  <c r="Q166" i="1"/>
  <c r="AK167" i="1"/>
  <c r="BI167" i="1"/>
  <c r="BP167" i="1"/>
  <c r="R166" i="1"/>
  <c r="AW167" i="1"/>
  <c r="AX167" i="1"/>
  <c r="AU167" i="1" l="1"/>
  <c r="V166" i="1"/>
  <c r="X166" i="1" s="1"/>
  <c r="Y166" i="1"/>
  <c r="AA166" i="1" s="1"/>
  <c r="W166" i="1"/>
  <c r="Z166" i="1"/>
  <c r="T166" i="1"/>
  <c r="AE166" i="1"/>
  <c r="AX166" i="1"/>
  <c r="AW166" i="1"/>
  <c r="U166" i="1"/>
  <c r="S166" i="1"/>
  <c r="AH166" i="1" l="1"/>
  <c r="AD166" i="1"/>
  <c r="AC166" i="1"/>
  <c r="AS166" i="1"/>
  <c r="AL166" i="1"/>
  <c r="AM166" i="1"/>
  <c r="AR166" i="1"/>
  <c r="BT166" i="1"/>
  <c r="AF166" i="1"/>
  <c r="AQ166" i="1"/>
  <c r="BS166" i="1"/>
  <c r="AP166" i="1"/>
  <c r="AO166" i="1"/>
  <c r="BK166" i="1"/>
  <c r="AZ166" i="1"/>
  <c r="BU166" i="1"/>
  <c r="BC166" i="1"/>
  <c r="AG166" i="1"/>
  <c r="AN166" i="1"/>
  <c r="AY166" i="1"/>
  <c r="BA166" i="1"/>
  <c r="BG166" i="1" a="1"/>
  <c r="AJ166" i="1" l="1"/>
  <c r="AI166" i="1"/>
  <c r="AT166" i="1"/>
  <c r="BQ166" i="1"/>
  <c r="AV166" i="1"/>
  <c r="BG166" i="1"/>
  <c r="BM166" i="1"/>
  <c r="BL166" i="1"/>
  <c r="AB165" i="1"/>
  <c r="BN165" i="1" s="1"/>
  <c r="Q165" i="1"/>
  <c r="AK166" i="1"/>
  <c r="BP166" i="1"/>
  <c r="BI166" i="1"/>
  <c r="R165" i="1"/>
  <c r="AU166" i="1" l="1"/>
  <c r="V165" i="1"/>
  <c r="X165" i="1" s="1"/>
  <c r="Y165" i="1"/>
  <c r="AA165" i="1" s="1"/>
  <c r="Z165" i="1"/>
  <c r="W165" i="1"/>
  <c r="T165" i="1"/>
  <c r="AE165" i="1"/>
  <c r="AW165" i="1"/>
  <c r="AX165" i="1"/>
  <c r="S165" i="1"/>
  <c r="U165" i="1"/>
  <c r="AH165" i="1" l="1"/>
  <c r="AD165" i="1"/>
  <c r="AC165" i="1"/>
  <c r="AS165" i="1"/>
  <c r="AL165" i="1"/>
  <c r="AF165" i="1"/>
  <c r="AR165" i="1"/>
  <c r="BT165" i="1"/>
  <c r="BS165" i="1"/>
  <c r="BI165" i="1"/>
  <c r="AQ165" i="1"/>
  <c r="AP165" i="1"/>
  <c r="BC165" i="1"/>
  <c r="AO165" i="1"/>
  <c r="AN165" i="1"/>
  <c r="AM165" i="1"/>
  <c r="AZ165" i="1"/>
  <c r="BA165" i="1"/>
  <c r="AG165" i="1"/>
  <c r="AY165" i="1"/>
  <c r="BU165" i="1"/>
  <c r="BK165" i="1"/>
  <c r="BG165" i="1" a="1"/>
  <c r="AJ165" i="1" l="1"/>
  <c r="AT165" i="1"/>
  <c r="AI165" i="1"/>
  <c r="BQ165" i="1"/>
  <c r="AV165" i="1"/>
  <c r="BG165" i="1"/>
  <c r="BM165" i="1"/>
  <c r="BL165" i="1"/>
  <c r="AB164" i="1"/>
  <c r="BN164" i="1" s="1"/>
  <c r="Q164" i="1"/>
  <c r="AK165" i="1"/>
  <c r="BP165" i="1"/>
  <c r="R164" i="1"/>
  <c r="AU165" i="1" l="1"/>
  <c r="V164" i="1"/>
  <c r="X164" i="1" s="1"/>
  <c r="Y164" i="1"/>
  <c r="AA164" i="1" s="1"/>
  <c r="W164" i="1"/>
  <c r="Z164" i="1"/>
  <c r="T164" i="1"/>
  <c r="AE164" i="1"/>
  <c r="AW164" i="1"/>
  <c r="AX164" i="1"/>
  <c r="S164" i="1"/>
  <c r="U164" i="1"/>
  <c r="AH164" i="1" l="1"/>
  <c r="AD164" i="1"/>
  <c r="AC164" i="1"/>
  <c r="AS164" i="1"/>
  <c r="AL164" i="1"/>
  <c r="AG164" i="1"/>
  <c r="AR164" i="1"/>
  <c r="BT164" i="1"/>
  <c r="AF164" i="1"/>
  <c r="AQ164" i="1"/>
  <c r="AP164" i="1"/>
  <c r="BS164" i="1"/>
  <c r="AO164" i="1"/>
  <c r="BK164" i="1"/>
  <c r="AN164" i="1"/>
  <c r="AM164" i="1"/>
  <c r="BC164" i="1"/>
  <c r="BA164" i="1"/>
  <c r="AY164" i="1"/>
  <c r="AZ164" i="1"/>
  <c r="BU164" i="1"/>
  <c r="BI164" i="1"/>
  <c r="AT164" i="1" l="1"/>
  <c r="AI164" i="1"/>
  <c r="AJ164" i="1"/>
  <c r="BQ164" i="1"/>
  <c r="AV164" i="1"/>
  <c r="BM164" i="1"/>
  <c r="BL164" i="1"/>
  <c r="AB163" i="1"/>
  <c r="BN163" i="1" s="1"/>
  <c r="Q163" i="1"/>
  <c r="AK164" i="1"/>
  <c r="BG164" i="1" a="1"/>
  <c r="R163" i="1"/>
  <c r="AU164" i="1" l="1"/>
  <c r="BG164" i="1"/>
  <c r="V163" i="1"/>
  <c r="X163" i="1" s="1"/>
  <c r="W163" i="1"/>
  <c r="Z163" i="1"/>
  <c r="Y163" i="1"/>
  <c r="AA163" i="1" s="1"/>
  <c r="T163" i="1"/>
  <c r="BP164" i="1"/>
  <c r="AE163" i="1"/>
  <c r="AW163" i="1"/>
  <c r="AX163" i="1"/>
  <c r="S163" i="1"/>
  <c r="U163" i="1"/>
  <c r="AH163" i="1" l="1"/>
  <c r="AD163" i="1"/>
  <c r="AC163" i="1"/>
  <c r="AS163" i="1"/>
  <c r="AL163" i="1"/>
  <c r="AF163" i="1"/>
  <c r="AR163" i="1"/>
  <c r="BT163" i="1"/>
  <c r="AP163" i="1"/>
  <c r="AQ163" i="1"/>
  <c r="BK163" i="1"/>
  <c r="BS163" i="1"/>
  <c r="BC163" i="1"/>
  <c r="AO163" i="1"/>
  <c r="AN163" i="1"/>
  <c r="AZ163" i="1"/>
  <c r="BA163" i="1"/>
  <c r="AG163" i="1"/>
  <c r="AM163" i="1"/>
  <c r="AY163" i="1"/>
  <c r="BU163" i="1"/>
  <c r="BI163" i="1"/>
  <c r="AT163" i="1" l="1"/>
  <c r="AJ163" i="1"/>
  <c r="AI163" i="1"/>
  <c r="BQ163" i="1"/>
  <c r="AV163" i="1"/>
  <c r="BM163" i="1"/>
  <c r="BL163" i="1"/>
  <c r="AB162" i="1"/>
  <c r="BN162" i="1" s="1"/>
  <c r="Q162" i="1"/>
  <c r="AK163" i="1"/>
  <c r="BG163" i="1" a="1"/>
  <c r="R162" i="1"/>
  <c r="AU163" i="1" l="1"/>
  <c r="BG163" i="1"/>
  <c r="V162" i="1"/>
  <c r="X162" i="1" s="1"/>
  <c r="Z162" i="1"/>
  <c r="Y162" i="1"/>
  <c r="AA162" i="1" s="1"/>
  <c r="W162" i="1"/>
  <c r="T162" i="1"/>
  <c r="AE162" i="1"/>
  <c r="BP163" i="1"/>
  <c r="AX162" i="1"/>
  <c r="AW162" i="1"/>
  <c r="S162" i="1"/>
  <c r="U162" i="1"/>
  <c r="AH162" i="1" l="1"/>
  <c r="AD162" i="1"/>
  <c r="AC162" i="1"/>
  <c r="AS162" i="1"/>
  <c r="AL162" i="1"/>
  <c r="AQ162" i="1"/>
  <c r="AR162" i="1"/>
  <c r="AP162" i="1"/>
  <c r="BS162" i="1"/>
  <c r="BK162" i="1"/>
  <c r="AO162" i="1"/>
  <c r="BC162" i="1"/>
  <c r="AN162" i="1"/>
  <c r="AZ162" i="1"/>
  <c r="BA162" i="1"/>
  <c r="AG162" i="1"/>
  <c r="AM162" i="1"/>
  <c r="AF162" i="1"/>
  <c r="AY162" i="1"/>
  <c r="BT162" i="1"/>
  <c r="BU162" i="1"/>
  <c r="BG162" i="1" a="1"/>
  <c r="AI162" i="1" l="1"/>
  <c r="AT162" i="1"/>
  <c r="AJ162" i="1"/>
  <c r="BQ162" i="1"/>
  <c r="AV162" i="1"/>
  <c r="BG162" i="1"/>
  <c r="BM162" i="1"/>
  <c r="BL162" i="1"/>
  <c r="AB161" i="1"/>
  <c r="BN161" i="1" s="1"/>
  <c r="Q161" i="1"/>
  <c r="AK162" i="1"/>
  <c r="BI162" i="1"/>
  <c r="BP162" i="1"/>
  <c r="R161" i="1"/>
  <c r="AU162" i="1" l="1"/>
  <c r="V161" i="1"/>
  <c r="X161" i="1" s="1"/>
  <c r="Z161" i="1"/>
  <c r="Y161" i="1"/>
  <c r="AA161" i="1" s="1"/>
  <c r="W161" i="1"/>
  <c r="T161" i="1"/>
  <c r="AE161" i="1"/>
  <c r="AW161" i="1"/>
  <c r="AX161" i="1"/>
  <c r="S161" i="1"/>
  <c r="U161" i="1"/>
  <c r="AH161" i="1" l="1"/>
  <c r="AD161" i="1"/>
  <c r="AC161" i="1"/>
  <c r="AS161" i="1"/>
  <c r="AL161" i="1"/>
  <c r="AQ161" i="1"/>
  <c r="AR161" i="1"/>
  <c r="BT161" i="1"/>
  <c r="AP161" i="1"/>
  <c r="BI161" i="1"/>
  <c r="BS161" i="1"/>
  <c r="AO161" i="1"/>
  <c r="BK161" i="1"/>
  <c r="AN161" i="1"/>
  <c r="BC161" i="1"/>
  <c r="AZ161" i="1"/>
  <c r="BA161" i="1"/>
  <c r="AG161" i="1"/>
  <c r="AF161" i="1"/>
  <c r="AM161" i="1"/>
  <c r="AY161" i="1"/>
  <c r="BU161" i="1"/>
  <c r="BG161" i="1" a="1"/>
  <c r="AT161" i="1" l="1"/>
  <c r="AI161" i="1"/>
  <c r="AJ161" i="1"/>
  <c r="AV161" i="1"/>
  <c r="BQ161" i="1"/>
  <c r="BG161" i="1"/>
  <c r="BM161" i="1"/>
  <c r="BL161" i="1"/>
  <c r="AB160" i="1"/>
  <c r="BN160" i="1" s="1"/>
  <c r="Q160" i="1"/>
  <c r="AK161" i="1"/>
  <c r="BP161" i="1"/>
  <c r="R160" i="1"/>
  <c r="AU161" i="1" l="1"/>
  <c r="V160" i="1"/>
  <c r="X160" i="1" s="1"/>
  <c r="Y160" i="1"/>
  <c r="AA160" i="1" s="1"/>
  <c r="W160" i="1"/>
  <c r="Z160" i="1"/>
  <c r="T160" i="1"/>
  <c r="AE160" i="1"/>
  <c r="AW160" i="1"/>
  <c r="AX160" i="1"/>
  <c r="S160" i="1"/>
  <c r="U160" i="1"/>
  <c r="AH160" i="1" l="1"/>
  <c r="AD160" i="1"/>
  <c r="AC160" i="1"/>
  <c r="AS160" i="1"/>
  <c r="AL160" i="1"/>
  <c r="AG160" i="1"/>
  <c r="AR160" i="1"/>
  <c r="BT160" i="1"/>
  <c r="BC160" i="1"/>
  <c r="AQ160" i="1"/>
  <c r="AN160" i="1"/>
  <c r="BS160" i="1"/>
  <c r="BA160" i="1"/>
  <c r="AP160" i="1"/>
  <c r="AM160" i="1"/>
  <c r="BK160" i="1"/>
  <c r="AY160" i="1"/>
  <c r="BI160" i="1"/>
  <c r="AO160" i="1"/>
  <c r="AF160" i="1"/>
  <c r="AZ160" i="1"/>
  <c r="BU160" i="1"/>
  <c r="BG160" i="1" a="1"/>
  <c r="AI160" i="1" l="1"/>
  <c r="AT160" i="1"/>
  <c r="AJ160" i="1"/>
  <c r="BQ160" i="1"/>
  <c r="AV160" i="1"/>
  <c r="BG160" i="1"/>
  <c r="BM160" i="1"/>
  <c r="BL160" i="1"/>
  <c r="AB159" i="1"/>
  <c r="BN159" i="1" s="1"/>
  <c r="Q159" i="1"/>
  <c r="AK160" i="1"/>
  <c r="BP160" i="1"/>
  <c r="R159" i="1"/>
  <c r="AU160" i="1" l="1"/>
  <c r="V159" i="1"/>
  <c r="X159" i="1" s="1"/>
  <c r="W159" i="1"/>
  <c r="Z159" i="1"/>
  <c r="Y159" i="1"/>
  <c r="AA159" i="1" s="1"/>
  <c r="T159" i="1"/>
  <c r="AE159" i="1"/>
  <c r="AX159" i="1"/>
  <c r="AW159" i="1"/>
  <c r="S159" i="1"/>
  <c r="U159" i="1"/>
  <c r="AH159" i="1" l="1"/>
  <c r="AD159" i="1"/>
  <c r="AC159" i="1"/>
  <c r="AS159" i="1"/>
  <c r="AL159" i="1"/>
  <c r="AQ159" i="1"/>
  <c r="AR159" i="1"/>
  <c r="BI159" i="1"/>
  <c r="AO159" i="1"/>
  <c r="AF159" i="1"/>
  <c r="BC159" i="1"/>
  <c r="BS159" i="1"/>
  <c r="BA159" i="1"/>
  <c r="AP159" i="1"/>
  <c r="AM159" i="1"/>
  <c r="BK159" i="1"/>
  <c r="AZ159" i="1"/>
  <c r="AN159" i="1"/>
  <c r="AG159" i="1"/>
  <c r="AY159" i="1"/>
  <c r="BT159" i="1"/>
  <c r="BU159" i="1"/>
  <c r="BG159" i="1" a="1"/>
  <c r="AJ159" i="1" l="1"/>
  <c r="AT159" i="1"/>
  <c r="AI159" i="1"/>
  <c r="BQ159" i="1"/>
  <c r="AV159" i="1"/>
  <c r="BG159" i="1"/>
  <c r="BL159" i="1"/>
  <c r="BM159" i="1"/>
  <c r="AB158" i="1"/>
  <c r="BN158" i="1" s="1"/>
  <c r="Q158" i="1"/>
  <c r="AK159" i="1"/>
  <c r="BP159" i="1"/>
  <c r="R158" i="1"/>
  <c r="AU159" i="1" l="1"/>
  <c r="V158" i="1"/>
  <c r="X158" i="1" s="1"/>
  <c r="Z158" i="1"/>
  <c r="Y158" i="1"/>
  <c r="AA158" i="1" s="1"/>
  <c r="W158" i="1"/>
  <c r="T158" i="1"/>
  <c r="AQ158" i="1"/>
  <c r="AX158" i="1"/>
  <c r="AW158" i="1"/>
  <c r="U158" i="1"/>
  <c r="AS158" i="1" l="1"/>
  <c r="AD158" i="1"/>
  <c r="AC158" i="1"/>
  <c r="AL158" i="1"/>
  <c r="AG158" i="1"/>
  <c r="BT158" i="1"/>
  <c r="BK158" i="1"/>
  <c r="AY158" i="1"/>
  <c r="AZ158" i="1"/>
  <c r="AO158" i="1"/>
  <c r="AF158" i="1"/>
  <c r="BI158" i="1"/>
  <c r="BC158" i="1"/>
  <c r="BS158" i="1"/>
  <c r="BU158" i="1"/>
  <c r="AM158" i="1"/>
  <c r="AN158" i="1"/>
  <c r="AP158" i="1"/>
  <c r="BA158" i="1"/>
  <c r="AR158" i="1"/>
  <c r="AE158" i="1"/>
  <c r="AH158" i="1" l="1"/>
  <c r="AT158" i="1"/>
  <c r="AI158" i="1"/>
  <c r="AJ158" i="1"/>
  <c r="AV158" i="1"/>
  <c r="BQ158" i="1"/>
  <c r="BM158" i="1"/>
  <c r="BL158" i="1"/>
  <c r="AB157" i="1"/>
  <c r="BN157" i="1" s="1"/>
  <c r="Q157" i="1"/>
  <c r="AK158" i="1"/>
  <c r="BG158" i="1" a="1"/>
  <c r="R157" i="1"/>
  <c r="BG158" i="1" l="1"/>
  <c r="AU158" i="1"/>
  <c r="V157" i="1"/>
  <c r="X157" i="1" s="1"/>
  <c r="Z157" i="1"/>
  <c r="Y157" i="1"/>
  <c r="AA157" i="1" s="1"/>
  <c r="W157" i="1"/>
  <c r="T157" i="1"/>
  <c r="BP158" i="1"/>
  <c r="AE157" i="1"/>
  <c r="AW157" i="1"/>
  <c r="AX157" i="1"/>
  <c r="S157" i="1"/>
  <c r="U157" i="1"/>
  <c r="AH157" i="1" l="1"/>
  <c r="AD157" i="1"/>
  <c r="AC157" i="1"/>
  <c r="AS157" i="1"/>
  <c r="AL157" i="1"/>
  <c r="AQ157" i="1"/>
  <c r="AR157" i="1"/>
  <c r="BT157" i="1"/>
  <c r="BS157" i="1"/>
  <c r="AP157" i="1"/>
  <c r="BK157" i="1"/>
  <c r="AO157" i="1"/>
  <c r="AN157" i="1"/>
  <c r="BC157" i="1"/>
  <c r="AZ157" i="1"/>
  <c r="BA157" i="1"/>
  <c r="AG157" i="1"/>
  <c r="AM157" i="1"/>
  <c r="AY157" i="1"/>
  <c r="AF157" i="1"/>
  <c r="BU157" i="1"/>
  <c r="BG157" i="1" a="1"/>
  <c r="AI157" i="1" l="1"/>
  <c r="AT157" i="1"/>
  <c r="AJ157" i="1"/>
  <c r="BQ157" i="1"/>
  <c r="AV157" i="1"/>
  <c r="BG157" i="1"/>
  <c r="BM157" i="1"/>
  <c r="BL157" i="1"/>
  <c r="AB156" i="1"/>
  <c r="BN156" i="1" s="1"/>
  <c r="Q156" i="1"/>
  <c r="AK157" i="1"/>
  <c r="BI157" i="1"/>
  <c r="BP157" i="1"/>
  <c r="R156" i="1"/>
  <c r="AU157" i="1" l="1"/>
  <c r="V156" i="1"/>
  <c r="X156" i="1" s="1"/>
  <c r="Z156" i="1"/>
  <c r="Y156" i="1"/>
  <c r="AA156" i="1" s="1"/>
  <c r="W156" i="1"/>
  <c r="T156" i="1"/>
  <c r="AE156" i="1"/>
  <c r="AX156" i="1"/>
  <c r="AW156" i="1"/>
  <c r="S156" i="1"/>
  <c r="U156" i="1"/>
  <c r="AH156" i="1" l="1"/>
  <c r="AD156" i="1"/>
  <c r="AC156" i="1"/>
  <c r="AS156" i="1"/>
  <c r="AL156" i="1"/>
  <c r="AZ156" i="1"/>
  <c r="AR156" i="1"/>
  <c r="BS156" i="1"/>
  <c r="AG156" i="1"/>
  <c r="BK156" i="1"/>
  <c r="AY156" i="1"/>
  <c r="BA156" i="1"/>
  <c r="AF156" i="1"/>
  <c r="BT156" i="1"/>
  <c r="AO156" i="1"/>
  <c r="AQ156" i="1"/>
  <c r="AN156" i="1"/>
  <c r="AP156" i="1"/>
  <c r="AM156" i="1"/>
  <c r="BC156" i="1"/>
  <c r="BU156" i="1"/>
  <c r="BG156" i="1" a="1"/>
  <c r="AT156" i="1" l="1"/>
  <c r="AI156" i="1"/>
  <c r="AJ156" i="1"/>
  <c r="BQ156" i="1"/>
  <c r="AV156" i="1"/>
  <c r="BG156" i="1"/>
  <c r="BM156" i="1"/>
  <c r="BL156" i="1"/>
  <c r="AB155" i="1"/>
  <c r="BN155" i="1" s="1"/>
  <c r="Q155" i="1"/>
  <c r="AK156" i="1"/>
  <c r="BI156" i="1"/>
  <c r="BP156" i="1"/>
  <c r="R155" i="1"/>
  <c r="AU156" i="1" l="1"/>
  <c r="V155" i="1"/>
  <c r="X155" i="1" s="1"/>
  <c r="Z155" i="1"/>
  <c r="Y155" i="1"/>
  <c r="AA155" i="1" s="1"/>
  <c r="W155" i="1"/>
  <c r="T155" i="1"/>
  <c r="AE155" i="1"/>
  <c r="AX155" i="1"/>
  <c r="AW155" i="1"/>
  <c r="S155" i="1"/>
  <c r="U155" i="1"/>
  <c r="AH155" i="1" l="1"/>
  <c r="AD155" i="1"/>
  <c r="AC155" i="1"/>
  <c r="AS155" i="1"/>
  <c r="AL155" i="1"/>
  <c r="AN155" i="1"/>
  <c r="AR155" i="1"/>
  <c r="BI155" i="1"/>
  <c r="BS155" i="1"/>
  <c r="BA155" i="1"/>
  <c r="BT155" i="1"/>
  <c r="AM155" i="1"/>
  <c r="AQ155" i="1"/>
  <c r="AZ155" i="1"/>
  <c r="AP155" i="1"/>
  <c r="AG155" i="1"/>
  <c r="BK155" i="1"/>
  <c r="AF155" i="1"/>
  <c r="AO155" i="1"/>
  <c r="AY155" i="1"/>
  <c r="BC155" i="1"/>
  <c r="BU155" i="1"/>
  <c r="BG155" i="1" a="1"/>
  <c r="AI155" i="1" l="1"/>
  <c r="AJ155" i="1"/>
  <c r="AT155" i="1"/>
  <c r="BQ155" i="1"/>
  <c r="AV155" i="1"/>
  <c r="BG155" i="1"/>
  <c r="BM155" i="1"/>
  <c r="BL155" i="1"/>
  <c r="AB154" i="1"/>
  <c r="BN154" i="1" s="1"/>
  <c r="Q154" i="1"/>
  <c r="AK155" i="1"/>
  <c r="BP155" i="1"/>
  <c r="R154" i="1"/>
  <c r="AU155" i="1" l="1"/>
  <c r="V154" i="1"/>
  <c r="X154" i="1" s="1"/>
  <c r="W154" i="1"/>
  <c r="Z154" i="1"/>
  <c r="Y154" i="1"/>
  <c r="AA154" i="1" s="1"/>
  <c r="T154" i="1"/>
  <c r="AE154" i="1"/>
  <c r="AW154" i="1"/>
  <c r="AX154" i="1"/>
  <c r="S154" i="1"/>
  <c r="U154" i="1"/>
  <c r="AH154" i="1" l="1"/>
  <c r="AD154" i="1"/>
  <c r="AC154" i="1"/>
  <c r="AS154" i="1"/>
  <c r="AL154" i="1"/>
  <c r="BA154" i="1"/>
  <c r="AR154" i="1"/>
  <c r="BT154" i="1"/>
  <c r="AY154" i="1"/>
  <c r="BI154" i="1"/>
  <c r="AQ154" i="1"/>
  <c r="AF154" i="1"/>
  <c r="BS154" i="1"/>
  <c r="BC154" i="1"/>
  <c r="AP154" i="1"/>
  <c r="AM154" i="1"/>
  <c r="BK154" i="1"/>
  <c r="AZ154" i="1"/>
  <c r="AO154" i="1"/>
  <c r="AG154" i="1"/>
  <c r="AN154" i="1"/>
  <c r="BU154" i="1"/>
  <c r="BG154" i="1" a="1"/>
  <c r="AJ154" i="1" l="1"/>
  <c r="AT154" i="1"/>
  <c r="AI154" i="1"/>
  <c r="BQ154" i="1"/>
  <c r="AV154" i="1"/>
  <c r="BG154" i="1"/>
  <c r="BM154" i="1"/>
  <c r="BL154" i="1"/>
  <c r="AB153" i="1"/>
  <c r="BN153" i="1" s="1"/>
  <c r="Q153" i="1"/>
  <c r="AK154" i="1"/>
  <c r="BP154" i="1"/>
  <c r="R153" i="1"/>
  <c r="AU154" i="1" l="1"/>
  <c r="V153" i="1"/>
  <c r="X153" i="1" s="1"/>
  <c r="Z153" i="1"/>
  <c r="W153" i="1"/>
  <c r="Y153" i="1"/>
  <c r="AA153" i="1" s="1"/>
  <c r="T153" i="1"/>
  <c r="AE153" i="1"/>
  <c r="AW153" i="1"/>
  <c r="AX153" i="1"/>
  <c r="S153" i="1"/>
  <c r="U153" i="1"/>
  <c r="AH153" i="1" l="1"/>
  <c r="AD153" i="1"/>
  <c r="AC153" i="1"/>
  <c r="AS153" i="1"/>
  <c r="AL153" i="1"/>
  <c r="BT153" i="1"/>
  <c r="AR153" i="1"/>
  <c r="AP153" i="1"/>
  <c r="AQ153" i="1"/>
  <c r="BK153" i="1"/>
  <c r="BS153" i="1"/>
  <c r="BC153" i="1"/>
  <c r="AO153" i="1"/>
  <c r="AN153" i="1"/>
  <c r="AY153" i="1"/>
  <c r="BA153" i="1"/>
  <c r="AF153" i="1"/>
  <c r="AM153" i="1"/>
  <c r="AG153" i="1"/>
  <c r="AZ153" i="1"/>
  <c r="BU153" i="1"/>
  <c r="BG153" i="1" a="1"/>
  <c r="AJ153" i="1" l="1"/>
  <c r="AT153" i="1"/>
  <c r="AI153" i="1"/>
  <c r="BQ153" i="1"/>
  <c r="AV153" i="1"/>
  <c r="BG153" i="1"/>
  <c r="BM153" i="1"/>
  <c r="BL153" i="1"/>
  <c r="AB152" i="1"/>
  <c r="BN152" i="1" s="1"/>
  <c r="Q152" i="1"/>
  <c r="AK153" i="1"/>
  <c r="BI153" i="1"/>
  <c r="BP153" i="1"/>
  <c r="R152" i="1"/>
  <c r="AU153" i="1" l="1"/>
  <c r="V152" i="1"/>
  <c r="X152" i="1" s="1"/>
  <c r="Y152" i="1"/>
  <c r="AA152" i="1" s="1"/>
  <c r="Z152" i="1"/>
  <c r="W152" i="1"/>
  <c r="T152" i="1"/>
  <c r="AE152" i="1"/>
  <c r="AX152" i="1"/>
  <c r="AW152" i="1"/>
  <c r="S152" i="1"/>
  <c r="U152" i="1"/>
  <c r="AH152" i="1" l="1"/>
  <c r="AD152" i="1"/>
  <c r="AC152" i="1"/>
  <c r="AS152" i="1"/>
  <c r="AL152" i="1"/>
  <c r="AM152" i="1"/>
  <c r="AR152" i="1"/>
  <c r="BI152" i="1"/>
  <c r="BS152" i="1"/>
  <c r="AN152" i="1"/>
  <c r="AP152" i="1"/>
  <c r="BT152" i="1"/>
  <c r="BC152" i="1"/>
  <c r="AF152" i="1"/>
  <c r="AQ152" i="1"/>
  <c r="AZ152" i="1"/>
  <c r="BK152" i="1"/>
  <c r="AG152" i="1"/>
  <c r="BU152" i="1"/>
  <c r="AO152" i="1"/>
  <c r="AY152" i="1"/>
  <c r="BA152" i="1"/>
  <c r="BG152" i="1" a="1"/>
  <c r="AJ152" i="1" l="1"/>
  <c r="AI152" i="1"/>
  <c r="AT152" i="1"/>
  <c r="AV152" i="1"/>
  <c r="BQ152" i="1"/>
  <c r="BG152" i="1"/>
  <c r="BM152" i="1"/>
  <c r="BL152" i="1"/>
  <c r="AB151" i="1"/>
  <c r="BN151" i="1" s="1"/>
  <c r="Q151" i="1"/>
  <c r="AK152" i="1"/>
  <c r="BP152" i="1"/>
  <c r="R151" i="1"/>
  <c r="AU152" i="1" l="1"/>
  <c r="V151" i="1"/>
  <c r="X151" i="1" s="1"/>
  <c r="Y151" i="1"/>
  <c r="AA151" i="1" s="1"/>
  <c r="W151" i="1"/>
  <c r="Z151" i="1"/>
  <c r="T151" i="1"/>
  <c r="AE151" i="1"/>
  <c r="AW151" i="1"/>
  <c r="AX151" i="1"/>
  <c r="S151" i="1"/>
  <c r="U151" i="1"/>
  <c r="AH151" i="1" l="1"/>
  <c r="AD151" i="1"/>
  <c r="AC151" i="1"/>
  <c r="AS151" i="1"/>
  <c r="AL151" i="1"/>
  <c r="AY151" i="1"/>
  <c r="AR151" i="1"/>
  <c r="AO151" i="1"/>
  <c r="AF151" i="1"/>
  <c r="BT151" i="1"/>
  <c r="AP151" i="1"/>
  <c r="AQ151" i="1"/>
  <c r="BC151" i="1"/>
  <c r="BS151" i="1"/>
  <c r="BA151" i="1"/>
  <c r="BU151" i="1"/>
  <c r="BK151" i="1"/>
  <c r="AZ151" i="1"/>
  <c r="AN151" i="1"/>
  <c r="AG151" i="1"/>
  <c r="AM151" i="1"/>
  <c r="BI151" i="1"/>
  <c r="AT151" i="1" l="1"/>
  <c r="AJ151" i="1"/>
  <c r="AI151" i="1"/>
  <c r="AV151" i="1"/>
  <c r="BQ151" i="1"/>
  <c r="BM151" i="1"/>
  <c r="BL151" i="1"/>
  <c r="AB150" i="1"/>
  <c r="BN150" i="1" s="1"/>
  <c r="Q150" i="1"/>
  <c r="AK151" i="1"/>
  <c r="BG151" i="1" a="1"/>
  <c r="R150" i="1"/>
  <c r="AU151" i="1" l="1"/>
  <c r="BG151" i="1"/>
  <c r="V150" i="1"/>
  <c r="X150" i="1" s="1"/>
  <c r="Z150" i="1"/>
  <c r="W150" i="1"/>
  <c r="Y150" i="1"/>
  <c r="AA150" i="1" s="1"/>
  <c r="T150" i="1"/>
  <c r="BP151" i="1"/>
  <c r="AE150" i="1"/>
  <c r="AX150" i="1"/>
  <c r="AW150" i="1"/>
  <c r="S150" i="1"/>
  <c r="U150" i="1"/>
  <c r="AH150" i="1" l="1"/>
  <c r="AD150" i="1"/>
  <c r="AC150" i="1"/>
  <c r="AS150" i="1"/>
  <c r="AL150" i="1"/>
  <c r="BT150" i="1"/>
  <c r="AR150" i="1"/>
  <c r="AP150" i="1"/>
  <c r="AQ150" i="1"/>
  <c r="BK150" i="1"/>
  <c r="BS150" i="1"/>
  <c r="BC150" i="1"/>
  <c r="AO150" i="1"/>
  <c r="BA150" i="1"/>
  <c r="AN150" i="1"/>
  <c r="AM150" i="1"/>
  <c r="AZ150" i="1"/>
  <c r="AY150" i="1"/>
  <c r="AG150" i="1"/>
  <c r="AF150" i="1"/>
  <c r="BU150" i="1"/>
  <c r="BG150" i="1" a="1"/>
  <c r="AI150" i="1" l="1"/>
  <c r="AJ150" i="1"/>
  <c r="AT150" i="1"/>
  <c r="BQ150" i="1"/>
  <c r="AV150" i="1"/>
  <c r="BG150" i="1"/>
  <c r="BL150" i="1"/>
  <c r="BM150" i="1"/>
  <c r="AB149" i="1"/>
  <c r="BN149" i="1" s="1"/>
  <c r="Q149" i="1"/>
  <c r="AK150" i="1"/>
  <c r="BP150" i="1"/>
  <c r="BI150" i="1"/>
  <c r="R149" i="1"/>
  <c r="AU150" i="1" l="1"/>
  <c r="V149" i="1"/>
  <c r="X149" i="1" s="1"/>
  <c r="Z149" i="1"/>
  <c r="Y149" i="1"/>
  <c r="AA149" i="1" s="1"/>
  <c r="W149" i="1"/>
  <c r="T149" i="1"/>
  <c r="AE149" i="1"/>
  <c r="AW149" i="1"/>
  <c r="AX149" i="1"/>
  <c r="S149" i="1"/>
  <c r="U149" i="1"/>
  <c r="AH149" i="1" l="1"/>
  <c r="AD149" i="1"/>
  <c r="AC149" i="1"/>
  <c r="AS149" i="1"/>
  <c r="AL149" i="1"/>
  <c r="AY149" i="1"/>
  <c r="AR149" i="1"/>
  <c r="BT149" i="1"/>
  <c r="AF149" i="1"/>
  <c r="AQ149" i="1"/>
  <c r="AP149" i="1"/>
  <c r="BS149" i="1"/>
  <c r="AO149" i="1"/>
  <c r="BK149" i="1"/>
  <c r="BC149" i="1"/>
  <c r="AN149" i="1"/>
  <c r="BA149" i="1"/>
  <c r="AZ149" i="1"/>
  <c r="AM149" i="1"/>
  <c r="AG149" i="1"/>
  <c r="BU149" i="1"/>
  <c r="BG149" i="1" a="1"/>
  <c r="AJ149" i="1" l="1"/>
  <c r="AT149" i="1"/>
  <c r="AI149" i="1"/>
  <c r="BQ149" i="1"/>
  <c r="AV149" i="1"/>
  <c r="BG149" i="1"/>
  <c r="BM149" i="1"/>
  <c r="BL149" i="1"/>
  <c r="AB148" i="1"/>
  <c r="BN148" i="1" s="1"/>
  <c r="Q148" i="1"/>
  <c r="AK149" i="1"/>
  <c r="BI149" i="1"/>
  <c r="BP149" i="1"/>
  <c r="R148" i="1"/>
  <c r="AU149" i="1" l="1"/>
  <c r="V148" i="1"/>
  <c r="X148" i="1" s="1"/>
  <c r="Y148" i="1"/>
  <c r="AA148" i="1" s="1"/>
  <c r="Z148" i="1"/>
  <c r="W148" i="1"/>
  <c r="T148" i="1"/>
  <c r="AE148" i="1"/>
  <c r="AW148" i="1"/>
  <c r="AX148" i="1"/>
  <c r="S148" i="1"/>
  <c r="U148" i="1"/>
  <c r="AH148" i="1" l="1"/>
  <c r="AD148" i="1"/>
  <c r="AC148" i="1"/>
  <c r="AS148" i="1"/>
  <c r="AL148" i="1"/>
  <c r="AF148" i="1"/>
  <c r="AR148" i="1"/>
  <c r="BT148" i="1"/>
  <c r="AP148" i="1"/>
  <c r="AQ148" i="1"/>
  <c r="BC148" i="1"/>
  <c r="BS148" i="1"/>
  <c r="BA148" i="1"/>
  <c r="BK148" i="1"/>
  <c r="AZ148" i="1"/>
  <c r="AO148" i="1"/>
  <c r="AG148" i="1"/>
  <c r="AN148" i="1"/>
  <c r="AY148" i="1"/>
  <c r="AM148" i="1"/>
  <c r="BU148" i="1"/>
  <c r="BI148" i="1"/>
  <c r="AT148" i="1" l="1"/>
  <c r="AJ148" i="1"/>
  <c r="AI148" i="1"/>
  <c r="BQ148" i="1"/>
  <c r="AV148" i="1"/>
  <c r="BM148" i="1"/>
  <c r="BL148" i="1"/>
  <c r="AB147" i="1"/>
  <c r="BN147" i="1" s="1"/>
  <c r="X147" i="1"/>
  <c r="AK148" i="1"/>
  <c r="BG148" i="1" a="1"/>
  <c r="AW147" i="1"/>
  <c r="AU148" i="1" l="1"/>
  <c r="BG148" i="1"/>
  <c r="AC147" i="1"/>
  <c r="AD147" i="1"/>
  <c r="Q147" i="1"/>
  <c r="BP148" i="1"/>
  <c r="R147" i="1"/>
  <c r="V147" i="1" l="1"/>
  <c r="Z147" i="1"/>
  <c r="W147" i="1"/>
  <c r="Y147" i="1"/>
  <c r="AA147" i="1" s="1"/>
  <c r="T147" i="1"/>
  <c r="AE147" i="1"/>
  <c r="AX147" i="1"/>
  <c r="U147" i="1"/>
  <c r="S147" i="1"/>
  <c r="AH147" i="1" l="1"/>
  <c r="AS147" i="1"/>
  <c r="AL147" i="1"/>
  <c r="AO147" i="1"/>
  <c r="AR147" i="1"/>
  <c r="AQ147" i="1"/>
  <c r="BC147" i="1"/>
  <c r="BS147" i="1"/>
  <c r="BA147" i="1"/>
  <c r="BK147" i="1"/>
  <c r="AM147" i="1"/>
  <c r="AN147" i="1"/>
  <c r="AZ147" i="1"/>
  <c r="AF147" i="1"/>
  <c r="AG147" i="1"/>
  <c r="BT147" i="1"/>
  <c r="AY147" i="1"/>
  <c r="AP147" i="1"/>
  <c r="BU147" i="1"/>
  <c r="BI147" i="1"/>
  <c r="AJ147" i="1" l="1"/>
  <c r="AI147" i="1"/>
  <c r="AT147" i="1"/>
  <c r="BQ147" i="1"/>
  <c r="AV147" i="1"/>
  <c r="BL147" i="1"/>
  <c r="BM147" i="1"/>
  <c r="AB146" i="1"/>
  <c r="BN146" i="1" s="1"/>
  <c r="Q146" i="1"/>
  <c r="AK147" i="1"/>
  <c r="BG147" i="1" a="1"/>
  <c r="R146" i="1"/>
  <c r="AU147" i="1" l="1"/>
  <c r="BG147" i="1"/>
  <c r="V146" i="1"/>
  <c r="X146" i="1" s="1"/>
  <c r="W146" i="1"/>
  <c r="Z146" i="1"/>
  <c r="Y146" i="1"/>
  <c r="AA146" i="1" s="1"/>
  <c r="T146" i="1"/>
  <c r="AE146" i="1"/>
  <c r="BP147" i="1"/>
  <c r="AX146" i="1"/>
  <c r="AW146" i="1"/>
  <c r="S146" i="1"/>
  <c r="U146" i="1"/>
  <c r="AH146" i="1" l="1"/>
  <c r="AD146" i="1"/>
  <c r="AC146" i="1"/>
  <c r="AS146" i="1"/>
  <c r="AL146" i="1"/>
  <c r="AO146" i="1"/>
  <c r="AR146" i="1"/>
  <c r="BT146" i="1"/>
  <c r="BC146" i="1"/>
  <c r="AP146" i="1"/>
  <c r="BA146" i="1"/>
  <c r="BK146" i="1"/>
  <c r="AZ146" i="1"/>
  <c r="AN146" i="1"/>
  <c r="AG146" i="1"/>
  <c r="AM146" i="1"/>
  <c r="AY146" i="1"/>
  <c r="BI146" i="1"/>
  <c r="AQ146" i="1"/>
  <c r="AF146" i="1"/>
  <c r="BS146" i="1"/>
  <c r="BU146" i="1"/>
  <c r="AI146" i="1" l="1"/>
  <c r="AT146" i="1"/>
  <c r="AJ146" i="1"/>
  <c r="BQ146" i="1"/>
  <c r="AV146" i="1"/>
  <c r="BM146" i="1"/>
  <c r="BL146" i="1"/>
  <c r="AB145" i="1"/>
  <c r="BN145" i="1" s="1"/>
  <c r="Q145" i="1"/>
  <c r="AK146" i="1"/>
  <c r="BG146" i="1" a="1"/>
  <c r="R145" i="1"/>
  <c r="AU146" i="1" l="1"/>
  <c r="BG146" i="1"/>
  <c r="V145" i="1"/>
  <c r="X145" i="1" s="1"/>
  <c r="Z145" i="1"/>
  <c r="W145" i="1"/>
  <c r="Y145" i="1"/>
  <c r="AA145" i="1" s="1"/>
  <c r="T145" i="1"/>
  <c r="BP146" i="1"/>
  <c r="AE145" i="1"/>
  <c r="AW145" i="1"/>
  <c r="AX145" i="1"/>
  <c r="S145" i="1"/>
  <c r="U145" i="1"/>
  <c r="AH145" i="1" l="1"/>
  <c r="AD145" i="1"/>
  <c r="AC145" i="1"/>
  <c r="AS145" i="1"/>
  <c r="AL145" i="1"/>
  <c r="AG145" i="1"/>
  <c r="AR145" i="1"/>
  <c r="AQ145" i="1"/>
  <c r="BT145" i="1"/>
  <c r="BI145" i="1"/>
  <c r="BS145" i="1"/>
  <c r="AP145" i="1"/>
  <c r="AO145" i="1"/>
  <c r="BK145" i="1"/>
  <c r="BC145" i="1"/>
  <c r="AN145" i="1"/>
  <c r="BA145" i="1"/>
  <c r="AY145" i="1"/>
  <c r="AM145" i="1"/>
  <c r="AF145" i="1"/>
  <c r="AZ145" i="1"/>
  <c r="BU145" i="1"/>
  <c r="BG145" i="1" a="1"/>
  <c r="AI145" i="1" l="1"/>
  <c r="AT145" i="1"/>
  <c r="AJ145" i="1"/>
  <c r="BQ145" i="1"/>
  <c r="AV145" i="1"/>
  <c r="BG145" i="1"/>
  <c r="BM145" i="1"/>
  <c r="BL145" i="1"/>
  <c r="AB144" i="1"/>
  <c r="BN144" i="1" s="1"/>
  <c r="Q144" i="1"/>
  <c r="AK145" i="1"/>
  <c r="BP145" i="1"/>
  <c r="R144" i="1"/>
  <c r="AU145" i="1" l="1"/>
  <c r="V144" i="1"/>
  <c r="Z144" i="1"/>
  <c r="W144" i="1"/>
  <c r="Y144" i="1"/>
  <c r="T144" i="1"/>
  <c r="AE144" i="1"/>
  <c r="S144" i="1"/>
  <c r="U144" i="1"/>
  <c r="AH144" i="1" l="1"/>
  <c r="AS144" i="1"/>
  <c r="AA144" i="1"/>
  <c r="X144" i="1"/>
  <c r="AL144" i="1"/>
  <c r="BS144" i="1"/>
  <c r="AR144" i="1"/>
  <c r="BT144" i="1"/>
  <c r="BK144" i="1"/>
  <c r="AP144" i="1"/>
  <c r="BC144" i="1"/>
  <c r="BU144" i="1"/>
  <c r="AO144" i="1"/>
  <c r="BA144" i="1"/>
  <c r="AQ144" i="1"/>
  <c r="AN144" i="1"/>
  <c r="AZ144" i="1"/>
  <c r="BI144" i="1"/>
  <c r="AM144" i="1"/>
  <c r="AG144" i="1"/>
  <c r="AY144" i="1"/>
  <c r="AF144" i="1"/>
  <c r="AX144" i="1"/>
  <c r="AW144" i="1"/>
  <c r="AI144" i="1" l="1"/>
  <c r="AJ144" i="1"/>
  <c r="AT144" i="1"/>
  <c r="BQ144" i="1"/>
  <c r="AV144" i="1"/>
  <c r="AD144" i="1"/>
  <c r="AC144" i="1"/>
  <c r="BM144" i="1"/>
  <c r="BL144" i="1"/>
  <c r="AB143" i="1"/>
  <c r="BN143" i="1" s="1"/>
  <c r="Q143" i="1"/>
  <c r="AK144" i="1"/>
  <c r="BG144" i="1" a="1"/>
  <c r="R143" i="1"/>
  <c r="AU144" i="1" l="1"/>
  <c r="BG144" i="1"/>
  <c r="V143" i="1"/>
  <c r="Z143" i="1"/>
  <c r="Y143" i="1"/>
  <c r="W143" i="1"/>
  <c r="T143" i="1"/>
  <c r="BP144" i="1"/>
  <c r="AE143" i="1"/>
  <c r="S143" i="1"/>
  <c r="U143" i="1"/>
  <c r="AH143" i="1" l="1"/>
  <c r="AS143" i="1"/>
  <c r="AA143" i="1"/>
  <c r="X143" i="1"/>
  <c r="AL143" i="1"/>
  <c r="AF143" i="1"/>
  <c r="AR143" i="1"/>
  <c r="BT143" i="1"/>
  <c r="AP143" i="1"/>
  <c r="AQ143" i="1"/>
  <c r="BK143" i="1"/>
  <c r="BS143" i="1"/>
  <c r="AN143" i="1"/>
  <c r="AO143" i="1"/>
  <c r="AM143" i="1"/>
  <c r="BC143" i="1"/>
  <c r="AG143" i="1"/>
  <c r="BA143" i="1"/>
  <c r="AY143" i="1"/>
  <c r="AZ143" i="1"/>
  <c r="BU143" i="1"/>
  <c r="BI143" i="1"/>
  <c r="AX143" i="1"/>
  <c r="AW143" i="1"/>
  <c r="AJ143" i="1" l="1"/>
  <c r="AT143" i="1"/>
  <c r="AI143" i="1"/>
  <c r="BQ143" i="1"/>
  <c r="AV143" i="1"/>
  <c r="AD143" i="1"/>
  <c r="AC143" i="1"/>
  <c r="BM143" i="1"/>
  <c r="BL143" i="1"/>
  <c r="AB142" i="1"/>
  <c r="BN142" i="1" s="1"/>
  <c r="Q142" i="1"/>
  <c r="AK143" i="1"/>
  <c r="BG143" i="1" a="1"/>
  <c r="R142" i="1"/>
  <c r="AU143" i="1" l="1"/>
  <c r="BG143" i="1"/>
  <c r="V142" i="1"/>
  <c r="Z142" i="1"/>
  <c r="W142" i="1"/>
  <c r="Y142" i="1"/>
  <c r="T142" i="1"/>
  <c r="AE142" i="1"/>
  <c r="BP143" i="1"/>
  <c r="S142" i="1"/>
  <c r="U142" i="1"/>
  <c r="AH142" i="1" l="1"/>
  <c r="AS142" i="1"/>
  <c r="AA142" i="1"/>
  <c r="X142" i="1"/>
  <c r="AL142" i="1"/>
  <c r="AF142" i="1"/>
  <c r="AR142" i="1"/>
  <c r="AQ142" i="1"/>
  <c r="BT142" i="1"/>
  <c r="BS142" i="1"/>
  <c r="AP142" i="1"/>
  <c r="BK142" i="1"/>
  <c r="AO142" i="1"/>
  <c r="AN142" i="1"/>
  <c r="BC142" i="1"/>
  <c r="AM142" i="1"/>
  <c r="BA142" i="1"/>
  <c r="AG142" i="1"/>
  <c r="AZ142" i="1"/>
  <c r="AY142" i="1"/>
  <c r="BU142" i="1"/>
  <c r="BG142" i="1" a="1"/>
  <c r="AX142" i="1"/>
  <c r="AW142" i="1"/>
  <c r="AJ142" i="1" l="1"/>
  <c r="AT142" i="1"/>
  <c r="AI142" i="1"/>
  <c r="BQ142" i="1"/>
  <c r="AV142" i="1"/>
  <c r="BG142" i="1"/>
  <c r="AD142" i="1"/>
  <c r="AC142" i="1"/>
  <c r="BM142" i="1"/>
  <c r="BL142" i="1"/>
  <c r="AB141" i="1"/>
  <c r="BN141" i="1" s="1"/>
  <c r="Q141" i="1"/>
  <c r="AK142" i="1"/>
  <c r="BP142" i="1"/>
  <c r="BI142" i="1"/>
  <c r="R141" i="1"/>
  <c r="AU142" i="1" l="1"/>
  <c r="V141" i="1"/>
  <c r="Y141" i="1"/>
  <c r="Z141" i="1"/>
  <c r="W141" i="1"/>
  <c r="T141" i="1"/>
  <c r="AE141" i="1"/>
  <c r="S141" i="1"/>
  <c r="U141" i="1"/>
  <c r="AH141" i="1" l="1"/>
  <c r="AS141" i="1"/>
  <c r="AA141" i="1"/>
  <c r="X141" i="1"/>
  <c r="AL141" i="1"/>
  <c r="AP141" i="1"/>
  <c r="AR141" i="1"/>
  <c r="BU141" i="1"/>
  <c r="BT141" i="1"/>
  <c r="AO141" i="1"/>
  <c r="BS141" i="1"/>
  <c r="BC141" i="1"/>
  <c r="AG141" i="1"/>
  <c r="BK141" i="1"/>
  <c r="BA141" i="1"/>
  <c r="AQ141" i="1"/>
  <c r="AN141" i="1"/>
  <c r="AZ141" i="1"/>
  <c r="BG141" i="1" a="1"/>
  <c r="AM141" i="1"/>
  <c r="AY141" i="1"/>
  <c r="AF141" i="1"/>
  <c r="AX141" i="1"/>
  <c r="AW141" i="1"/>
  <c r="AI141" i="1" l="1"/>
  <c r="AT141" i="1"/>
  <c r="AJ141" i="1"/>
  <c r="AV141" i="1"/>
  <c r="BQ141" i="1"/>
  <c r="BG141" i="1"/>
  <c r="AD141" i="1"/>
  <c r="AC141" i="1"/>
  <c r="BM141" i="1"/>
  <c r="BL141" i="1"/>
  <c r="AB140" i="1"/>
  <c r="BN140" i="1" s="1"/>
  <c r="Q140" i="1"/>
  <c r="AK141" i="1"/>
  <c r="BI141" i="1"/>
  <c r="BP141" i="1"/>
  <c r="R140" i="1"/>
  <c r="AU141" i="1" l="1"/>
  <c r="V140" i="1"/>
  <c r="Z140" i="1"/>
  <c r="Y140" i="1"/>
  <c r="W140" i="1"/>
  <c r="T140" i="1"/>
  <c r="AE140" i="1"/>
  <c r="S140" i="1"/>
  <c r="U140" i="1"/>
  <c r="AH140" i="1" l="1"/>
  <c r="AS140" i="1"/>
  <c r="AA140" i="1"/>
  <c r="X140" i="1"/>
  <c r="AL140" i="1"/>
  <c r="AP140" i="1"/>
  <c r="AR140" i="1"/>
  <c r="BT140" i="1"/>
  <c r="AO140" i="1"/>
  <c r="AQ140" i="1"/>
  <c r="AN140" i="1"/>
  <c r="BS140" i="1"/>
  <c r="BA140" i="1"/>
  <c r="BK140" i="1"/>
  <c r="AZ140" i="1"/>
  <c r="BG140" i="1" a="1"/>
  <c r="BC140" i="1"/>
  <c r="AG140" i="1"/>
  <c r="AM140" i="1"/>
  <c r="AF140" i="1"/>
  <c r="AY140" i="1"/>
  <c r="BU140" i="1"/>
  <c r="AW140" i="1"/>
  <c r="AX140" i="1"/>
  <c r="AI140" i="1" l="1"/>
  <c r="AT140" i="1"/>
  <c r="AJ140" i="1"/>
  <c r="BQ140" i="1"/>
  <c r="AV140" i="1"/>
  <c r="BG140" i="1"/>
  <c r="AD140" i="1"/>
  <c r="AC140" i="1"/>
  <c r="BM140" i="1"/>
  <c r="BL140" i="1"/>
  <c r="AB139" i="1"/>
  <c r="BN139" i="1" s="1"/>
  <c r="Q139" i="1"/>
  <c r="AK140" i="1"/>
  <c r="BI140" i="1"/>
  <c r="BP140" i="1"/>
  <c r="R139" i="1"/>
  <c r="AU140" i="1" l="1"/>
  <c r="V139" i="1"/>
  <c r="Z139" i="1"/>
  <c r="Y139" i="1"/>
  <c r="W139" i="1"/>
  <c r="T139" i="1"/>
  <c r="AE139" i="1"/>
  <c r="U139" i="1"/>
  <c r="S139" i="1"/>
  <c r="AH139" i="1" l="1"/>
  <c r="AS139" i="1"/>
  <c r="AA139" i="1"/>
  <c r="X139" i="1"/>
  <c r="AL139" i="1"/>
  <c r="AP139" i="1"/>
  <c r="AR139" i="1"/>
  <c r="AQ139" i="1"/>
  <c r="AO139" i="1"/>
  <c r="BS139" i="1"/>
  <c r="AN139" i="1"/>
  <c r="BK139" i="1"/>
  <c r="AM139" i="1"/>
  <c r="BC139" i="1"/>
  <c r="AG139" i="1"/>
  <c r="BI139" i="1"/>
  <c r="BA139" i="1"/>
  <c r="AY139" i="1"/>
  <c r="AZ139" i="1"/>
  <c r="AF139" i="1"/>
  <c r="BT139" i="1"/>
  <c r="BU139" i="1"/>
  <c r="AW139" i="1"/>
  <c r="AX139" i="1"/>
  <c r="AI139" i="1" l="1"/>
  <c r="AJ139" i="1"/>
  <c r="AT139" i="1"/>
  <c r="BQ139" i="1"/>
  <c r="AV139" i="1"/>
  <c r="AD139" i="1"/>
  <c r="AC139" i="1"/>
  <c r="BM139" i="1"/>
  <c r="BL139" i="1"/>
  <c r="AB138" i="1"/>
  <c r="BN138" i="1" s="1"/>
  <c r="Q138" i="1"/>
  <c r="AK139" i="1"/>
  <c r="BG139" i="1" a="1"/>
  <c r="R138" i="1"/>
  <c r="AU139" i="1" l="1"/>
  <c r="BG139" i="1"/>
  <c r="V138" i="1"/>
  <c r="Z138" i="1"/>
  <c r="Y138" i="1"/>
  <c r="W138" i="1"/>
  <c r="T138" i="1"/>
  <c r="AE138" i="1"/>
  <c r="BP139" i="1"/>
  <c r="S138" i="1"/>
  <c r="U138" i="1"/>
  <c r="AH138" i="1" l="1"/>
  <c r="AS138" i="1"/>
  <c r="AA138" i="1"/>
  <c r="X138" i="1"/>
  <c r="AL138" i="1"/>
  <c r="AY138" i="1"/>
  <c r="AR138" i="1"/>
  <c r="AG138" i="1"/>
  <c r="AQ138" i="1"/>
  <c r="AF138" i="1"/>
  <c r="AN138" i="1"/>
  <c r="AP138" i="1"/>
  <c r="BT138" i="1"/>
  <c r="BK138" i="1"/>
  <c r="BS138" i="1"/>
  <c r="BA138" i="1"/>
  <c r="BC138" i="1"/>
  <c r="AO138" i="1"/>
  <c r="BU138" i="1"/>
  <c r="AZ138" i="1"/>
  <c r="AM138" i="1"/>
  <c r="BI138" i="1"/>
  <c r="AW138" i="1"/>
  <c r="AX138" i="1"/>
  <c r="AT138" i="1" l="1"/>
  <c r="AI138" i="1"/>
  <c r="AJ138" i="1"/>
  <c r="BQ138" i="1"/>
  <c r="AV138" i="1"/>
  <c r="BM138" i="1"/>
  <c r="BL138" i="1"/>
  <c r="AD138" i="1"/>
  <c r="AC138" i="1"/>
  <c r="AB137" i="1"/>
  <c r="BN137" i="1" s="1"/>
  <c r="Q137" i="1"/>
  <c r="AK138" i="1"/>
  <c r="BG138" i="1" a="1"/>
  <c r="R137" i="1"/>
  <c r="AU138" i="1" l="1"/>
  <c r="BG138" i="1"/>
  <c r="V137" i="1"/>
  <c r="Z137" i="1"/>
  <c r="W137" i="1"/>
  <c r="Y137" i="1"/>
  <c r="T137" i="1"/>
  <c r="BP138" i="1"/>
  <c r="AE137" i="1"/>
  <c r="U137" i="1"/>
  <c r="S137" i="1"/>
  <c r="AH137" i="1" l="1"/>
  <c r="AS137" i="1"/>
  <c r="AA137" i="1"/>
  <c r="X137" i="1"/>
  <c r="AL137" i="1"/>
  <c r="AN137" i="1"/>
  <c r="AR137" i="1"/>
  <c r="BC137" i="1"/>
  <c r="BT137" i="1"/>
  <c r="BA137" i="1"/>
  <c r="AQ137" i="1"/>
  <c r="AM137" i="1"/>
  <c r="BS137" i="1"/>
  <c r="AZ137" i="1"/>
  <c r="AP137" i="1"/>
  <c r="AG137" i="1"/>
  <c r="BI137" i="1"/>
  <c r="BK137" i="1"/>
  <c r="AY137" i="1"/>
  <c r="BU137" i="1"/>
  <c r="AO137" i="1"/>
  <c r="AF137" i="1"/>
  <c r="AX137" i="1"/>
  <c r="AW137" i="1"/>
  <c r="AI137" i="1" l="1"/>
  <c r="AJ137" i="1"/>
  <c r="AT137" i="1"/>
  <c r="BQ137" i="1"/>
  <c r="AV137" i="1"/>
  <c r="AD137" i="1"/>
  <c r="AC137" i="1"/>
  <c r="BM137" i="1"/>
  <c r="BL137" i="1"/>
  <c r="AB136" i="1"/>
  <c r="BN136" i="1" s="1"/>
  <c r="Q136" i="1"/>
  <c r="AK137" i="1"/>
  <c r="BG137" i="1" a="1"/>
  <c r="R136" i="1"/>
  <c r="AU137" i="1" l="1"/>
  <c r="BG137" i="1"/>
  <c r="V136" i="1"/>
  <c r="Z136" i="1"/>
  <c r="W136" i="1"/>
  <c r="Y136" i="1"/>
  <c r="T136" i="1"/>
  <c r="BP137" i="1"/>
  <c r="AE136" i="1"/>
  <c r="S136" i="1"/>
  <c r="U136" i="1"/>
  <c r="AH136" i="1" l="1"/>
  <c r="AS136" i="1"/>
  <c r="AA136" i="1"/>
  <c r="X136" i="1"/>
  <c r="AL136" i="1"/>
  <c r="AP136" i="1"/>
  <c r="AR136" i="1"/>
  <c r="BU136" i="1"/>
  <c r="BT136" i="1"/>
  <c r="BK136" i="1"/>
  <c r="AQ136" i="1"/>
  <c r="BC136" i="1"/>
  <c r="AF136" i="1"/>
  <c r="BS136" i="1"/>
  <c r="AN136" i="1"/>
  <c r="AO136" i="1"/>
  <c r="AM136" i="1"/>
  <c r="BA136" i="1"/>
  <c r="AZ136" i="1"/>
  <c r="BI136" i="1"/>
  <c r="AY136" i="1"/>
  <c r="AG136" i="1"/>
  <c r="AW136" i="1"/>
  <c r="AX136" i="1"/>
  <c r="AJ136" i="1" l="1"/>
  <c r="AT136" i="1"/>
  <c r="AI136" i="1"/>
  <c r="BQ136" i="1"/>
  <c r="AV136" i="1"/>
  <c r="AD136" i="1"/>
  <c r="AC136" i="1"/>
  <c r="BM136" i="1"/>
  <c r="BL136" i="1"/>
  <c r="AB135" i="1"/>
  <c r="BN135" i="1" s="1"/>
  <c r="Q135" i="1"/>
  <c r="AK136" i="1"/>
  <c r="BG136" i="1" a="1"/>
  <c r="R135" i="1"/>
  <c r="AU136" i="1" l="1"/>
  <c r="BG136" i="1"/>
  <c r="V135" i="1"/>
  <c r="Y135" i="1"/>
  <c r="Z135" i="1"/>
  <c r="W135" i="1"/>
  <c r="T135" i="1"/>
  <c r="AE135" i="1"/>
  <c r="BP136" i="1"/>
  <c r="U135" i="1"/>
  <c r="S135" i="1"/>
  <c r="AH135" i="1" l="1"/>
  <c r="AS135" i="1"/>
  <c r="AA135" i="1"/>
  <c r="X135" i="1"/>
  <c r="AL135" i="1"/>
  <c r="AO135" i="1"/>
  <c r="AR135" i="1"/>
  <c r="AQ135" i="1"/>
  <c r="AN135" i="1"/>
  <c r="AP135" i="1"/>
  <c r="AM135" i="1"/>
  <c r="BK135" i="1"/>
  <c r="AZ135" i="1"/>
  <c r="BC135" i="1"/>
  <c r="AG135" i="1"/>
  <c r="BA135" i="1"/>
  <c r="AY135" i="1"/>
  <c r="BG135" i="1" a="1"/>
  <c r="BT135" i="1"/>
  <c r="AF135" i="1"/>
  <c r="BS135" i="1"/>
  <c r="BU135" i="1"/>
  <c r="AX135" i="1"/>
  <c r="AW135" i="1"/>
  <c r="AI135" i="1" l="1"/>
  <c r="AJ135" i="1"/>
  <c r="AT135" i="1"/>
  <c r="BQ135" i="1"/>
  <c r="AV135" i="1"/>
  <c r="BG135" i="1"/>
  <c r="AD135" i="1"/>
  <c r="AC135" i="1"/>
  <c r="BM135" i="1"/>
  <c r="BL135" i="1"/>
  <c r="AB134" i="1"/>
  <c r="BN134" i="1" s="1"/>
  <c r="Q134" i="1"/>
  <c r="AK135" i="1"/>
  <c r="BI135" i="1"/>
  <c r="BP135" i="1"/>
  <c r="R134" i="1"/>
  <c r="AU135" i="1" l="1"/>
  <c r="V134" i="1"/>
  <c r="Z134" i="1"/>
  <c r="Y134" i="1"/>
  <c r="W134" i="1"/>
  <c r="T134" i="1"/>
  <c r="AE134" i="1"/>
  <c r="U134" i="1"/>
  <c r="S134" i="1"/>
  <c r="AH134" i="1" l="1"/>
  <c r="AS134" i="1"/>
  <c r="AA134" i="1"/>
  <c r="X134" i="1"/>
  <c r="AL134" i="1"/>
  <c r="AP134" i="1"/>
  <c r="AR134" i="1"/>
  <c r="AQ134" i="1"/>
  <c r="AO134" i="1"/>
  <c r="BS134" i="1"/>
  <c r="BC134" i="1"/>
  <c r="BK134" i="1"/>
  <c r="AM134" i="1"/>
  <c r="AN134" i="1"/>
  <c r="AG134" i="1"/>
  <c r="BI134" i="1"/>
  <c r="BA134" i="1"/>
  <c r="AY134" i="1"/>
  <c r="AZ134" i="1"/>
  <c r="AF134" i="1"/>
  <c r="BT134" i="1"/>
  <c r="BU134" i="1"/>
  <c r="AX134" i="1"/>
  <c r="AW134" i="1"/>
  <c r="AI134" i="1" l="1"/>
  <c r="AJ134" i="1"/>
  <c r="AT134" i="1"/>
  <c r="BQ134" i="1"/>
  <c r="AV134" i="1"/>
  <c r="AD134" i="1"/>
  <c r="AC134" i="1"/>
  <c r="BL134" i="1"/>
  <c r="BM134" i="1"/>
  <c r="AB133" i="1"/>
  <c r="BN133" i="1" s="1"/>
  <c r="Q133" i="1"/>
  <c r="AK134" i="1"/>
  <c r="BG134" i="1" a="1"/>
  <c r="R133" i="1"/>
  <c r="AU134" i="1" l="1"/>
  <c r="BG134" i="1"/>
  <c r="V133" i="1"/>
  <c r="Z133" i="1"/>
  <c r="Y133" i="1"/>
  <c r="W133" i="1"/>
  <c r="T133" i="1"/>
  <c r="BP134" i="1"/>
  <c r="AE133" i="1"/>
  <c r="S133" i="1"/>
  <c r="U133" i="1"/>
  <c r="AH133" i="1" l="1"/>
  <c r="AS133" i="1"/>
  <c r="AA133" i="1"/>
  <c r="X133" i="1"/>
  <c r="AL133" i="1"/>
  <c r="AF133" i="1"/>
  <c r="AR133" i="1"/>
  <c r="BT133" i="1"/>
  <c r="AP133" i="1"/>
  <c r="AQ133" i="1"/>
  <c r="AO133" i="1"/>
  <c r="BS133" i="1"/>
  <c r="BC133" i="1"/>
  <c r="BK133" i="1"/>
  <c r="AM133" i="1"/>
  <c r="AN133" i="1"/>
  <c r="AG133" i="1"/>
  <c r="BA133" i="1"/>
  <c r="AY133" i="1"/>
  <c r="BI133" i="1"/>
  <c r="AZ133" i="1"/>
  <c r="BU133" i="1"/>
  <c r="AW133" i="1"/>
  <c r="AX133" i="1"/>
  <c r="AJ133" i="1" l="1"/>
  <c r="AT133" i="1"/>
  <c r="AI133" i="1"/>
  <c r="BQ133" i="1"/>
  <c r="AV133" i="1"/>
  <c r="BM133" i="1"/>
  <c r="BL133" i="1"/>
  <c r="AD133" i="1"/>
  <c r="AC133" i="1"/>
  <c r="AB132" i="1"/>
  <c r="BN132" i="1" s="1"/>
  <c r="Q132" i="1"/>
  <c r="AK133" i="1"/>
  <c r="BG133" i="1" a="1"/>
  <c r="R132" i="1"/>
  <c r="AU133" i="1" l="1"/>
  <c r="BG133" i="1"/>
  <c r="V132" i="1"/>
  <c r="Y132" i="1"/>
  <c r="W132" i="1"/>
  <c r="Z132" i="1"/>
  <c r="T132" i="1"/>
  <c r="BP133" i="1"/>
  <c r="AE132" i="1"/>
  <c r="U132" i="1"/>
  <c r="S132" i="1"/>
  <c r="AH132" i="1" l="1"/>
  <c r="AS132" i="1"/>
  <c r="AA132" i="1"/>
  <c r="X132" i="1"/>
  <c r="AL132" i="1"/>
  <c r="BK132" i="1"/>
  <c r="AR132" i="1"/>
  <c r="AP132" i="1"/>
  <c r="AO132" i="1"/>
  <c r="AN132" i="1"/>
  <c r="BC132" i="1"/>
  <c r="BA132" i="1"/>
  <c r="AM132" i="1"/>
  <c r="BS132" i="1"/>
  <c r="AZ132" i="1"/>
  <c r="AG132" i="1"/>
  <c r="BT132" i="1"/>
  <c r="AY132" i="1"/>
  <c r="AQ132" i="1"/>
  <c r="AF132" i="1"/>
  <c r="BI132" i="1"/>
  <c r="BU132" i="1"/>
  <c r="AX132" i="1"/>
  <c r="AW132" i="1"/>
  <c r="AI132" i="1" l="1"/>
  <c r="AJ132" i="1"/>
  <c r="AT132" i="1"/>
  <c r="BQ132" i="1"/>
  <c r="AV132" i="1"/>
  <c r="AD132" i="1"/>
  <c r="AC132" i="1"/>
  <c r="BM132" i="1"/>
  <c r="BL132" i="1"/>
  <c r="AB131" i="1"/>
  <c r="BN131" i="1" s="1"/>
  <c r="Q131" i="1"/>
  <c r="AK132" i="1"/>
  <c r="BG132" i="1" a="1"/>
  <c r="R131" i="1"/>
  <c r="AU132" i="1" l="1"/>
  <c r="BG132" i="1"/>
  <c r="V131" i="1"/>
  <c r="Y131" i="1"/>
  <c r="W131" i="1"/>
  <c r="Z131" i="1"/>
  <c r="T131" i="1"/>
  <c r="BP132" i="1"/>
  <c r="AE131" i="1"/>
  <c r="S131" i="1"/>
  <c r="U131" i="1"/>
  <c r="AH131" i="1" l="1"/>
  <c r="AS131" i="1"/>
  <c r="AA131" i="1"/>
  <c r="X131" i="1"/>
  <c r="AL131" i="1"/>
  <c r="AG131" i="1"/>
  <c r="AR131" i="1"/>
  <c r="AQ131" i="1"/>
  <c r="AY131" i="1"/>
  <c r="BS131" i="1"/>
  <c r="AF131" i="1"/>
  <c r="AP131" i="1"/>
  <c r="BC131" i="1"/>
  <c r="BK131" i="1"/>
  <c r="AN131" i="1"/>
  <c r="AO131" i="1"/>
  <c r="BA131" i="1"/>
  <c r="BT131" i="1"/>
  <c r="AZ131" i="1"/>
  <c r="AM131" i="1"/>
  <c r="BU131" i="1"/>
  <c r="BG131" i="1" a="1"/>
  <c r="AX131" i="1"/>
  <c r="AW131" i="1"/>
  <c r="AT131" i="1" l="1"/>
  <c r="AI131" i="1"/>
  <c r="AJ131" i="1"/>
  <c r="BQ131" i="1"/>
  <c r="AV131" i="1"/>
  <c r="BG131" i="1"/>
  <c r="AD131" i="1"/>
  <c r="AC131" i="1"/>
  <c r="BL131" i="1"/>
  <c r="BM131" i="1"/>
  <c r="AB130" i="1"/>
  <c r="BN130" i="1" s="1"/>
  <c r="Q130" i="1"/>
  <c r="AK131" i="1"/>
  <c r="BI131" i="1"/>
  <c r="BP131" i="1"/>
  <c r="R130" i="1"/>
  <c r="AU131" i="1" l="1"/>
  <c r="V130" i="1"/>
  <c r="Y130" i="1"/>
  <c r="Z130" i="1"/>
  <c r="W130" i="1"/>
  <c r="T130" i="1"/>
  <c r="AE130" i="1"/>
  <c r="S130" i="1"/>
  <c r="U130" i="1"/>
  <c r="AH130" i="1" l="1"/>
  <c r="AS130" i="1"/>
  <c r="AA130" i="1"/>
  <c r="X130" i="1"/>
  <c r="AL130" i="1"/>
  <c r="AY130" i="1"/>
  <c r="AR130" i="1"/>
  <c r="AQ130" i="1"/>
  <c r="AF130" i="1"/>
  <c r="BS130" i="1"/>
  <c r="BT130" i="1"/>
  <c r="BK130" i="1"/>
  <c r="AP130" i="1"/>
  <c r="BI130" i="1"/>
  <c r="BC130" i="1"/>
  <c r="AO130" i="1"/>
  <c r="BA130" i="1"/>
  <c r="AN130" i="1"/>
  <c r="AZ130" i="1"/>
  <c r="AM130" i="1"/>
  <c r="AG130" i="1"/>
  <c r="BU130" i="1"/>
  <c r="AW130" i="1"/>
  <c r="AX130" i="1"/>
  <c r="AJ130" i="1" l="1"/>
  <c r="AT130" i="1"/>
  <c r="AI130" i="1"/>
  <c r="BQ130" i="1"/>
  <c r="AV130" i="1"/>
  <c r="AD130" i="1"/>
  <c r="AC130" i="1"/>
  <c r="BM130" i="1"/>
  <c r="BL130" i="1"/>
  <c r="AB129" i="1"/>
  <c r="BN129" i="1" s="1"/>
  <c r="Q129" i="1"/>
  <c r="AK130" i="1"/>
  <c r="BG130" i="1" a="1"/>
  <c r="R129" i="1"/>
  <c r="AU130" i="1" l="1"/>
  <c r="BG130" i="1"/>
  <c r="V129" i="1"/>
  <c r="Y129" i="1"/>
  <c r="Z129" i="1"/>
  <c r="W129" i="1"/>
  <c r="T129" i="1"/>
  <c r="BP130" i="1"/>
  <c r="AE129" i="1"/>
  <c r="S129" i="1"/>
  <c r="U129" i="1"/>
  <c r="AH129" i="1" l="1"/>
  <c r="AS129" i="1"/>
  <c r="AA129" i="1"/>
  <c r="X129" i="1"/>
  <c r="AL129" i="1"/>
  <c r="BS129" i="1"/>
  <c r="AR129" i="1"/>
  <c r="BT129" i="1"/>
  <c r="BK129" i="1"/>
  <c r="AP129" i="1"/>
  <c r="AN129" i="1"/>
  <c r="AO129" i="1"/>
  <c r="BA129" i="1"/>
  <c r="BC129" i="1"/>
  <c r="AZ129" i="1"/>
  <c r="AM129" i="1"/>
  <c r="AG129" i="1"/>
  <c r="BI129" i="1"/>
  <c r="AY129" i="1"/>
  <c r="AF129" i="1"/>
  <c r="AQ129" i="1"/>
  <c r="BU129" i="1"/>
  <c r="AW129" i="1"/>
  <c r="AX129" i="1"/>
  <c r="AI129" i="1" l="1"/>
  <c r="AJ129" i="1"/>
  <c r="AT129" i="1"/>
  <c r="BQ129" i="1"/>
  <c r="AV129" i="1"/>
  <c r="AD129" i="1"/>
  <c r="AC129" i="1"/>
  <c r="BM129" i="1"/>
  <c r="BL129" i="1"/>
  <c r="AB128" i="1"/>
  <c r="BN128" i="1" s="1"/>
  <c r="Q128" i="1"/>
  <c r="AK129" i="1"/>
  <c r="BG129" i="1" a="1"/>
  <c r="R128" i="1"/>
  <c r="AU129" i="1" l="1"/>
  <c r="BG129" i="1"/>
  <c r="V128" i="1"/>
  <c r="Y128" i="1"/>
  <c r="Z128" i="1"/>
  <c r="W128" i="1"/>
  <c r="T128" i="1"/>
  <c r="AE128" i="1"/>
  <c r="BP129" i="1"/>
  <c r="S128" i="1"/>
  <c r="U128" i="1"/>
  <c r="AH128" i="1" l="1"/>
  <c r="AS128" i="1"/>
  <c r="AA128" i="1"/>
  <c r="X128" i="1"/>
  <c r="AL128" i="1"/>
  <c r="AF128" i="1"/>
  <c r="AR128" i="1"/>
  <c r="BT128" i="1"/>
  <c r="AQ128" i="1"/>
  <c r="AP128" i="1"/>
  <c r="BS128" i="1"/>
  <c r="BK128" i="1"/>
  <c r="AO128" i="1"/>
  <c r="BI128" i="1"/>
  <c r="BC128" i="1"/>
  <c r="AN128" i="1"/>
  <c r="AM128" i="1"/>
  <c r="BA128" i="1"/>
  <c r="AG128" i="1"/>
  <c r="AZ128" i="1"/>
  <c r="AY128" i="1"/>
  <c r="BU128" i="1"/>
  <c r="AW128" i="1"/>
  <c r="AX128" i="1"/>
  <c r="AJ128" i="1" l="1"/>
  <c r="AT128" i="1"/>
  <c r="AI128" i="1"/>
  <c r="BQ128" i="1"/>
  <c r="AV128" i="1"/>
  <c r="AD128" i="1"/>
  <c r="AC128" i="1"/>
  <c r="BM128" i="1"/>
  <c r="BL128" i="1"/>
  <c r="AB127" i="1"/>
  <c r="BN127" i="1" s="1"/>
  <c r="Q127" i="1"/>
  <c r="AK128" i="1"/>
  <c r="BG128" i="1" a="1"/>
  <c r="R127" i="1"/>
  <c r="AU128" i="1" l="1"/>
  <c r="BG128" i="1"/>
  <c r="Y127" i="1"/>
  <c r="V127" i="1"/>
  <c r="Z127" i="1"/>
  <c r="W127" i="1"/>
  <c r="T127" i="1"/>
  <c r="AM127" i="1"/>
  <c r="BP128" i="1"/>
  <c r="U127" i="1"/>
  <c r="S127" i="1"/>
  <c r="BD127" i="1" l="1"/>
  <c r="BC127" i="1"/>
  <c r="AU127" i="1"/>
  <c r="AT127" i="1"/>
  <c r="AS127" i="1"/>
  <c r="AE127" i="1"/>
  <c r="AH127" i="1" s="1"/>
  <c r="AA127" i="1"/>
  <c r="AG127" i="1"/>
  <c r="AJ127" i="1" s="1"/>
  <c r="X127" i="1"/>
  <c r="AF127" i="1"/>
  <c r="AI127" i="1" s="1"/>
  <c r="AL127" i="1"/>
  <c r="BU127" i="1"/>
  <c r="AZ127" i="1"/>
  <c r="BT127" i="1"/>
  <c r="AR127" i="1"/>
  <c r="BS127" i="1"/>
  <c r="AQ127" i="1"/>
  <c r="BK127" i="1"/>
  <c r="AP127" i="1"/>
  <c r="BA127" i="1"/>
  <c r="AO127" i="1"/>
  <c r="AN127" i="1"/>
  <c r="AY127" i="1"/>
  <c r="BE127" i="1"/>
  <c r="AK127" i="1"/>
  <c r="AW127" i="1"/>
  <c r="AX127" i="1"/>
  <c r="AV127" i="1" l="1"/>
  <c r="BQ127" i="1"/>
  <c r="BM127" i="1"/>
  <c r="BL127" i="1"/>
  <c r="BJ127" i="1"/>
  <c r="BI127" i="1"/>
  <c r="BH127" i="1"/>
  <c r="BG127" i="1" a="1"/>
  <c r="BG127" i="1" s="1"/>
  <c r="BB127" i="1"/>
  <c r="AC127" i="1"/>
  <c r="AD127" i="1"/>
  <c r="BF127" i="1"/>
  <c r="AB126" i="1"/>
  <c r="BN126" i="1" s="1"/>
  <c r="Q126" i="1"/>
  <c r="BP127" i="1"/>
  <c r="R126" i="1"/>
  <c r="V126" i="1" l="1"/>
  <c r="W126" i="1"/>
  <c r="Z126" i="1"/>
  <c r="Y126" i="1"/>
  <c r="T126" i="1"/>
  <c r="AE126" i="1"/>
  <c r="U126" i="1"/>
  <c r="S126" i="1"/>
  <c r="AH126" i="1" l="1"/>
  <c r="AS126" i="1"/>
  <c r="AA126" i="1"/>
  <c r="X126" i="1"/>
  <c r="AL126" i="1"/>
  <c r="AO126" i="1"/>
  <c r="AR126" i="1"/>
  <c r="AG126" i="1"/>
  <c r="BT126" i="1"/>
  <c r="AN126" i="1"/>
  <c r="BS126" i="1"/>
  <c r="BA126" i="1"/>
  <c r="BK126" i="1"/>
  <c r="AZ126" i="1"/>
  <c r="BI126" i="1"/>
  <c r="BC126" i="1"/>
  <c r="AM126" i="1"/>
  <c r="AY126" i="1"/>
  <c r="AQ126" i="1"/>
  <c r="AF126" i="1"/>
  <c r="AP126" i="1"/>
  <c r="BU126" i="1"/>
  <c r="AX126" i="1"/>
  <c r="AW126" i="1"/>
  <c r="AI126" i="1" l="1"/>
  <c r="AT126" i="1"/>
  <c r="AJ126" i="1"/>
  <c r="BQ126" i="1"/>
  <c r="AV126" i="1"/>
  <c r="AD126" i="1"/>
  <c r="AC126" i="1"/>
  <c r="BM126" i="1"/>
  <c r="BL126" i="1"/>
  <c r="AB125" i="1"/>
  <c r="BN125" i="1" s="1"/>
  <c r="Q125" i="1"/>
  <c r="AK126" i="1"/>
  <c r="BG126" i="1" a="1"/>
  <c r="R125" i="1"/>
  <c r="AU126" i="1" l="1"/>
  <c r="BG126" i="1"/>
  <c r="V125" i="1"/>
  <c r="Z125" i="1"/>
  <c r="Y125" i="1"/>
  <c r="W125" i="1"/>
  <c r="T125" i="1"/>
  <c r="BP126" i="1"/>
  <c r="AE125" i="1"/>
  <c r="S125" i="1"/>
  <c r="U125" i="1"/>
  <c r="AH125" i="1" l="1"/>
  <c r="AS125" i="1"/>
  <c r="AA125" i="1"/>
  <c r="X125" i="1"/>
  <c r="AL125" i="1"/>
  <c r="AN125" i="1"/>
  <c r="AR125" i="1"/>
  <c r="AQ125" i="1"/>
  <c r="BA125" i="1"/>
  <c r="BS125" i="1"/>
  <c r="AG125" i="1"/>
  <c r="BC125" i="1"/>
  <c r="AF125" i="1"/>
  <c r="BT125" i="1"/>
  <c r="AM125" i="1"/>
  <c r="AP125" i="1"/>
  <c r="AZ125" i="1"/>
  <c r="BK125" i="1"/>
  <c r="AY125" i="1"/>
  <c r="BI125" i="1"/>
  <c r="AO125" i="1"/>
  <c r="BU125" i="1"/>
  <c r="AD125" i="1"/>
  <c r="AT125" i="1" l="1"/>
  <c r="AI125" i="1"/>
  <c r="AJ125" i="1"/>
  <c r="BQ125" i="1"/>
  <c r="AV125" i="1"/>
  <c r="BM125" i="1"/>
  <c r="BL125" i="1"/>
  <c r="AB124" i="1"/>
  <c r="BN124" i="1" s="1"/>
  <c r="Q124" i="1"/>
  <c r="AK125" i="1"/>
  <c r="AC125" i="1"/>
  <c r="BG125" i="1" a="1"/>
  <c r="R124" i="1"/>
  <c r="AX125" i="1"/>
  <c r="AW125" i="1"/>
  <c r="AU125" i="1" l="1"/>
  <c r="BG125" i="1"/>
  <c r="V124" i="1"/>
  <c r="Y124" i="1"/>
  <c r="W124" i="1"/>
  <c r="Z124" i="1"/>
  <c r="T124" i="1"/>
  <c r="BP125" i="1"/>
  <c r="AE124" i="1"/>
  <c r="S124" i="1"/>
  <c r="U124" i="1"/>
  <c r="AH124" i="1" l="1"/>
  <c r="AS124" i="1"/>
  <c r="AA124" i="1"/>
  <c r="X124" i="1"/>
  <c r="AL124" i="1"/>
  <c r="AP124" i="1"/>
  <c r="AR124" i="1"/>
  <c r="BS124" i="1"/>
  <c r="BK124" i="1"/>
  <c r="AN124" i="1"/>
  <c r="AO124" i="1"/>
  <c r="BA124" i="1"/>
  <c r="BC124" i="1"/>
  <c r="AG124" i="1"/>
  <c r="AM124" i="1"/>
  <c r="AF124" i="1"/>
  <c r="AZ124" i="1"/>
  <c r="BI124" i="1"/>
  <c r="BT124" i="1"/>
  <c r="AY124" i="1"/>
  <c r="AQ124" i="1"/>
  <c r="BU124" i="1"/>
  <c r="AW124" i="1"/>
  <c r="AX124" i="1"/>
  <c r="AI124" i="1" l="1"/>
  <c r="AT124" i="1"/>
  <c r="AJ124" i="1"/>
  <c r="BQ124" i="1"/>
  <c r="AV124" i="1"/>
  <c r="AD124" i="1"/>
  <c r="AC124" i="1"/>
  <c r="BM124" i="1"/>
  <c r="BL124" i="1"/>
  <c r="AB123" i="1"/>
  <c r="BN123" i="1" s="1"/>
  <c r="Q123" i="1"/>
  <c r="AK124" i="1"/>
  <c r="BG124" i="1" a="1"/>
  <c r="R123" i="1"/>
  <c r="AU124" i="1" l="1"/>
  <c r="BG124" i="1"/>
  <c r="V123" i="1"/>
  <c r="Y123" i="1"/>
  <c r="Z123" i="1"/>
  <c r="W123" i="1"/>
  <c r="T123" i="1"/>
  <c r="AE123" i="1"/>
  <c r="BP124" i="1"/>
  <c r="U123" i="1"/>
  <c r="S123" i="1"/>
  <c r="AH123" i="1" l="1"/>
  <c r="AS123" i="1"/>
  <c r="AA123" i="1"/>
  <c r="X123" i="1"/>
  <c r="AL123" i="1"/>
  <c r="BT123" i="1"/>
  <c r="AR123" i="1"/>
  <c r="AQ123" i="1"/>
  <c r="AP123" i="1"/>
  <c r="BS123" i="1"/>
  <c r="BK123" i="1"/>
  <c r="AO123" i="1"/>
  <c r="AN123" i="1"/>
  <c r="BC123" i="1"/>
  <c r="AM123" i="1"/>
  <c r="BA123" i="1"/>
  <c r="AG123" i="1"/>
  <c r="BI123" i="1"/>
  <c r="AZ123" i="1"/>
  <c r="AY123" i="1"/>
  <c r="AF123" i="1"/>
  <c r="BU123" i="1"/>
  <c r="AX123" i="1"/>
  <c r="AW123" i="1"/>
  <c r="AI123" i="1" l="1"/>
  <c r="AJ123" i="1"/>
  <c r="AT123" i="1"/>
  <c r="BQ123" i="1"/>
  <c r="AV123" i="1"/>
  <c r="AD123" i="1"/>
  <c r="AC123" i="1"/>
  <c r="BL123" i="1"/>
  <c r="BM123" i="1"/>
  <c r="AB122" i="1"/>
  <c r="BN122" i="1" s="1"/>
  <c r="Q122" i="1"/>
  <c r="AK123" i="1"/>
  <c r="BG123" i="1" a="1"/>
  <c r="R122" i="1"/>
  <c r="AU123" i="1" l="1"/>
  <c r="BG123" i="1"/>
  <c r="V122" i="1"/>
  <c r="Y122" i="1"/>
  <c r="Z122" i="1"/>
  <c r="W122" i="1"/>
  <c r="T122" i="1"/>
  <c r="BP123" i="1"/>
  <c r="AE122" i="1"/>
  <c r="U122" i="1"/>
  <c r="S122" i="1"/>
  <c r="AH122" i="1" l="1"/>
  <c r="AS122" i="1"/>
  <c r="AA122" i="1"/>
  <c r="X122" i="1"/>
  <c r="AL122" i="1"/>
  <c r="AN122" i="1"/>
  <c r="AR122" i="1"/>
  <c r="BT122" i="1"/>
  <c r="BA122" i="1"/>
  <c r="AQ122" i="1"/>
  <c r="AG122" i="1"/>
  <c r="BS122" i="1"/>
  <c r="AY122" i="1"/>
  <c r="AP122" i="1"/>
  <c r="AF122" i="1"/>
  <c r="BK122" i="1"/>
  <c r="AM122" i="1"/>
  <c r="AO122" i="1"/>
  <c r="AZ122" i="1"/>
  <c r="BI122" i="1"/>
  <c r="BC122" i="1"/>
  <c r="BU122" i="1"/>
  <c r="AW122" i="1"/>
  <c r="AX122" i="1"/>
  <c r="AT122" i="1" l="1"/>
  <c r="AI122" i="1"/>
  <c r="AJ122" i="1"/>
  <c r="AV122" i="1"/>
  <c r="BQ122" i="1"/>
  <c r="AD122" i="1"/>
  <c r="AC122" i="1"/>
  <c r="BM122" i="1"/>
  <c r="BL122" i="1"/>
  <c r="AB121" i="1"/>
  <c r="BN121" i="1" s="1"/>
  <c r="Q121" i="1"/>
  <c r="AK122" i="1"/>
  <c r="BG122" i="1" a="1"/>
  <c r="R121" i="1"/>
  <c r="AU122" i="1" l="1"/>
  <c r="BG122" i="1"/>
  <c r="V121" i="1"/>
  <c r="Z121" i="1"/>
  <c r="Y121" i="1"/>
  <c r="W121" i="1"/>
  <c r="T121" i="1"/>
  <c r="BP122" i="1"/>
  <c r="AE121" i="1"/>
  <c r="S121" i="1"/>
  <c r="U121" i="1"/>
  <c r="AH121" i="1" l="1"/>
  <c r="AS121" i="1"/>
  <c r="AA121" i="1"/>
  <c r="X121" i="1"/>
  <c r="AL121" i="1"/>
  <c r="BA121" i="1"/>
  <c r="AR121" i="1"/>
  <c r="BT121" i="1"/>
  <c r="AZ121" i="1"/>
  <c r="AQ121" i="1"/>
  <c r="AG121" i="1"/>
  <c r="BS121" i="1"/>
  <c r="AY121" i="1"/>
  <c r="AP121" i="1"/>
  <c r="AF121" i="1"/>
  <c r="BK121" i="1"/>
  <c r="AN121" i="1"/>
  <c r="BG121" i="1" a="1"/>
  <c r="AO121" i="1"/>
  <c r="AM121" i="1"/>
  <c r="BC121" i="1"/>
  <c r="BU121" i="1"/>
  <c r="AW121" i="1"/>
  <c r="AX121" i="1"/>
  <c r="AT121" i="1" l="1"/>
  <c r="AI121" i="1"/>
  <c r="AJ121" i="1"/>
  <c r="BQ121" i="1"/>
  <c r="AV121" i="1"/>
  <c r="BG121" i="1"/>
  <c r="AD121" i="1"/>
  <c r="AC121" i="1"/>
  <c r="BM121" i="1"/>
  <c r="BL121" i="1"/>
  <c r="AB120" i="1"/>
  <c r="BN120" i="1" s="1"/>
  <c r="Q120" i="1"/>
  <c r="AK121" i="1"/>
  <c r="BP121" i="1"/>
  <c r="BI121" i="1"/>
  <c r="R120" i="1"/>
  <c r="AU121" i="1" l="1"/>
  <c r="V120" i="1"/>
  <c r="Y120" i="1"/>
  <c r="W120" i="1"/>
  <c r="Z120" i="1"/>
  <c r="T120" i="1"/>
  <c r="AE120" i="1"/>
  <c r="S120" i="1"/>
  <c r="U120" i="1"/>
  <c r="AH120" i="1" l="1"/>
  <c r="AS120" i="1"/>
  <c r="AA120" i="1"/>
  <c r="X120" i="1"/>
  <c r="AL120" i="1"/>
  <c r="AM120" i="1"/>
  <c r="AR120" i="1"/>
  <c r="BT120" i="1"/>
  <c r="AG120" i="1"/>
  <c r="AQ120" i="1"/>
  <c r="AY120" i="1"/>
  <c r="BS120" i="1"/>
  <c r="AF120" i="1"/>
  <c r="AP120" i="1"/>
  <c r="BC120" i="1"/>
  <c r="BK120" i="1"/>
  <c r="BA120" i="1"/>
  <c r="AO120" i="1"/>
  <c r="AZ120" i="1"/>
  <c r="AN120" i="1"/>
  <c r="BU120" i="1"/>
  <c r="BI120" i="1"/>
  <c r="AX120" i="1"/>
  <c r="AW120" i="1"/>
  <c r="AI120" i="1" l="1"/>
  <c r="AJ120" i="1"/>
  <c r="AT120" i="1"/>
  <c r="BQ120" i="1"/>
  <c r="AV120" i="1"/>
  <c r="AD120" i="1"/>
  <c r="AC120" i="1"/>
  <c r="BM120" i="1"/>
  <c r="BL120" i="1"/>
  <c r="AB119" i="1"/>
  <c r="BN119" i="1" s="1"/>
  <c r="Q119" i="1"/>
  <c r="AK120" i="1"/>
  <c r="BG120" i="1" a="1"/>
  <c r="R119" i="1"/>
  <c r="AU120" i="1" l="1"/>
  <c r="BG120" i="1"/>
  <c r="V119" i="1"/>
  <c r="Z119" i="1"/>
  <c r="Y119" i="1"/>
  <c r="W119" i="1"/>
  <c r="T119" i="1"/>
  <c r="BP120" i="1"/>
  <c r="AE119" i="1"/>
  <c r="S119" i="1"/>
  <c r="U119" i="1"/>
  <c r="AH119" i="1" l="1"/>
  <c r="AS119" i="1"/>
  <c r="AA119" i="1"/>
  <c r="X119" i="1"/>
  <c r="AL119" i="1"/>
  <c r="AF119" i="1"/>
  <c r="AR119" i="1"/>
  <c r="BT119" i="1"/>
  <c r="AQ119" i="1"/>
  <c r="AP119" i="1"/>
  <c r="BS119" i="1"/>
  <c r="AO119" i="1"/>
  <c r="BK119" i="1"/>
  <c r="AN119" i="1"/>
  <c r="BC119" i="1"/>
  <c r="AM119" i="1"/>
  <c r="BA119" i="1"/>
  <c r="AG119" i="1"/>
  <c r="AZ119" i="1"/>
  <c r="BG119" i="1" a="1"/>
  <c r="AY119" i="1"/>
  <c r="BU119" i="1"/>
  <c r="AW119" i="1"/>
  <c r="AX119" i="1"/>
  <c r="AJ119" i="1" l="1"/>
  <c r="AT119" i="1"/>
  <c r="AI119" i="1"/>
  <c r="BQ119" i="1"/>
  <c r="AV119" i="1"/>
  <c r="BG119" i="1"/>
  <c r="BL119" i="1"/>
  <c r="BM119" i="1"/>
  <c r="AD119" i="1"/>
  <c r="AC119" i="1"/>
  <c r="AB118" i="1"/>
  <c r="BN118" i="1" s="1"/>
  <c r="Q118" i="1"/>
  <c r="AK119" i="1"/>
  <c r="BI119" i="1"/>
  <c r="BP119" i="1"/>
  <c r="R118" i="1"/>
  <c r="AU119" i="1" l="1"/>
  <c r="V118" i="1"/>
  <c r="Z118" i="1"/>
  <c r="Y118" i="1"/>
  <c r="W118" i="1"/>
  <c r="T118" i="1"/>
  <c r="AE118" i="1"/>
  <c r="S118" i="1"/>
  <c r="U118" i="1"/>
  <c r="AH118" i="1" l="1"/>
  <c r="AS118" i="1"/>
  <c r="AA118" i="1"/>
  <c r="X118" i="1"/>
  <c r="AL118" i="1"/>
  <c r="AO118" i="1"/>
  <c r="AR118" i="1"/>
  <c r="AQ118" i="1"/>
  <c r="BC118" i="1"/>
  <c r="BK118" i="1"/>
  <c r="AN118" i="1"/>
  <c r="AM118" i="1"/>
  <c r="BA118" i="1"/>
  <c r="AF118" i="1"/>
  <c r="AZ118" i="1"/>
  <c r="BT118" i="1"/>
  <c r="AG118" i="1"/>
  <c r="BS118" i="1"/>
  <c r="AY118" i="1"/>
  <c r="AP118" i="1"/>
  <c r="BU118" i="1"/>
  <c r="BI118" i="1"/>
  <c r="AW118" i="1"/>
  <c r="AX118" i="1"/>
  <c r="AJ118" i="1" l="1"/>
  <c r="AI118" i="1"/>
  <c r="AT118" i="1"/>
  <c r="BQ118" i="1"/>
  <c r="AV118" i="1"/>
  <c r="AD118" i="1"/>
  <c r="AC118" i="1"/>
  <c r="BL118" i="1"/>
  <c r="BM118" i="1"/>
  <c r="AB117" i="1"/>
  <c r="BN117" i="1" s="1"/>
  <c r="Q117" i="1"/>
  <c r="AK118" i="1"/>
  <c r="BG118" i="1" a="1"/>
  <c r="R117" i="1"/>
  <c r="AU118" i="1" l="1"/>
  <c r="BG118" i="1"/>
  <c r="V117" i="1"/>
  <c r="Y117" i="1"/>
  <c r="Z117" i="1"/>
  <c r="W117" i="1"/>
  <c r="T117" i="1"/>
  <c r="AE117" i="1"/>
  <c r="BP118" i="1"/>
  <c r="S117" i="1"/>
  <c r="U117" i="1"/>
  <c r="AH117" i="1" l="1"/>
  <c r="AS117" i="1"/>
  <c r="AA117" i="1"/>
  <c r="X117" i="1"/>
  <c r="AL117" i="1"/>
  <c r="BS117" i="1"/>
  <c r="AR117" i="1"/>
  <c r="AG117" i="1"/>
  <c r="AQ117" i="1"/>
  <c r="AO117" i="1"/>
  <c r="AP117" i="1"/>
  <c r="AN117" i="1"/>
  <c r="BK117" i="1"/>
  <c r="AM117" i="1"/>
  <c r="BG117" i="1" a="1"/>
  <c r="BC117" i="1"/>
  <c r="BA117" i="1"/>
  <c r="AY117" i="1"/>
  <c r="AZ117" i="1"/>
  <c r="AF117" i="1"/>
  <c r="BT117" i="1"/>
  <c r="BU117" i="1"/>
  <c r="AX117" i="1"/>
  <c r="AW117" i="1"/>
  <c r="AI117" i="1" l="1"/>
  <c r="AT117" i="1"/>
  <c r="AJ117" i="1"/>
  <c r="BQ117" i="1"/>
  <c r="AV117" i="1"/>
  <c r="BG117" i="1"/>
  <c r="AD117" i="1"/>
  <c r="AC117" i="1"/>
  <c r="BL117" i="1"/>
  <c r="BM117" i="1"/>
  <c r="AB116" i="1"/>
  <c r="BN116" i="1" s="1"/>
  <c r="Q116" i="1"/>
  <c r="AK117" i="1"/>
  <c r="BP117" i="1"/>
  <c r="BI117" i="1"/>
  <c r="R116" i="1"/>
  <c r="AU117" i="1" l="1"/>
  <c r="V116" i="1"/>
  <c r="Y116" i="1"/>
  <c r="Z116" i="1"/>
  <c r="W116" i="1"/>
  <c r="T116" i="1"/>
  <c r="AE116" i="1"/>
  <c r="S116" i="1"/>
  <c r="U116" i="1"/>
  <c r="AH116" i="1" l="1"/>
  <c r="AS116" i="1"/>
  <c r="AA116" i="1"/>
  <c r="X116" i="1"/>
  <c r="AL116" i="1"/>
  <c r="BS116" i="1"/>
  <c r="AR116" i="1"/>
  <c r="AQ116" i="1"/>
  <c r="AO116" i="1"/>
  <c r="AP116" i="1"/>
  <c r="BC116" i="1"/>
  <c r="BK116" i="1"/>
  <c r="BA116" i="1"/>
  <c r="AN116" i="1"/>
  <c r="AZ116" i="1"/>
  <c r="AM116" i="1"/>
  <c r="AG116" i="1"/>
  <c r="AY116" i="1"/>
  <c r="AF116" i="1"/>
  <c r="BT116" i="1"/>
  <c r="BU116" i="1"/>
  <c r="BI116" i="1"/>
  <c r="AW116" i="1"/>
  <c r="AX116" i="1"/>
  <c r="AI116" i="1" l="1"/>
  <c r="AJ116" i="1"/>
  <c r="AT116" i="1"/>
  <c r="BQ116" i="1"/>
  <c r="AV116" i="1"/>
  <c r="AD116" i="1"/>
  <c r="AC116" i="1"/>
  <c r="BL116" i="1"/>
  <c r="BM116" i="1"/>
  <c r="AB115" i="1"/>
  <c r="BN115" i="1" s="1"/>
  <c r="Q115" i="1"/>
  <c r="AK116" i="1"/>
  <c r="BG116" i="1" a="1"/>
  <c r="R115" i="1"/>
  <c r="AU116" i="1" l="1"/>
  <c r="BG116" i="1"/>
  <c r="V115" i="1"/>
  <c r="Y115" i="1"/>
  <c r="W115" i="1"/>
  <c r="Z115" i="1"/>
  <c r="T115" i="1"/>
  <c r="AE115" i="1"/>
  <c r="BP116" i="1"/>
  <c r="U115" i="1"/>
  <c r="S115" i="1"/>
  <c r="AH115" i="1" l="1"/>
  <c r="AS115" i="1"/>
  <c r="AA115" i="1"/>
  <c r="X115" i="1"/>
  <c r="AL115" i="1"/>
  <c r="AQ115" i="1"/>
  <c r="AR115" i="1"/>
  <c r="BT115" i="1"/>
  <c r="AP115" i="1"/>
  <c r="BS115" i="1"/>
  <c r="AO115" i="1"/>
  <c r="BK115" i="1"/>
  <c r="AN115" i="1"/>
  <c r="BC115" i="1"/>
  <c r="AM115" i="1"/>
  <c r="BA115" i="1"/>
  <c r="AG115" i="1"/>
  <c r="BI115" i="1"/>
  <c r="AZ115" i="1"/>
  <c r="AY115" i="1"/>
  <c r="AF115" i="1"/>
  <c r="BU115" i="1"/>
  <c r="AW115" i="1"/>
  <c r="AX115" i="1"/>
  <c r="AI115" i="1" l="1"/>
  <c r="AJ115" i="1"/>
  <c r="AT115" i="1"/>
  <c r="BQ115" i="1"/>
  <c r="AV115" i="1"/>
  <c r="AD115" i="1"/>
  <c r="AC115" i="1"/>
  <c r="BM115" i="1"/>
  <c r="BL115" i="1"/>
  <c r="AB114" i="1"/>
  <c r="BN114" i="1" s="1"/>
  <c r="Q114" i="1"/>
  <c r="AK115" i="1"/>
  <c r="BG115" i="1" a="1"/>
  <c r="R114" i="1"/>
  <c r="AU115" i="1" l="1"/>
  <c r="BG115" i="1"/>
  <c r="V114" i="1"/>
  <c r="Y114" i="1"/>
  <c r="W114" i="1"/>
  <c r="Z114" i="1"/>
  <c r="T114" i="1"/>
  <c r="AE114" i="1"/>
  <c r="BP115" i="1"/>
  <c r="S114" i="1"/>
  <c r="U114" i="1"/>
  <c r="AH114" i="1" l="1"/>
  <c r="AS114" i="1"/>
  <c r="AA114" i="1"/>
  <c r="X114" i="1"/>
  <c r="AL114" i="1"/>
  <c r="BK114" i="1"/>
  <c r="AR114" i="1"/>
  <c r="AQ114" i="1"/>
  <c r="AN114" i="1"/>
  <c r="AP114" i="1"/>
  <c r="BA114" i="1"/>
  <c r="BG114" i="1" a="1"/>
  <c r="AO114" i="1"/>
  <c r="AZ114" i="1"/>
  <c r="BC114" i="1"/>
  <c r="AG114" i="1"/>
  <c r="AM114" i="1"/>
  <c r="AY114" i="1"/>
  <c r="BT114" i="1"/>
  <c r="AF114" i="1"/>
  <c r="BS114" i="1"/>
  <c r="BU114" i="1"/>
  <c r="AX114" i="1"/>
  <c r="AW114" i="1"/>
  <c r="AI114" i="1" l="1"/>
  <c r="AT114" i="1"/>
  <c r="AJ114" i="1"/>
  <c r="AV114" i="1"/>
  <c r="BQ114" i="1"/>
  <c r="BG114" i="1"/>
  <c r="AD114" i="1"/>
  <c r="AC114" i="1"/>
  <c r="BM114" i="1"/>
  <c r="BL114" i="1"/>
  <c r="AB113" i="1"/>
  <c r="BN113" i="1" s="1"/>
  <c r="Q113" i="1"/>
  <c r="AK114" i="1"/>
  <c r="BP114" i="1"/>
  <c r="BI114" i="1"/>
  <c r="R113" i="1"/>
  <c r="AU114" i="1" l="1"/>
  <c r="V113" i="1"/>
  <c r="Y113" i="1"/>
  <c r="Z113" i="1"/>
  <c r="W113" i="1"/>
  <c r="T113" i="1"/>
  <c r="AE113" i="1"/>
  <c r="U113" i="1"/>
  <c r="S113" i="1"/>
  <c r="AH113" i="1" l="1"/>
  <c r="AS113" i="1"/>
  <c r="AA113" i="1"/>
  <c r="X113" i="1"/>
  <c r="AL113" i="1"/>
  <c r="BS113" i="1"/>
  <c r="AR113" i="1"/>
  <c r="AQ113" i="1"/>
  <c r="BK113" i="1"/>
  <c r="AP113" i="1"/>
  <c r="AO113" i="1"/>
  <c r="AN113" i="1"/>
  <c r="BC113" i="1"/>
  <c r="AM113" i="1"/>
  <c r="BA113" i="1"/>
  <c r="BT113" i="1"/>
  <c r="AY113" i="1"/>
  <c r="AZ113" i="1"/>
  <c r="BU113" i="1"/>
  <c r="AF113" i="1"/>
  <c r="AG113" i="1"/>
  <c r="BI113" i="1"/>
  <c r="AW113" i="1"/>
  <c r="AX113" i="1"/>
  <c r="AJ113" i="1" l="1"/>
  <c r="AI113" i="1"/>
  <c r="AT113" i="1"/>
  <c r="BQ113" i="1"/>
  <c r="AV113" i="1"/>
  <c r="AD113" i="1"/>
  <c r="AC113" i="1"/>
  <c r="BM113" i="1"/>
  <c r="BL113" i="1"/>
  <c r="AB112" i="1"/>
  <c r="BN112" i="1" s="1"/>
  <c r="Q112" i="1"/>
  <c r="AK113" i="1"/>
  <c r="BG113" i="1" a="1"/>
  <c r="R112" i="1"/>
  <c r="AU113" i="1" l="1"/>
  <c r="BG113" i="1"/>
  <c r="V112" i="1"/>
  <c r="Z112" i="1"/>
  <c r="Y112" i="1"/>
  <c r="W112" i="1"/>
  <c r="T112" i="1"/>
  <c r="AE112" i="1"/>
  <c r="BP113" i="1"/>
  <c r="S112" i="1"/>
  <c r="U112" i="1"/>
  <c r="AH112" i="1" l="1"/>
  <c r="AS112" i="1"/>
  <c r="AA112" i="1"/>
  <c r="X112" i="1"/>
  <c r="AL112" i="1"/>
  <c r="BA112" i="1"/>
  <c r="AR112" i="1"/>
  <c r="BT112" i="1"/>
  <c r="AN112" i="1"/>
  <c r="AQ112" i="1"/>
  <c r="AM112" i="1"/>
  <c r="BS112" i="1"/>
  <c r="AZ112" i="1"/>
  <c r="AP112" i="1"/>
  <c r="AG112" i="1"/>
  <c r="BK112" i="1"/>
  <c r="AY112" i="1"/>
  <c r="AF112" i="1"/>
  <c r="AO112" i="1"/>
  <c r="BC112" i="1"/>
  <c r="BU112" i="1"/>
  <c r="BI112" i="1"/>
  <c r="AW112" i="1"/>
  <c r="AX112" i="1"/>
  <c r="AI112" i="1" l="1"/>
  <c r="AJ112" i="1"/>
  <c r="AT112" i="1"/>
  <c r="BQ112" i="1"/>
  <c r="AV112" i="1"/>
  <c r="AD112" i="1"/>
  <c r="AC112" i="1"/>
  <c r="BL112" i="1"/>
  <c r="BM112" i="1"/>
  <c r="AB111" i="1"/>
  <c r="BN111" i="1" s="1"/>
  <c r="Q111" i="1"/>
  <c r="AK112" i="1"/>
  <c r="BG112" i="1" a="1"/>
  <c r="R111" i="1"/>
  <c r="AU112" i="1" l="1"/>
  <c r="BG112" i="1"/>
  <c r="V111" i="1"/>
  <c r="Y111" i="1"/>
  <c r="Z111" i="1"/>
  <c r="W111" i="1"/>
  <c r="T111" i="1"/>
  <c r="BP112" i="1"/>
  <c r="AE111" i="1"/>
  <c r="AG111" i="1"/>
  <c r="S111" i="1"/>
  <c r="U111" i="1"/>
  <c r="AJ111" i="1" l="1"/>
  <c r="AH111" i="1"/>
  <c r="AS111" i="1"/>
  <c r="AA111" i="1"/>
  <c r="X111" i="1"/>
  <c r="AZ111" i="1"/>
  <c r="AQ111" i="1"/>
  <c r="BT111" i="1"/>
  <c r="AO111" i="1"/>
  <c r="BS111" i="1"/>
  <c r="BC111" i="1"/>
  <c r="AN111" i="1"/>
  <c r="AL111" i="1"/>
  <c r="BA111" i="1"/>
  <c r="AY111" i="1"/>
  <c r="AP111" i="1"/>
  <c r="AF111" i="1"/>
  <c r="BI111" i="1"/>
  <c r="BK111" i="1"/>
  <c r="BU111" i="1"/>
  <c r="AM111" i="1"/>
  <c r="AR111" i="1"/>
  <c r="AX111" i="1"/>
  <c r="AW111" i="1"/>
  <c r="AT111" i="1" l="1"/>
  <c r="AI111" i="1"/>
  <c r="BQ111" i="1"/>
  <c r="AV111" i="1"/>
  <c r="BM111" i="1"/>
  <c r="BL111" i="1"/>
  <c r="AD111" i="1"/>
  <c r="AC111" i="1"/>
  <c r="AB110" i="1"/>
  <c r="BN110" i="1" s="1"/>
  <c r="Q110" i="1"/>
  <c r="AK111" i="1"/>
  <c r="BG111" i="1" a="1"/>
  <c r="R110" i="1"/>
  <c r="AU111" i="1" l="1"/>
  <c r="BG111" i="1"/>
  <c r="V110" i="1"/>
  <c r="Z110" i="1"/>
  <c r="Y110" i="1"/>
  <c r="W110" i="1"/>
  <c r="T110" i="1"/>
  <c r="BP111" i="1"/>
  <c r="AE110" i="1"/>
  <c r="U110" i="1"/>
  <c r="S110" i="1"/>
  <c r="AH110" i="1" l="1"/>
  <c r="AS110" i="1"/>
  <c r="AA110" i="1"/>
  <c r="X110" i="1"/>
  <c r="AL110" i="1"/>
  <c r="AQ110" i="1"/>
  <c r="AR110" i="1"/>
  <c r="AG110" i="1"/>
  <c r="BT110" i="1"/>
  <c r="BS110" i="1"/>
  <c r="AP110" i="1"/>
  <c r="BK110" i="1"/>
  <c r="AO110" i="1"/>
  <c r="AN110" i="1"/>
  <c r="BC110" i="1"/>
  <c r="AM110" i="1"/>
  <c r="BA110" i="1"/>
  <c r="BI110" i="1"/>
  <c r="AZ110" i="1"/>
  <c r="AY110" i="1"/>
  <c r="AF110" i="1"/>
  <c r="BU110" i="1"/>
  <c r="AX110" i="1"/>
  <c r="AW110" i="1"/>
  <c r="AI110" i="1" l="1"/>
  <c r="AT110" i="1"/>
  <c r="AJ110" i="1"/>
  <c r="AV110" i="1"/>
  <c r="BQ110" i="1"/>
  <c r="AD110" i="1"/>
  <c r="AC110" i="1"/>
  <c r="BM110" i="1"/>
  <c r="BL110" i="1"/>
  <c r="AB109" i="1"/>
  <c r="BN109" i="1" s="1"/>
  <c r="Q109" i="1"/>
  <c r="AK110" i="1"/>
  <c r="BG110" i="1" a="1"/>
  <c r="R109" i="1"/>
  <c r="AU110" i="1" l="1"/>
  <c r="BG110" i="1"/>
  <c r="V109" i="1"/>
  <c r="Y109" i="1"/>
  <c r="Z109" i="1"/>
  <c r="W109" i="1"/>
  <c r="T109" i="1"/>
  <c r="AE109" i="1"/>
  <c r="BP110" i="1"/>
  <c r="U109" i="1"/>
  <c r="S109" i="1"/>
  <c r="AH109" i="1" l="1"/>
  <c r="AS109" i="1"/>
  <c r="AA109" i="1"/>
  <c r="X109" i="1"/>
  <c r="AL109" i="1"/>
  <c r="BK109" i="1"/>
  <c r="AR109" i="1"/>
  <c r="AQ109" i="1"/>
  <c r="BC109" i="1"/>
  <c r="BS109" i="1"/>
  <c r="BA109" i="1"/>
  <c r="AO109" i="1"/>
  <c r="AZ109" i="1"/>
  <c r="AN109" i="1"/>
  <c r="AG109" i="1"/>
  <c r="AM109" i="1"/>
  <c r="AY109" i="1"/>
  <c r="BT109" i="1"/>
  <c r="AF109" i="1"/>
  <c r="BI109" i="1"/>
  <c r="AP109" i="1"/>
  <c r="BU109" i="1"/>
  <c r="AW109" i="1"/>
  <c r="AX109" i="1"/>
  <c r="AI109" i="1" l="1"/>
  <c r="AT109" i="1"/>
  <c r="AJ109" i="1"/>
  <c r="BQ109" i="1"/>
  <c r="AV109" i="1"/>
  <c r="AD109" i="1"/>
  <c r="AC109" i="1"/>
  <c r="BM109" i="1"/>
  <c r="BL109" i="1"/>
  <c r="AB108" i="1"/>
  <c r="BN108" i="1" s="1"/>
  <c r="Q108" i="1"/>
  <c r="AK109" i="1"/>
  <c r="BG109" i="1" a="1"/>
  <c r="R108" i="1"/>
  <c r="AU109" i="1" l="1"/>
  <c r="BG109" i="1"/>
  <c r="V108" i="1"/>
  <c r="Y108" i="1"/>
  <c r="W108" i="1"/>
  <c r="Z108" i="1"/>
  <c r="T108" i="1"/>
  <c r="BP109" i="1"/>
  <c r="AE108" i="1"/>
  <c r="S108" i="1"/>
  <c r="U108" i="1"/>
  <c r="AH108" i="1" l="1"/>
  <c r="AS108" i="1"/>
  <c r="AA108" i="1"/>
  <c r="X108" i="1"/>
  <c r="AL108" i="1"/>
  <c r="AP108" i="1"/>
  <c r="AR108" i="1"/>
  <c r="AQ108" i="1"/>
  <c r="AO108" i="1"/>
  <c r="BS108" i="1"/>
  <c r="AN108" i="1"/>
  <c r="BK108" i="1"/>
  <c r="BA108" i="1"/>
  <c r="BC108" i="1"/>
  <c r="AZ108" i="1"/>
  <c r="AM108" i="1"/>
  <c r="AG108" i="1"/>
  <c r="BI108" i="1"/>
  <c r="AY108" i="1"/>
  <c r="AF108" i="1"/>
  <c r="BT108" i="1"/>
  <c r="BU108" i="1"/>
  <c r="AW108" i="1"/>
  <c r="AX108" i="1"/>
  <c r="AI108" i="1" l="1"/>
  <c r="AJ108" i="1"/>
  <c r="AT108" i="1"/>
  <c r="BQ108" i="1"/>
  <c r="AV108" i="1"/>
  <c r="AD108" i="1"/>
  <c r="AC108" i="1"/>
  <c r="BM108" i="1"/>
  <c r="BL108" i="1"/>
  <c r="AB107" i="1"/>
  <c r="BN107" i="1" s="1"/>
  <c r="Q107" i="1"/>
  <c r="AK108" i="1"/>
  <c r="BG108" i="1" a="1"/>
  <c r="R107" i="1"/>
  <c r="AU108" i="1" l="1"/>
  <c r="BG108" i="1"/>
  <c r="V107" i="1"/>
  <c r="Z107" i="1"/>
  <c r="Y107" i="1"/>
  <c r="W107" i="1"/>
  <c r="T107" i="1"/>
  <c r="BP108" i="1"/>
  <c r="AE107" i="1"/>
  <c r="S107" i="1"/>
  <c r="U107" i="1"/>
  <c r="AH107" i="1" l="1"/>
  <c r="AS107" i="1"/>
  <c r="AA107" i="1"/>
  <c r="X107" i="1"/>
  <c r="AL107" i="1"/>
  <c r="BT107" i="1"/>
  <c r="AR107" i="1"/>
  <c r="AQ107" i="1"/>
  <c r="BS107" i="1"/>
  <c r="AF107" i="1"/>
  <c r="AP107" i="1"/>
  <c r="BC107" i="1"/>
  <c r="BK107" i="1"/>
  <c r="AN107" i="1"/>
  <c r="AO107" i="1"/>
  <c r="BA107" i="1"/>
  <c r="BU107" i="1"/>
  <c r="AG107" i="1"/>
  <c r="AM107" i="1"/>
  <c r="AY107" i="1"/>
  <c r="AZ107" i="1"/>
  <c r="BI107" i="1"/>
  <c r="AW107" i="1"/>
  <c r="AX107" i="1"/>
  <c r="AT107" i="1" l="1"/>
  <c r="AJ107" i="1"/>
  <c r="AI107" i="1"/>
  <c r="BQ107" i="1"/>
  <c r="AV107" i="1"/>
  <c r="AD107" i="1"/>
  <c r="AC107" i="1"/>
  <c r="BL107" i="1"/>
  <c r="BM107" i="1"/>
  <c r="AB106" i="1"/>
  <c r="BN106" i="1" s="1"/>
  <c r="Q106" i="1"/>
  <c r="AK107" i="1"/>
  <c r="BG107" i="1" a="1"/>
  <c r="R106" i="1"/>
  <c r="AU107" i="1" l="1"/>
  <c r="BG107" i="1"/>
  <c r="T106" i="1"/>
  <c r="V106" i="1"/>
  <c r="Y106" i="1"/>
  <c r="Z106" i="1"/>
  <c r="W106" i="1"/>
  <c r="AF106" i="1"/>
  <c r="BP107" i="1"/>
  <c r="S106" i="1"/>
  <c r="U106" i="1"/>
  <c r="AI106" i="1" l="1"/>
  <c r="AS106" i="1"/>
  <c r="AA106" i="1"/>
  <c r="X106" i="1"/>
  <c r="AL106" i="1"/>
  <c r="AG106" i="1"/>
  <c r="AY106" i="1"/>
  <c r="BU106" i="1"/>
  <c r="AR106" i="1"/>
  <c r="AE106" i="1"/>
  <c r="BT106" i="1"/>
  <c r="AQ106" i="1"/>
  <c r="AP106" i="1"/>
  <c r="BS106" i="1"/>
  <c r="AO106" i="1"/>
  <c r="BI106" i="1"/>
  <c r="BK106" i="1"/>
  <c r="BC106" i="1"/>
  <c r="AN106" i="1"/>
  <c r="AM106" i="1"/>
  <c r="BA106" i="1"/>
  <c r="AZ106" i="1"/>
  <c r="AW106" i="1"/>
  <c r="AX106" i="1"/>
  <c r="AT106" i="1" l="1"/>
  <c r="AH106" i="1"/>
  <c r="AJ106" i="1"/>
  <c r="BQ106" i="1"/>
  <c r="AV106" i="1"/>
  <c r="AD106" i="1"/>
  <c r="AC106" i="1"/>
  <c r="BM106" i="1"/>
  <c r="BL106" i="1"/>
  <c r="AB105" i="1"/>
  <c r="BN105" i="1" s="1"/>
  <c r="Q105" i="1"/>
  <c r="AK106" i="1"/>
  <c r="BG106" i="1" a="1"/>
  <c r="R105" i="1"/>
  <c r="BG106" i="1" l="1"/>
  <c r="AU106" i="1"/>
  <c r="V105" i="1"/>
  <c r="Z105" i="1"/>
  <c r="Y105" i="1"/>
  <c r="W105" i="1"/>
  <c r="T105" i="1"/>
  <c r="BP106" i="1"/>
  <c r="AE105" i="1"/>
  <c r="S105" i="1"/>
  <c r="U105" i="1"/>
  <c r="AH105" i="1" l="1"/>
  <c r="AS105" i="1"/>
  <c r="AA105" i="1"/>
  <c r="X105" i="1"/>
  <c r="AL105" i="1"/>
  <c r="AO105" i="1"/>
  <c r="AR105" i="1"/>
  <c r="BS105" i="1"/>
  <c r="BC105" i="1"/>
  <c r="BK105" i="1"/>
  <c r="BA105" i="1"/>
  <c r="AN105" i="1"/>
  <c r="AZ105" i="1"/>
  <c r="AM105" i="1"/>
  <c r="AG105" i="1"/>
  <c r="BI105" i="1"/>
  <c r="BT105" i="1"/>
  <c r="AY105" i="1"/>
  <c r="AQ105" i="1"/>
  <c r="AF105" i="1"/>
  <c r="AP105" i="1"/>
  <c r="BU105" i="1"/>
  <c r="AW105" i="1"/>
  <c r="AX105" i="1"/>
  <c r="AI105" i="1" l="1"/>
  <c r="AJ105" i="1"/>
  <c r="AT105" i="1"/>
  <c r="BQ105" i="1"/>
  <c r="AV105" i="1"/>
  <c r="AD105" i="1"/>
  <c r="AC105" i="1"/>
  <c r="BM105" i="1"/>
  <c r="BL105" i="1"/>
  <c r="AB104" i="1"/>
  <c r="BN104" i="1" s="1"/>
  <c r="Q104" i="1"/>
  <c r="AK105" i="1"/>
  <c r="BG105" i="1" a="1"/>
  <c r="R104" i="1"/>
  <c r="AU105" i="1" l="1"/>
  <c r="BG105" i="1"/>
  <c r="V104" i="1"/>
  <c r="Z104" i="1"/>
  <c r="Y104" i="1"/>
  <c r="W104" i="1"/>
  <c r="T104" i="1"/>
  <c r="BP105" i="1"/>
  <c r="AE104" i="1"/>
  <c r="S104" i="1"/>
  <c r="U104" i="1"/>
  <c r="AH104" i="1" l="1"/>
  <c r="AS104" i="1"/>
  <c r="X104" i="1"/>
  <c r="AA104" i="1"/>
  <c r="AL104" i="1"/>
  <c r="AQ104" i="1"/>
  <c r="AR104" i="1"/>
  <c r="BI104" i="1"/>
  <c r="BT104" i="1"/>
  <c r="AP104" i="1"/>
  <c r="BS104" i="1"/>
  <c r="AO104" i="1"/>
  <c r="BK104" i="1"/>
  <c r="BC104" i="1"/>
  <c r="AN104" i="1"/>
  <c r="AM104" i="1"/>
  <c r="BA104" i="1"/>
  <c r="AG104" i="1"/>
  <c r="AZ104" i="1"/>
  <c r="AY104" i="1"/>
  <c r="AF104" i="1"/>
  <c r="BU104" i="1"/>
  <c r="AW104" i="1"/>
  <c r="AX104" i="1"/>
  <c r="AI104" i="1" l="1"/>
  <c r="AJ104" i="1"/>
  <c r="AT104" i="1"/>
  <c r="BQ104" i="1"/>
  <c r="AV104" i="1"/>
  <c r="AD104" i="1"/>
  <c r="AC104" i="1"/>
  <c r="BM104" i="1"/>
  <c r="BL104" i="1"/>
  <c r="AB103" i="1"/>
  <c r="BN103" i="1" s="1"/>
  <c r="Q103" i="1"/>
  <c r="AK104" i="1"/>
  <c r="BG104" i="1" a="1"/>
  <c r="R103" i="1"/>
  <c r="AU104" i="1" l="1"/>
  <c r="BG104" i="1"/>
  <c r="V103" i="1"/>
  <c r="Z103" i="1"/>
  <c r="Y103" i="1"/>
  <c r="W103" i="1"/>
  <c r="T103" i="1"/>
  <c r="BP104" i="1"/>
  <c r="AE103" i="1"/>
  <c r="S103" i="1"/>
  <c r="U103" i="1"/>
  <c r="AH103" i="1" l="1"/>
  <c r="AS103" i="1"/>
  <c r="AA103" i="1"/>
  <c r="X103" i="1"/>
  <c r="AL103" i="1"/>
  <c r="BT103" i="1"/>
  <c r="AR103" i="1"/>
  <c r="AQ103" i="1"/>
  <c r="AP103" i="1"/>
  <c r="BS103" i="1"/>
  <c r="AO103" i="1"/>
  <c r="BK103" i="1"/>
  <c r="BC103" i="1"/>
  <c r="AN103" i="1"/>
  <c r="AM103" i="1"/>
  <c r="BA103" i="1"/>
  <c r="AG103" i="1"/>
  <c r="AZ103" i="1"/>
  <c r="AY103" i="1"/>
  <c r="AF103" i="1"/>
  <c r="BU103" i="1"/>
  <c r="BG103" i="1" a="1"/>
  <c r="AW103" i="1"/>
  <c r="AX103" i="1"/>
  <c r="AI103" i="1" l="1"/>
  <c r="AJ103" i="1"/>
  <c r="AT103" i="1"/>
  <c r="BQ103" i="1"/>
  <c r="AV103" i="1"/>
  <c r="BG103" i="1"/>
  <c r="AD103" i="1"/>
  <c r="AC103" i="1"/>
  <c r="BL103" i="1"/>
  <c r="BM103" i="1"/>
  <c r="AB102" i="1"/>
  <c r="BN102" i="1" s="1"/>
  <c r="Q102" i="1"/>
  <c r="AK103" i="1"/>
  <c r="BP103" i="1"/>
  <c r="BI103" i="1"/>
  <c r="R102" i="1"/>
  <c r="AU103" i="1" l="1"/>
  <c r="V102" i="1"/>
  <c r="Z102" i="1"/>
  <c r="Y102" i="1"/>
  <c r="W102" i="1"/>
  <c r="T102" i="1"/>
  <c r="AE102" i="1"/>
  <c r="S102" i="1"/>
  <c r="U102" i="1"/>
  <c r="AH102" i="1" l="1"/>
  <c r="AS102" i="1"/>
  <c r="AA102" i="1"/>
  <c r="X102" i="1"/>
  <c r="AL102" i="1"/>
  <c r="AO102" i="1"/>
  <c r="AR102" i="1"/>
  <c r="AQ102" i="1"/>
  <c r="AN102" i="1"/>
  <c r="BS102" i="1"/>
  <c r="BA102" i="1"/>
  <c r="AG102" i="1"/>
  <c r="BK102" i="1"/>
  <c r="AZ102" i="1"/>
  <c r="BC102" i="1"/>
  <c r="BI102" i="1"/>
  <c r="AM102" i="1"/>
  <c r="AY102" i="1"/>
  <c r="BT102" i="1"/>
  <c r="AF102" i="1"/>
  <c r="AP102" i="1"/>
  <c r="BU102" i="1"/>
  <c r="AX102" i="1"/>
  <c r="AW102" i="1"/>
  <c r="AI102" i="1" l="1"/>
  <c r="AT102" i="1"/>
  <c r="AJ102" i="1"/>
  <c r="BQ102" i="1"/>
  <c r="AV102" i="1"/>
  <c r="AD102" i="1"/>
  <c r="AC102" i="1"/>
  <c r="BM102" i="1"/>
  <c r="BL102" i="1"/>
  <c r="AB101" i="1"/>
  <c r="BN101" i="1" s="1"/>
  <c r="Q101" i="1"/>
  <c r="AK102" i="1"/>
  <c r="BG102" i="1" a="1"/>
  <c r="R101" i="1"/>
  <c r="AU102" i="1" l="1"/>
  <c r="BG102" i="1"/>
  <c r="V101" i="1"/>
  <c r="Y101" i="1"/>
  <c r="Z101" i="1"/>
  <c r="W101" i="1"/>
  <c r="T101" i="1"/>
  <c r="AE101" i="1"/>
  <c r="BP102" i="1"/>
  <c r="S101" i="1"/>
  <c r="U101" i="1"/>
  <c r="AH101" i="1" l="1"/>
  <c r="AS101" i="1"/>
  <c r="AA101" i="1"/>
  <c r="X101" i="1"/>
  <c r="AL101" i="1"/>
  <c r="AP101" i="1"/>
  <c r="AR101" i="1"/>
  <c r="AQ101" i="1"/>
  <c r="AO101" i="1"/>
  <c r="BS101" i="1"/>
  <c r="AN101" i="1"/>
  <c r="BK101" i="1"/>
  <c r="AM101" i="1"/>
  <c r="BC101" i="1"/>
  <c r="AG101" i="1"/>
  <c r="BA101" i="1"/>
  <c r="AY101" i="1"/>
  <c r="BI101" i="1"/>
  <c r="AZ101" i="1"/>
  <c r="AF101" i="1"/>
  <c r="BT101" i="1"/>
  <c r="BU101" i="1"/>
  <c r="AX101" i="1"/>
  <c r="AW101" i="1"/>
  <c r="AI101" i="1" l="1"/>
  <c r="AJ101" i="1"/>
  <c r="AT101" i="1"/>
  <c r="BQ101" i="1"/>
  <c r="AV101" i="1"/>
  <c r="AD101" i="1"/>
  <c r="AC101" i="1"/>
  <c r="BM101" i="1"/>
  <c r="BL101" i="1"/>
  <c r="AB100" i="1"/>
  <c r="BN100" i="1" s="1"/>
  <c r="Q100" i="1"/>
  <c r="AK101" i="1"/>
  <c r="BG101" i="1" a="1"/>
  <c r="R100" i="1"/>
  <c r="AU101" i="1" l="1"/>
  <c r="BG101" i="1"/>
  <c r="V100" i="1"/>
  <c r="Y100" i="1"/>
  <c r="W100" i="1"/>
  <c r="Z100" i="1"/>
  <c r="T100" i="1"/>
  <c r="BP101" i="1"/>
  <c r="AE100" i="1"/>
  <c r="S100" i="1"/>
  <c r="U100" i="1"/>
  <c r="AH100" i="1" l="1"/>
  <c r="AS100" i="1"/>
  <c r="AA100" i="1"/>
  <c r="X100" i="1"/>
  <c r="AL100" i="1"/>
  <c r="AP100" i="1"/>
  <c r="AR100" i="1"/>
  <c r="BT100" i="1"/>
  <c r="AO100" i="1"/>
  <c r="AQ100" i="1"/>
  <c r="AN100" i="1"/>
  <c r="BS100" i="1"/>
  <c r="AM100" i="1"/>
  <c r="BK100" i="1"/>
  <c r="AG100" i="1"/>
  <c r="BI100" i="1"/>
  <c r="BC100" i="1"/>
  <c r="AY100" i="1"/>
  <c r="BA100" i="1"/>
  <c r="AF100" i="1"/>
  <c r="AZ100" i="1"/>
  <c r="BU100" i="1"/>
  <c r="AX100" i="1"/>
  <c r="AW100" i="1"/>
  <c r="AI100" i="1" l="1"/>
  <c r="AJ100" i="1"/>
  <c r="AT100" i="1"/>
  <c r="BQ100" i="1"/>
  <c r="AV100" i="1"/>
  <c r="AD100" i="1"/>
  <c r="AC100" i="1"/>
  <c r="BL100" i="1"/>
  <c r="BM100" i="1"/>
  <c r="AB99" i="1"/>
  <c r="BN99" i="1" s="1"/>
  <c r="Q99" i="1"/>
  <c r="AK100" i="1"/>
  <c r="BG100" i="1" a="1"/>
  <c r="R99" i="1"/>
  <c r="AU100" i="1" l="1"/>
  <c r="BG100" i="1"/>
  <c r="V99" i="1"/>
  <c r="Z99" i="1"/>
  <c r="Y99" i="1"/>
  <c r="W99" i="1"/>
  <c r="T99" i="1"/>
  <c r="AE99" i="1"/>
  <c r="BP100" i="1"/>
  <c r="S99" i="1"/>
  <c r="U99" i="1"/>
  <c r="AH99" i="1" l="1"/>
  <c r="AS99" i="1"/>
  <c r="AA99" i="1"/>
  <c r="X99" i="1"/>
  <c r="AL99" i="1"/>
  <c r="BS99" i="1"/>
  <c r="AR99" i="1"/>
  <c r="AQ99" i="1"/>
  <c r="AO99" i="1"/>
  <c r="AP99" i="1"/>
  <c r="BC99" i="1"/>
  <c r="BK99" i="1"/>
  <c r="AM99" i="1"/>
  <c r="AN99" i="1"/>
  <c r="AG99" i="1"/>
  <c r="BI99" i="1"/>
  <c r="BA99" i="1"/>
  <c r="AY99" i="1"/>
  <c r="AZ99" i="1"/>
  <c r="AF99" i="1"/>
  <c r="BT99" i="1"/>
  <c r="BU99" i="1"/>
  <c r="AX99" i="1"/>
  <c r="AW99" i="1"/>
  <c r="AI99" i="1" l="1"/>
  <c r="AJ99" i="1"/>
  <c r="AT99" i="1"/>
  <c r="BQ99" i="1"/>
  <c r="AV99" i="1"/>
  <c r="AD99" i="1"/>
  <c r="AC99" i="1"/>
  <c r="BM99" i="1"/>
  <c r="BL99" i="1"/>
  <c r="AB98" i="1"/>
  <c r="BN98" i="1" s="1"/>
  <c r="Q98" i="1"/>
  <c r="AK99" i="1"/>
  <c r="BG99" i="1" a="1"/>
  <c r="R98" i="1"/>
  <c r="AU99" i="1" l="1"/>
  <c r="BG99" i="1"/>
  <c r="V98" i="1"/>
  <c r="Z98" i="1"/>
  <c r="Y98" i="1"/>
  <c r="W98" i="1"/>
  <c r="T98" i="1"/>
  <c r="BP99" i="1"/>
  <c r="AF98" i="1"/>
  <c r="U98" i="1"/>
  <c r="AI98" i="1" l="1"/>
  <c r="AS98" i="1"/>
  <c r="AA98" i="1"/>
  <c r="X98" i="1"/>
  <c r="AL98" i="1"/>
  <c r="BK98" i="1"/>
  <c r="AY98" i="1"/>
  <c r="BU98" i="1"/>
  <c r="AO98" i="1"/>
  <c r="AR98" i="1"/>
  <c r="BC98" i="1"/>
  <c r="AE98" i="1"/>
  <c r="AN98" i="1"/>
  <c r="BT98" i="1"/>
  <c r="BA98" i="1"/>
  <c r="AQ98" i="1"/>
  <c r="AM98" i="1"/>
  <c r="BI98" i="1"/>
  <c r="BS98" i="1"/>
  <c r="AZ98" i="1"/>
  <c r="AP98" i="1"/>
  <c r="AG98" i="1"/>
  <c r="AX98" i="1"/>
  <c r="AW98" i="1"/>
  <c r="AJ98" i="1" l="1"/>
  <c r="AT98" i="1"/>
  <c r="AH98" i="1"/>
  <c r="BQ98" i="1"/>
  <c r="AV98" i="1"/>
  <c r="BL98" i="1"/>
  <c r="BM98" i="1"/>
  <c r="AD98" i="1"/>
  <c r="AC98" i="1"/>
  <c r="AB97" i="1"/>
  <c r="BN97" i="1" s="1"/>
  <c r="Q97" i="1"/>
  <c r="AK98" i="1"/>
  <c r="BG98" i="1" a="1"/>
  <c r="R97" i="1"/>
  <c r="BG98" i="1" l="1"/>
  <c r="AU98" i="1"/>
  <c r="V97" i="1"/>
  <c r="Y97" i="1"/>
  <c r="Z97" i="1"/>
  <c r="W97" i="1"/>
  <c r="T97" i="1"/>
  <c r="BP98" i="1"/>
  <c r="AE97" i="1"/>
  <c r="U97" i="1"/>
  <c r="S97" i="1"/>
  <c r="AH97" i="1" l="1"/>
  <c r="AS97" i="1"/>
  <c r="AA97" i="1"/>
  <c r="X97" i="1"/>
  <c r="AL97" i="1"/>
  <c r="BA97" i="1"/>
  <c r="AR97" i="1"/>
  <c r="BT97" i="1"/>
  <c r="AZ97" i="1"/>
  <c r="AQ97" i="1"/>
  <c r="AF97" i="1"/>
  <c r="BS97" i="1"/>
  <c r="BC97" i="1"/>
  <c r="AP97" i="1"/>
  <c r="AM97" i="1"/>
  <c r="BK97" i="1"/>
  <c r="AG97" i="1"/>
  <c r="AO97" i="1"/>
  <c r="AY97" i="1"/>
  <c r="BI97" i="1"/>
  <c r="AN97" i="1"/>
  <c r="BU97" i="1"/>
  <c r="AX97" i="1"/>
  <c r="AW97" i="1"/>
  <c r="AJ97" i="1" l="1"/>
  <c r="AT97" i="1"/>
  <c r="AI97" i="1"/>
  <c r="BQ97" i="1"/>
  <c r="AV97" i="1"/>
  <c r="AD97" i="1"/>
  <c r="AC97" i="1"/>
  <c r="BL97" i="1"/>
  <c r="BM97" i="1"/>
  <c r="AB96" i="1"/>
  <c r="BN96" i="1" s="1"/>
  <c r="Q96" i="1"/>
  <c r="AK97" i="1"/>
  <c r="BG97" i="1" a="1"/>
  <c r="R96" i="1"/>
  <c r="AU97" i="1" l="1"/>
  <c r="BG97" i="1"/>
  <c r="V96" i="1"/>
  <c r="Y96" i="1"/>
  <c r="W96" i="1"/>
  <c r="Z96" i="1"/>
  <c r="T96" i="1"/>
  <c r="AE96" i="1"/>
  <c r="BP97" i="1"/>
  <c r="U96" i="1"/>
  <c r="S96" i="1"/>
  <c r="AH96" i="1" l="1"/>
  <c r="AS96" i="1"/>
  <c r="AA96" i="1"/>
  <c r="X96" i="1"/>
  <c r="AL96" i="1"/>
  <c r="AY96" i="1"/>
  <c r="AR96" i="1"/>
  <c r="BT96" i="1"/>
  <c r="AF96" i="1"/>
  <c r="AQ96" i="1"/>
  <c r="BS96" i="1"/>
  <c r="AP96" i="1"/>
  <c r="AO96" i="1"/>
  <c r="BK96" i="1"/>
  <c r="BC96" i="1"/>
  <c r="BI96" i="1"/>
  <c r="AN96" i="1"/>
  <c r="BA96" i="1"/>
  <c r="AZ96" i="1"/>
  <c r="AM96" i="1"/>
  <c r="AG96" i="1"/>
  <c r="BU96" i="1"/>
  <c r="AW96" i="1"/>
  <c r="AX96" i="1"/>
  <c r="AJ96" i="1" l="1"/>
  <c r="AT96" i="1"/>
  <c r="AI96" i="1"/>
  <c r="BQ96" i="1"/>
  <c r="AV96" i="1"/>
  <c r="AD96" i="1"/>
  <c r="AC96" i="1"/>
  <c r="BL96" i="1"/>
  <c r="BM96" i="1"/>
  <c r="AB95" i="1"/>
  <c r="BN95" i="1" s="1"/>
  <c r="Q95" i="1"/>
  <c r="AK96" i="1"/>
  <c r="BG96" i="1" a="1"/>
  <c r="R95" i="1"/>
  <c r="AU96" i="1" l="1"/>
  <c r="BG96" i="1"/>
  <c r="V95" i="1"/>
  <c r="Z95" i="1"/>
  <c r="Y95" i="1"/>
  <c r="W95" i="1"/>
  <c r="T95" i="1"/>
  <c r="BP96" i="1"/>
  <c r="AE95" i="1"/>
  <c r="U95" i="1"/>
  <c r="S95" i="1"/>
  <c r="AH95" i="1" l="1"/>
  <c r="AS95" i="1"/>
  <c r="AA95" i="1"/>
  <c r="X95" i="1"/>
  <c r="AL95" i="1"/>
  <c r="BA95" i="1"/>
  <c r="AR95" i="1"/>
  <c r="BT95" i="1"/>
  <c r="AZ95" i="1"/>
  <c r="AQ95" i="1"/>
  <c r="AF95" i="1"/>
  <c r="BS95" i="1"/>
  <c r="AN95" i="1"/>
  <c r="AP95" i="1"/>
  <c r="AM95" i="1"/>
  <c r="BK95" i="1"/>
  <c r="AG95" i="1"/>
  <c r="AO95" i="1"/>
  <c r="AY95" i="1"/>
  <c r="BC95" i="1"/>
  <c r="BU95" i="1"/>
  <c r="BG95" i="1" a="1"/>
  <c r="AX95" i="1"/>
  <c r="AW95" i="1"/>
  <c r="AJ95" i="1" l="1"/>
  <c r="AT95" i="1"/>
  <c r="AI95" i="1"/>
  <c r="BQ95" i="1"/>
  <c r="AV95" i="1"/>
  <c r="BG95" i="1"/>
  <c r="AD95" i="1"/>
  <c r="AC95" i="1"/>
  <c r="BM95" i="1"/>
  <c r="BL95" i="1"/>
  <c r="AB94" i="1"/>
  <c r="BN94" i="1" s="1"/>
  <c r="Q94" i="1"/>
  <c r="AK95" i="1"/>
  <c r="BI95" i="1"/>
  <c r="BP95" i="1"/>
  <c r="R94" i="1"/>
  <c r="AU95" i="1" l="1"/>
  <c r="V94" i="1"/>
  <c r="Y94" i="1"/>
  <c r="W94" i="1"/>
  <c r="Z94" i="1"/>
  <c r="T94" i="1"/>
  <c r="AE94" i="1"/>
  <c r="U94" i="1"/>
  <c r="S94" i="1"/>
  <c r="AH94" i="1" l="1"/>
  <c r="AS94" i="1"/>
  <c r="AA94" i="1"/>
  <c r="X94" i="1"/>
  <c r="AL94" i="1"/>
  <c r="AQ94" i="1"/>
  <c r="AR94" i="1"/>
  <c r="AO94" i="1"/>
  <c r="BS94" i="1"/>
  <c r="AN94" i="1"/>
  <c r="AP94" i="1"/>
  <c r="AM94" i="1"/>
  <c r="BK94" i="1"/>
  <c r="AG94" i="1"/>
  <c r="BC94" i="1"/>
  <c r="AY94" i="1"/>
  <c r="BA94" i="1"/>
  <c r="BI94" i="1"/>
  <c r="AF94" i="1"/>
  <c r="AZ94" i="1"/>
  <c r="BT94" i="1"/>
  <c r="BU94" i="1"/>
  <c r="AW94" i="1"/>
  <c r="AX94" i="1"/>
  <c r="AI94" i="1" l="1"/>
  <c r="AJ94" i="1"/>
  <c r="AT94" i="1"/>
  <c r="AV94" i="1"/>
  <c r="BQ94" i="1"/>
  <c r="AD94" i="1"/>
  <c r="AC94" i="1"/>
  <c r="BM94" i="1"/>
  <c r="BL94" i="1"/>
  <c r="AB93" i="1"/>
  <c r="BN93" i="1" s="1"/>
  <c r="Q93" i="1"/>
  <c r="AK94" i="1"/>
  <c r="BG94" i="1" a="1"/>
  <c r="R93" i="1"/>
  <c r="AU94" i="1" l="1"/>
  <c r="BG94" i="1"/>
  <c r="V93" i="1"/>
  <c r="Z93" i="1"/>
  <c r="Y93" i="1"/>
  <c r="W93" i="1"/>
  <c r="T93" i="1"/>
  <c r="AE93" i="1"/>
  <c r="BP94" i="1"/>
  <c r="S93" i="1"/>
  <c r="U93" i="1"/>
  <c r="AH93" i="1" l="1"/>
  <c r="AS93" i="1"/>
  <c r="AA93" i="1"/>
  <c r="X93" i="1"/>
  <c r="AL93" i="1"/>
  <c r="AN93" i="1"/>
  <c r="AR93" i="1"/>
  <c r="BK93" i="1"/>
  <c r="BA93" i="1"/>
  <c r="BT93" i="1"/>
  <c r="AM93" i="1"/>
  <c r="AQ93" i="1"/>
  <c r="AZ93" i="1"/>
  <c r="BS93" i="1"/>
  <c r="AG93" i="1"/>
  <c r="BG93" i="1" a="1"/>
  <c r="AP93" i="1"/>
  <c r="AY93" i="1"/>
  <c r="AO93" i="1"/>
  <c r="AF93" i="1"/>
  <c r="BC93" i="1"/>
  <c r="BU93" i="1"/>
  <c r="AX93" i="1"/>
  <c r="AW93" i="1"/>
  <c r="AI93" i="1" l="1"/>
  <c r="AJ93" i="1"/>
  <c r="AT93" i="1"/>
  <c r="BQ93" i="1"/>
  <c r="AV93" i="1"/>
  <c r="BG93" i="1"/>
  <c r="AD93" i="1"/>
  <c r="AC93" i="1"/>
  <c r="BM93" i="1"/>
  <c r="BL93" i="1"/>
  <c r="AB92" i="1"/>
  <c r="BN92" i="1" s="1"/>
  <c r="Q92" i="1"/>
  <c r="AK93" i="1"/>
  <c r="BI93" i="1"/>
  <c r="BP93" i="1"/>
  <c r="R92" i="1"/>
  <c r="AU93" i="1" l="1"/>
  <c r="V92" i="1"/>
  <c r="Z92" i="1"/>
  <c r="Y92" i="1"/>
  <c r="W92" i="1"/>
  <c r="T92" i="1"/>
  <c r="AE92" i="1"/>
  <c r="S92" i="1"/>
  <c r="U92" i="1"/>
  <c r="AH92" i="1" l="1"/>
  <c r="AS92" i="1"/>
  <c r="AA92" i="1"/>
  <c r="X92" i="1"/>
  <c r="AL92" i="1"/>
  <c r="AM92" i="1"/>
  <c r="AR92" i="1"/>
  <c r="BK92" i="1"/>
  <c r="AG92" i="1"/>
  <c r="BT92" i="1"/>
  <c r="AY92" i="1"/>
  <c r="AQ92" i="1"/>
  <c r="AF92" i="1"/>
  <c r="BS92" i="1"/>
  <c r="AN92" i="1"/>
  <c r="BI92" i="1"/>
  <c r="AP92" i="1"/>
  <c r="BA92" i="1"/>
  <c r="AO92" i="1"/>
  <c r="AZ92" i="1"/>
  <c r="BC92" i="1"/>
  <c r="BU92" i="1"/>
  <c r="AX92" i="1"/>
  <c r="AW92" i="1"/>
  <c r="AI92" i="1" l="1"/>
  <c r="AJ92" i="1"/>
  <c r="AT92" i="1"/>
  <c r="BQ92" i="1"/>
  <c r="AV92" i="1"/>
  <c r="AD92" i="1"/>
  <c r="AC92" i="1"/>
  <c r="BM92" i="1"/>
  <c r="BL92" i="1"/>
  <c r="AB91" i="1"/>
  <c r="BN91" i="1" s="1"/>
  <c r="Q91" i="1"/>
  <c r="AK92" i="1"/>
  <c r="BG92" i="1" a="1"/>
  <c r="R91" i="1"/>
  <c r="AU92" i="1" l="1"/>
  <c r="BG92" i="1"/>
  <c r="Z91" i="1"/>
  <c r="Y91" i="1"/>
  <c r="W91" i="1"/>
  <c r="V91" i="1"/>
  <c r="T91" i="1"/>
  <c r="BP92" i="1"/>
  <c r="AE91" i="1"/>
  <c r="U91" i="1"/>
  <c r="S91" i="1"/>
  <c r="AH91" i="1" l="1"/>
  <c r="AS91" i="1"/>
  <c r="AA91" i="1"/>
  <c r="X91" i="1"/>
  <c r="AL91" i="1"/>
  <c r="AP91" i="1"/>
  <c r="AR91" i="1"/>
  <c r="BT91" i="1"/>
  <c r="AO91" i="1"/>
  <c r="BS91" i="1"/>
  <c r="BC91" i="1"/>
  <c r="BK91" i="1"/>
  <c r="BA91" i="1"/>
  <c r="AN91" i="1"/>
  <c r="AZ91" i="1"/>
  <c r="AM91" i="1"/>
  <c r="AG91" i="1"/>
  <c r="AY91" i="1"/>
  <c r="AF91" i="1"/>
  <c r="AQ91" i="1"/>
  <c r="BU91" i="1"/>
  <c r="BI91" i="1"/>
  <c r="AW91" i="1"/>
  <c r="AX91" i="1"/>
  <c r="AI91" i="1" l="1"/>
  <c r="AJ91" i="1"/>
  <c r="AT91" i="1"/>
  <c r="BQ91" i="1"/>
  <c r="AV91" i="1"/>
  <c r="AD91" i="1"/>
  <c r="AC91" i="1"/>
  <c r="BL91" i="1"/>
  <c r="BM91" i="1"/>
  <c r="AB90" i="1"/>
  <c r="BN90" i="1" s="1"/>
  <c r="Q90" i="1"/>
  <c r="AK91" i="1"/>
  <c r="BG91" i="1" a="1"/>
  <c r="R90" i="1"/>
  <c r="AU91" i="1" l="1"/>
  <c r="BG91" i="1"/>
  <c r="V90" i="1"/>
  <c r="Y90" i="1"/>
  <c r="Z90" i="1"/>
  <c r="W90" i="1"/>
  <c r="T90" i="1"/>
  <c r="BP91" i="1"/>
  <c r="AF90" i="1"/>
  <c r="U90" i="1"/>
  <c r="AI90" i="1" l="1"/>
  <c r="AS90" i="1"/>
  <c r="AA90" i="1"/>
  <c r="X90" i="1"/>
  <c r="AL90" i="1"/>
  <c r="AQ90" i="1"/>
  <c r="AY90" i="1"/>
  <c r="AP90" i="1"/>
  <c r="BS90" i="1"/>
  <c r="BK90" i="1"/>
  <c r="AO90" i="1"/>
  <c r="BC90" i="1"/>
  <c r="AN90" i="1"/>
  <c r="BU90" i="1"/>
  <c r="BA90" i="1"/>
  <c r="AR90" i="1"/>
  <c r="AM90" i="1"/>
  <c r="BI90" i="1"/>
  <c r="AE90" i="1"/>
  <c r="AZ90" i="1"/>
  <c r="BT90" i="1"/>
  <c r="AG90" i="1"/>
  <c r="AX90" i="1"/>
  <c r="AW90" i="1"/>
  <c r="AJ90" i="1" l="1"/>
  <c r="AH90" i="1"/>
  <c r="AT90" i="1"/>
  <c r="BQ90" i="1"/>
  <c r="AV90" i="1"/>
  <c r="AD90" i="1"/>
  <c r="AC90" i="1"/>
  <c r="BM90" i="1"/>
  <c r="BL90" i="1"/>
  <c r="AB89" i="1"/>
  <c r="BN89" i="1" s="1"/>
  <c r="Q89" i="1"/>
  <c r="AK90" i="1"/>
  <c r="BG90" i="1" a="1"/>
  <c r="R89" i="1"/>
  <c r="BG90" i="1" l="1"/>
  <c r="AU90" i="1"/>
  <c r="V89" i="1"/>
  <c r="Y89" i="1"/>
  <c r="W89" i="1"/>
  <c r="Z89" i="1"/>
  <c r="T89" i="1"/>
  <c r="BP90" i="1"/>
  <c r="AE89" i="1"/>
  <c r="S89" i="1"/>
  <c r="U89" i="1"/>
  <c r="AH89" i="1" l="1"/>
  <c r="AS89" i="1"/>
  <c r="AA89" i="1"/>
  <c r="X89" i="1"/>
  <c r="AL89" i="1"/>
  <c r="AF89" i="1"/>
  <c r="AR89" i="1"/>
  <c r="BT89" i="1"/>
  <c r="AQ89" i="1"/>
  <c r="AP89" i="1"/>
  <c r="BS89" i="1"/>
  <c r="AO89" i="1"/>
  <c r="BK89" i="1"/>
  <c r="AN89" i="1"/>
  <c r="BC89" i="1"/>
  <c r="AM89" i="1"/>
  <c r="BA89" i="1"/>
  <c r="AG89" i="1"/>
  <c r="AZ89" i="1"/>
  <c r="AY89" i="1"/>
  <c r="BU89" i="1"/>
  <c r="BI89" i="1"/>
  <c r="AX89" i="1"/>
  <c r="AW89" i="1"/>
  <c r="AJ89" i="1" l="1"/>
  <c r="AT89" i="1"/>
  <c r="AI89" i="1"/>
  <c r="BQ89" i="1"/>
  <c r="AV89" i="1"/>
  <c r="BL89" i="1"/>
  <c r="BM89" i="1"/>
  <c r="AD89" i="1"/>
  <c r="AC89" i="1"/>
  <c r="AB88" i="1"/>
  <c r="BN88" i="1" s="1"/>
  <c r="Q88" i="1"/>
  <c r="AK89" i="1"/>
  <c r="BG89" i="1" a="1"/>
  <c r="R88" i="1"/>
  <c r="AU89" i="1" l="1"/>
  <c r="BG89" i="1"/>
  <c r="V88" i="1"/>
  <c r="Y88" i="1"/>
  <c r="Z88" i="1"/>
  <c r="W88" i="1"/>
  <c r="T88" i="1"/>
  <c r="BP89" i="1"/>
  <c r="AF88" i="1"/>
  <c r="U88" i="1"/>
  <c r="AI88" i="1" l="1"/>
  <c r="AS88" i="1"/>
  <c r="AA88" i="1"/>
  <c r="X88" i="1"/>
  <c r="AL88" i="1"/>
  <c r="BK88" i="1"/>
  <c r="AY88" i="1"/>
  <c r="BU88" i="1"/>
  <c r="AO88" i="1"/>
  <c r="AR88" i="1"/>
  <c r="BC88" i="1"/>
  <c r="AE88" i="1"/>
  <c r="AN88" i="1"/>
  <c r="BT88" i="1"/>
  <c r="BA88" i="1"/>
  <c r="BI88" i="1"/>
  <c r="AQ88" i="1"/>
  <c r="AM88" i="1"/>
  <c r="BS88" i="1"/>
  <c r="AZ88" i="1"/>
  <c r="AP88" i="1"/>
  <c r="AG88" i="1"/>
  <c r="BG88" i="1" a="1"/>
  <c r="AW88" i="1"/>
  <c r="AX88" i="1"/>
  <c r="AJ88" i="1" l="1"/>
  <c r="AT88" i="1"/>
  <c r="AH88" i="1"/>
  <c r="BQ88" i="1"/>
  <c r="AV88" i="1"/>
  <c r="BG88" i="1"/>
  <c r="AD88" i="1"/>
  <c r="AC88" i="1"/>
  <c r="BM88" i="1"/>
  <c r="BL88" i="1"/>
  <c r="AB87" i="1"/>
  <c r="BN87" i="1" s="1"/>
  <c r="Q87" i="1"/>
  <c r="BP88" i="1"/>
  <c r="AK88" i="1"/>
  <c r="R87" i="1"/>
  <c r="AU88" i="1" l="1"/>
  <c r="V87" i="1"/>
  <c r="Y87" i="1"/>
  <c r="Z87" i="1"/>
  <c r="W87" i="1"/>
  <c r="T87" i="1"/>
  <c r="AE87" i="1"/>
  <c r="S87" i="1"/>
  <c r="U87" i="1"/>
  <c r="AH87" i="1" l="1"/>
  <c r="AS87" i="1"/>
  <c r="AA87" i="1"/>
  <c r="X87" i="1"/>
  <c r="AL87" i="1"/>
  <c r="AM87" i="1"/>
  <c r="AR87" i="1"/>
  <c r="AP87" i="1"/>
  <c r="AG87" i="1"/>
  <c r="BT87" i="1"/>
  <c r="AY87" i="1"/>
  <c r="AQ87" i="1"/>
  <c r="AF87" i="1"/>
  <c r="BS87" i="1"/>
  <c r="AN87" i="1"/>
  <c r="BK87" i="1"/>
  <c r="BA87" i="1"/>
  <c r="AO87" i="1"/>
  <c r="AZ87" i="1"/>
  <c r="BI87" i="1"/>
  <c r="BC87" i="1"/>
  <c r="BU87" i="1"/>
  <c r="AW87" i="1"/>
  <c r="AX87" i="1"/>
  <c r="AI87" i="1" l="1"/>
  <c r="AJ87" i="1"/>
  <c r="AT87" i="1"/>
  <c r="BQ87" i="1"/>
  <c r="AV87" i="1"/>
  <c r="AD87" i="1"/>
  <c r="AC87" i="1"/>
  <c r="BM87" i="1"/>
  <c r="BL87" i="1"/>
  <c r="AB86" i="1"/>
  <c r="BN86" i="1" s="1"/>
  <c r="Q86" i="1"/>
  <c r="AK87" i="1"/>
  <c r="BG87" i="1" a="1"/>
  <c r="R86" i="1"/>
  <c r="AU87" i="1" l="1"/>
  <c r="BG87" i="1"/>
  <c r="V86" i="1"/>
  <c r="Y86" i="1"/>
  <c r="Z86" i="1"/>
  <c r="W86" i="1"/>
  <c r="T86" i="1"/>
  <c r="BP87" i="1"/>
  <c r="AE86" i="1"/>
  <c r="S86" i="1"/>
  <c r="U86" i="1"/>
  <c r="AH86" i="1" l="1"/>
  <c r="AS86" i="1"/>
  <c r="AA86" i="1"/>
  <c r="X86" i="1"/>
  <c r="AL86" i="1"/>
  <c r="AQ86" i="1"/>
  <c r="AR86" i="1"/>
  <c r="BT86" i="1"/>
  <c r="BS86" i="1"/>
  <c r="AP86" i="1"/>
  <c r="BK86" i="1"/>
  <c r="AO86" i="1"/>
  <c r="BC86" i="1"/>
  <c r="AN86" i="1"/>
  <c r="BA86" i="1"/>
  <c r="BI86" i="1"/>
  <c r="AM86" i="1"/>
  <c r="AZ86" i="1"/>
  <c r="AG86" i="1"/>
  <c r="AY86" i="1"/>
  <c r="AF86" i="1"/>
  <c r="BU86" i="1"/>
  <c r="AW86" i="1"/>
  <c r="AX86" i="1"/>
  <c r="AI86" i="1" l="1"/>
  <c r="AJ86" i="1"/>
  <c r="AT86" i="1"/>
  <c r="BQ86" i="1"/>
  <c r="AV86" i="1"/>
  <c r="AD86" i="1"/>
  <c r="AC86" i="1"/>
  <c r="BM86" i="1"/>
  <c r="BL86" i="1"/>
  <c r="AB85" i="1"/>
  <c r="BN85" i="1" s="1"/>
  <c r="Q85" i="1"/>
  <c r="AK86" i="1"/>
  <c r="BG86" i="1" a="1"/>
  <c r="R85" i="1"/>
  <c r="AU86" i="1" l="1"/>
  <c r="BG86" i="1"/>
  <c r="V85" i="1"/>
  <c r="Y85" i="1"/>
  <c r="W85" i="1"/>
  <c r="Z85" i="1"/>
  <c r="T85" i="1"/>
  <c r="AE85" i="1"/>
  <c r="BP86" i="1"/>
  <c r="S85" i="1"/>
  <c r="U85" i="1"/>
  <c r="AH85" i="1" l="1"/>
  <c r="AS85" i="1"/>
  <c r="AA85" i="1"/>
  <c r="X85" i="1"/>
  <c r="AL85" i="1"/>
  <c r="AF85" i="1"/>
  <c r="AR85" i="1"/>
  <c r="BS85" i="1"/>
  <c r="AP85" i="1"/>
  <c r="BT85" i="1"/>
  <c r="BK85" i="1"/>
  <c r="AM85" i="1"/>
  <c r="AQ85" i="1"/>
  <c r="AO85" i="1"/>
  <c r="AN85" i="1"/>
  <c r="BC85" i="1"/>
  <c r="BA85" i="1"/>
  <c r="AG85" i="1"/>
  <c r="AZ85" i="1"/>
  <c r="AY85" i="1"/>
  <c r="BU85" i="1"/>
  <c r="BI85" i="1"/>
  <c r="AX85" i="1"/>
  <c r="AW85" i="1"/>
  <c r="AJ85" i="1" l="1"/>
  <c r="AT85" i="1"/>
  <c r="AI85" i="1"/>
  <c r="AV85" i="1"/>
  <c r="BQ85" i="1"/>
  <c r="AD85" i="1"/>
  <c r="AC85" i="1"/>
  <c r="BM85" i="1"/>
  <c r="BL85" i="1"/>
  <c r="AB84" i="1"/>
  <c r="BN84" i="1" s="1"/>
  <c r="Q84" i="1"/>
  <c r="AK85" i="1"/>
  <c r="BG85" i="1" a="1"/>
  <c r="R84" i="1"/>
  <c r="AU85" i="1" l="1"/>
  <c r="BG85" i="1"/>
  <c r="V84" i="1"/>
  <c r="Y84" i="1"/>
  <c r="Z84" i="1"/>
  <c r="W84" i="1"/>
  <c r="T84" i="1"/>
  <c r="BP85" i="1"/>
  <c r="AE84" i="1"/>
  <c r="S84" i="1"/>
  <c r="U84" i="1"/>
  <c r="AH84" i="1" l="1"/>
  <c r="AS84" i="1"/>
  <c r="AA84" i="1"/>
  <c r="X84" i="1"/>
  <c r="AL84" i="1"/>
  <c r="AG84" i="1"/>
  <c r="AR84" i="1"/>
  <c r="BT84" i="1"/>
  <c r="AY84" i="1"/>
  <c r="AQ84" i="1"/>
  <c r="AF84" i="1"/>
  <c r="BS84" i="1"/>
  <c r="AP84" i="1"/>
  <c r="AO84" i="1"/>
  <c r="BK84" i="1"/>
  <c r="BC84" i="1"/>
  <c r="AN84" i="1"/>
  <c r="BA84" i="1"/>
  <c r="AM84" i="1"/>
  <c r="BI84" i="1"/>
  <c r="AZ84" i="1"/>
  <c r="BU84" i="1"/>
  <c r="AX84" i="1"/>
  <c r="AW84" i="1"/>
  <c r="AT84" i="1" l="1"/>
  <c r="AI84" i="1"/>
  <c r="AJ84" i="1"/>
  <c r="BQ84" i="1"/>
  <c r="AV84" i="1"/>
  <c r="AD84" i="1"/>
  <c r="AC84" i="1"/>
  <c r="BM84" i="1"/>
  <c r="BL84" i="1"/>
  <c r="AB83" i="1"/>
  <c r="BN83" i="1" s="1"/>
  <c r="Q83" i="1"/>
  <c r="AK84" i="1"/>
  <c r="BG84" i="1" a="1"/>
  <c r="R83" i="1"/>
  <c r="AU84" i="1" l="1"/>
  <c r="BG84" i="1"/>
  <c r="V83" i="1"/>
  <c r="Y83" i="1"/>
  <c r="W83" i="1"/>
  <c r="Z83" i="1"/>
  <c r="T83" i="1"/>
  <c r="BP84" i="1"/>
  <c r="AE83" i="1"/>
  <c r="S83" i="1"/>
  <c r="U83" i="1"/>
  <c r="AH83" i="1" l="1"/>
  <c r="AS83" i="1"/>
  <c r="AA83" i="1"/>
  <c r="X83" i="1"/>
  <c r="AL83" i="1"/>
  <c r="BC83" i="1"/>
  <c r="AR83" i="1"/>
  <c r="AQ83" i="1"/>
  <c r="BA83" i="1"/>
  <c r="BS83" i="1"/>
  <c r="AM83" i="1"/>
  <c r="BK83" i="1"/>
  <c r="AZ83" i="1"/>
  <c r="AN83" i="1"/>
  <c r="AG83" i="1"/>
  <c r="BT83" i="1"/>
  <c r="AY83" i="1"/>
  <c r="AP83" i="1"/>
  <c r="AF83" i="1"/>
  <c r="BI83" i="1"/>
  <c r="AO83" i="1"/>
  <c r="BU83" i="1"/>
  <c r="AX83" i="1"/>
  <c r="AW83" i="1"/>
  <c r="AI83" i="1" l="1"/>
  <c r="AJ83" i="1"/>
  <c r="AT83" i="1"/>
  <c r="BQ83" i="1"/>
  <c r="AV83" i="1"/>
  <c r="AD83" i="1"/>
  <c r="AC83" i="1"/>
  <c r="BL83" i="1"/>
  <c r="BM83" i="1"/>
  <c r="AB82" i="1"/>
  <c r="BN82" i="1" s="1"/>
  <c r="Q82" i="1"/>
  <c r="AK83" i="1"/>
  <c r="BG83" i="1" a="1"/>
  <c r="R82" i="1"/>
  <c r="AU83" i="1" l="1"/>
  <c r="BG83" i="1"/>
  <c r="V82" i="1"/>
  <c r="Z82" i="1"/>
  <c r="Y82" i="1"/>
  <c r="W82" i="1"/>
  <c r="T82" i="1"/>
  <c r="BP83" i="1"/>
  <c r="AE82" i="1"/>
  <c r="U82" i="1"/>
  <c r="S82" i="1"/>
  <c r="AH82" i="1" l="1"/>
  <c r="AS82" i="1"/>
  <c r="AA82" i="1"/>
  <c r="X82" i="1"/>
  <c r="AL82" i="1"/>
  <c r="AY82" i="1"/>
  <c r="AR82" i="1"/>
  <c r="BT82" i="1"/>
  <c r="AF82" i="1"/>
  <c r="AQ82" i="1"/>
  <c r="AP82" i="1"/>
  <c r="BI82" i="1"/>
  <c r="BS82" i="1"/>
  <c r="AO82" i="1"/>
  <c r="BK82" i="1"/>
  <c r="AN82" i="1"/>
  <c r="BC82" i="1"/>
  <c r="AM82" i="1"/>
  <c r="BA82" i="1"/>
  <c r="AG82" i="1"/>
  <c r="AZ82" i="1"/>
  <c r="BU82" i="1"/>
  <c r="AX82" i="1"/>
  <c r="AW82" i="1"/>
  <c r="AJ82" i="1" l="1"/>
  <c r="AT82" i="1"/>
  <c r="AI82" i="1"/>
  <c r="BQ82" i="1"/>
  <c r="AV82" i="1"/>
  <c r="AD82" i="1"/>
  <c r="AC82" i="1"/>
  <c r="BL82" i="1"/>
  <c r="BM82" i="1"/>
  <c r="AB81" i="1"/>
  <c r="BN81" i="1" s="1"/>
  <c r="Q81" i="1"/>
  <c r="AK82" i="1"/>
  <c r="BG82" i="1" a="1"/>
  <c r="R81" i="1"/>
  <c r="AU82" i="1" l="1"/>
  <c r="BG82" i="1"/>
  <c r="V81" i="1"/>
  <c r="Z81" i="1"/>
  <c r="Y81" i="1"/>
  <c r="W81" i="1"/>
  <c r="T81" i="1"/>
  <c r="BP82" i="1"/>
  <c r="AE81" i="1"/>
  <c r="S81" i="1"/>
  <c r="U81" i="1"/>
  <c r="AH81" i="1" l="1"/>
  <c r="AS81" i="1"/>
  <c r="X81" i="1"/>
  <c r="AA81" i="1"/>
  <c r="AL81" i="1"/>
  <c r="AY81" i="1"/>
  <c r="AR81" i="1"/>
  <c r="BT81" i="1"/>
  <c r="AF81" i="1"/>
  <c r="AQ81" i="1"/>
  <c r="BS81" i="1"/>
  <c r="AP81" i="1"/>
  <c r="AO81" i="1"/>
  <c r="BK81" i="1"/>
  <c r="BC81" i="1"/>
  <c r="AN81" i="1"/>
  <c r="BA81" i="1"/>
  <c r="BI81" i="1"/>
  <c r="AM81" i="1"/>
  <c r="AZ81" i="1"/>
  <c r="AG81" i="1"/>
  <c r="BU81" i="1"/>
  <c r="AW81" i="1"/>
  <c r="AX81" i="1"/>
  <c r="AJ81" i="1" l="1"/>
  <c r="AT81" i="1"/>
  <c r="AI81" i="1"/>
  <c r="BQ81" i="1"/>
  <c r="AV81" i="1"/>
  <c r="AD81" i="1"/>
  <c r="AC81" i="1"/>
  <c r="BL81" i="1"/>
  <c r="BM81" i="1"/>
  <c r="AB80" i="1"/>
  <c r="BN80" i="1" s="1"/>
  <c r="Q80" i="1"/>
  <c r="AK81" i="1"/>
  <c r="BG81" i="1" a="1"/>
  <c r="R80" i="1"/>
  <c r="AU81" i="1" l="1"/>
  <c r="BG81" i="1"/>
  <c r="V80" i="1"/>
  <c r="W80" i="1"/>
  <c r="Z80" i="1"/>
  <c r="Y80" i="1"/>
  <c r="T80" i="1"/>
  <c r="AE80" i="1"/>
  <c r="BP81" i="1"/>
  <c r="U80" i="1"/>
  <c r="S80" i="1"/>
  <c r="AH80" i="1" l="1"/>
  <c r="AS80" i="1"/>
  <c r="AA80" i="1"/>
  <c r="X80" i="1"/>
  <c r="AL80" i="1"/>
  <c r="AQ80" i="1"/>
  <c r="AR80" i="1"/>
  <c r="AP80" i="1"/>
  <c r="BS80" i="1"/>
  <c r="BK80" i="1"/>
  <c r="AO80" i="1"/>
  <c r="BC80" i="1"/>
  <c r="AN80" i="1"/>
  <c r="BA80" i="1"/>
  <c r="AM80" i="1"/>
  <c r="BG80" i="1" a="1"/>
  <c r="AZ80" i="1"/>
  <c r="AG80" i="1"/>
  <c r="AY80" i="1"/>
  <c r="AF80" i="1"/>
  <c r="BT80" i="1"/>
  <c r="BU80" i="1"/>
  <c r="AX80" i="1"/>
  <c r="AW80" i="1"/>
  <c r="AI80" i="1" l="1"/>
  <c r="AJ80" i="1"/>
  <c r="AT80" i="1"/>
  <c r="BQ80" i="1"/>
  <c r="AV80" i="1"/>
  <c r="BG80" i="1"/>
  <c r="AD80" i="1"/>
  <c r="AC80" i="1"/>
  <c r="BM80" i="1"/>
  <c r="BL80" i="1"/>
  <c r="AB79" i="1"/>
  <c r="BN79" i="1" s="1"/>
  <c r="Q79" i="1"/>
  <c r="AK80" i="1"/>
  <c r="BI80" i="1"/>
  <c r="BP80" i="1"/>
  <c r="R79" i="1"/>
  <c r="AU80" i="1" l="1"/>
  <c r="V79" i="1"/>
  <c r="Z79" i="1"/>
  <c r="W79" i="1"/>
  <c r="Y79" i="1"/>
  <c r="T79" i="1"/>
  <c r="AE79" i="1"/>
  <c r="S79" i="1"/>
  <c r="U79" i="1"/>
  <c r="AH79" i="1" l="1"/>
  <c r="AS79" i="1"/>
  <c r="AA79" i="1"/>
  <c r="X79" i="1"/>
  <c r="AL79" i="1"/>
  <c r="BK79" i="1"/>
  <c r="AR79" i="1"/>
  <c r="BI79" i="1"/>
  <c r="AQ79" i="1"/>
  <c r="BC79" i="1"/>
  <c r="AP79" i="1"/>
  <c r="BA79" i="1"/>
  <c r="AO79" i="1"/>
  <c r="AM79" i="1"/>
  <c r="AN79" i="1"/>
  <c r="AG79" i="1"/>
  <c r="AZ79" i="1"/>
  <c r="AY79" i="1"/>
  <c r="BT79" i="1"/>
  <c r="AF79" i="1"/>
  <c r="BS79" i="1"/>
  <c r="BU79" i="1"/>
  <c r="AX79" i="1"/>
  <c r="AW79" i="1"/>
  <c r="AI79" i="1" l="1"/>
  <c r="AJ79" i="1"/>
  <c r="AT79" i="1"/>
  <c r="BQ79" i="1"/>
  <c r="AV79" i="1"/>
  <c r="AD79" i="1"/>
  <c r="AC79" i="1"/>
  <c r="BL79" i="1"/>
  <c r="BM79" i="1"/>
  <c r="AB78" i="1"/>
  <c r="BN78" i="1" s="1"/>
  <c r="Q78" i="1"/>
  <c r="AK79" i="1"/>
  <c r="BG79" i="1" a="1"/>
  <c r="R78" i="1"/>
  <c r="AU79" i="1" l="1"/>
  <c r="BG79" i="1"/>
  <c r="V78" i="1"/>
  <c r="Z78" i="1"/>
  <c r="Y78" i="1"/>
  <c r="W78" i="1"/>
  <c r="T78" i="1"/>
  <c r="BP79" i="1"/>
  <c r="AE78" i="1"/>
  <c r="S78" i="1"/>
  <c r="U78" i="1"/>
  <c r="AH78" i="1" l="1"/>
  <c r="AS78" i="1"/>
  <c r="AA78" i="1"/>
  <c r="X78" i="1"/>
  <c r="AL78" i="1"/>
  <c r="AQ78" i="1"/>
  <c r="AR78" i="1"/>
  <c r="BT78" i="1"/>
  <c r="AP78" i="1"/>
  <c r="BS78" i="1"/>
  <c r="AO78" i="1"/>
  <c r="BK78" i="1"/>
  <c r="BC78" i="1"/>
  <c r="AN78" i="1"/>
  <c r="BA78" i="1"/>
  <c r="AM78" i="1"/>
  <c r="AZ78" i="1"/>
  <c r="BG78" i="1" a="1"/>
  <c r="AG78" i="1"/>
  <c r="AY78" i="1"/>
  <c r="AF78" i="1"/>
  <c r="BU78" i="1"/>
  <c r="AX78" i="1"/>
  <c r="AW78" i="1"/>
  <c r="AI78" i="1" l="1"/>
  <c r="AJ78" i="1"/>
  <c r="AT78" i="1"/>
  <c r="BQ78" i="1"/>
  <c r="AV78" i="1"/>
  <c r="BG78" i="1"/>
  <c r="AD78" i="1"/>
  <c r="AC78" i="1"/>
  <c r="BM78" i="1"/>
  <c r="BL78" i="1"/>
  <c r="AB77" i="1"/>
  <c r="BN77" i="1" s="1"/>
  <c r="Q77" i="1"/>
  <c r="AK78" i="1"/>
  <c r="BI78" i="1"/>
  <c r="BP78" i="1"/>
  <c r="R77" i="1"/>
  <c r="AU78" i="1" l="1"/>
  <c r="V77" i="1"/>
  <c r="Y77" i="1"/>
  <c r="W77" i="1"/>
  <c r="Z77" i="1"/>
  <c r="T77" i="1"/>
  <c r="AE77" i="1"/>
  <c r="U77" i="1"/>
  <c r="S77" i="1"/>
  <c r="AH77" i="1" l="1"/>
  <c r="AS77" i="1"/>
  <c r="AA77" i="1"/>
  <c r="X77" i="1"/>
  <c r="AL77" i="1"/>
  <c r="AQ77" i="1"/>
  <c r="AR77" i="1"/>
  <c r="BT77" i="1"/>
  <c r="AP77" i="1"/>
  <c r="BS77" i="1"/>
  <c r="BK77" i="1"/>
  <c r="AO77" i="1"/>
  <c r="AN77" i="1"/>
  <c r="BC77" i="1"/>
  <c r="AM77" i="1"/>
  <c r="BI77" i="1"/>
  <c r="BA77" i="1"/>
  <c r="AG77" i="1"/>
  <c r="AZ77" i="1"/>
  <c r="AY77" i="1"/>
  <c r="AF77" i="1"/>
  <c r="BU77" i="1"/>
  <c r="AW77" i="1"/>
  <c r="AX77" i="1"/>
  <c r="AI77" i="1" l="1"/>
  <c r="AJ77" i="1"/>
  <c r="AT77" i="1"/>
  <c r="BQ77" i="1"/>
  <c r="AV77" i="1"/>
  <c r="BM77" i="1"/>
  <c r="BL77" i="1"/>
  <c r="AD77" i="1"/>
  <c r="AC77" i="1"/>
  <c r="AB76" i="1"/>
  <c r="BN76" i="1" s="1"/>
  <c r="Q76" i="1"/>
  <c r="AK77" i="1"/>
  <c r="BG77" i="1" a="1"/>
  <c r="R76" i="1"/>
  <c r="AU77" i="1" l="1"/>
  <c r="BG77" i="1"/>
  <c r="V76" i="1"/>
  <c r="W76" i="1"/>
  <c r="Z76" i="1"/>
  <c r="Y76" i="1"/>
  <c r="T76" i="1"/>
  <c r="AE76" i="1"/>
  <c r="BP77" i="1"/>
  <c r="U76" i="1"/>
  <c r="S76" i="1"/>
  <c r="AH76" i="1" l="1"/>
  <c r="AS76" i="1"/>
  <c r="AA76" i="1"/>
  <c r="X76" i="1"/>
  <c r="AL76" i="1"/>
  <c r="AF76" i="1"/>
  <c r="AR76" i="1"/>
  <c r="AQ76" i="1"/>
  <c r="BT76" i="1"/>
  <c r="AP76" i="1"/>
  <c r="AO76" i="1"/>
  <c r="BK76" i="1"/>
  <c r="BC76" i="1"/>
  <c r="AN76" i="1"/>
  <c r="BS76" i="1"/>
  <c r="AM76" i="1"/>
  <c r="BA76" i="1"/>
  <c r="BI76" i="1"/>
  <c r="AG76" i="1"/>
  <c r="AZ76" i="1"/>
  <c r="AY76" i="1"/>
  <c r="BU76" i="1"/>
  <c r="AX76" i="1"/>
  <c r="AW76" i="1"/>
  <c r="AJ76" i="1" l="1"/>
  <c r="AT76" i="1"/>
  <c r="AI76" i="1"/>
  <c r="BQ76" i="1"/>
  <c r="AV76" i="1"/>
  <c r="AD76" i="1"/>
  <c r="AC76" i="1"/>
  <c r="BM76" i="1"/>
  <c r="BL76" i="1"/>
  <c r="AB75" i="1"/>
  <c r="BN75" i="1" s="1"/>
  <c r="Q75" i="1"/>
  <c r="AK76" i="1"/>
  <c r="BG76" i="1" a="1"/>
  <c r="R75" i="1"/>
  <c r="AU76" i="1" l="1"/>
  <c r="BG76" i="1"/>
  <c r="V75" i="1"/>
  <c r="Z75" i="1"/>
  <c r="Y75" i="1"/>
  <c r="W75" i="1"/>
  <c r="T75" i="1"/>
  <c r="AE75" i="1"/>
  <c r="BP76" i="1"/>
  <c r="S75" i="1"/>
  <c r="U75" i="1"/>
  <c r="AH75" i="1" l="1"/>
  <c r="AS75" i="1"/>
  <c r="AA75" i="1"/>
  <c r="X75" i="1"/>
  <c r="AL75" i="1"/>
  <c r="AF75" i="1"/>
  <c r="AR75" i="1"/>
  <c r="BT75" i="1"/>
  <c r="BS75" i="1"/>
  <c r="AQ75" i="1"/>
  <c r="AO75" i="1"/>
  <c r="AP75" i="1"/>
  <c r="BC75" i="1"/>
  <c r="BK75" i="1"/>
  <c r="BA75" i="1"/>
  <c r="BI75" i="1"/>
  <c r="AN75" i="1"/>
  <c r="AG75" i="1"/>
  <c r="AM75" i="1"/>
  <c r="AY75" i="1"/>
  <c r="AZ75" i="1"/>
  <c r="BU75" i="1"/>
  <c r="AX75" i="1"/>
  <c r="AW75" i="1"/>
  <c r="AT75" i="1" l="1"/>
  <c r="AJ75" i="1"/>
  <c r="AI75" i="1"/>
  <c r="BQ75" i="1"/>
  <c r="AV75" i="1"/>
  <c r="AD75" i="1"/>
  <c r="AC75" i="1"/>
  <c r="BM75" i="1"/>
  <c r="BL75" i="1"/>
  <c r="AB74" i="1"/>
  <c r="BN74" i="1" s="1"/>
  <c r="Q74" i="1"/>
  <c r="AK75" i="1"/>
  <c r="BG75" i="1" a="1"/>
  <c r="R74" i="1"/>
  <c r="AU75" i="1" l="1"/>
  <c r="BG75" i="1"/>
  <c r="V74" i="1"/>
  <c r="Y74" i="1"/>
  <c r="Z74" i="1"/>
  <c r="W74" i="1"/>
  <c r="T74" i="1"/>
  <c r="BP75" i="1"/>
  <c r="AE74" i="1"/>
  <c r="U74" i="1"/>
  <c r="S74" i="1"/>
  <c r="AH74" i="1" l="1"/>
  <c r="AS74" i="1"/>
  <c r="AA74" i="1"/>
  <c r="X74" i="1"/>
  <c r="AL74" i="1"/>
  <c r="AP74" i="1"/>
  <c r="AR74" i="1"/>
  <c r="BT74" i="1"/>
  <c r="AO74" i="1"/>
  <c r="BS74" i="1"/>
  <c r="AN74" i="1"/>
  <c r="BK74" i="1"/>
  <c r="AM74" i="1"/>
  <c r="BC74" i="1"/>
  <c r="AZ74" i="1"/>
  <c r="BA74" i="1"/>
  <c r="AG74" i="1"/>
  <c r="AY74" i="1"/>
  <c r="AF74" i="1"/>
  <c r="AQ74" i="1"/>
  <c r="BU74" i="1"/>
  <c r="BG74" i="1" a="1"/>
  <c r="AW74" i="1"/>
  <c r="AX74" i="1"/>
  <c r="AI74" i="1" l="1"/>
  <c r="AJ74" i="1"/>
  <c r="AT74" i="1"/>
  <c r="BQ74" i="1"/>
  <c r="AV74" i="1"/>
  <c r="BG74" i="1"/>
  <c r="AD74" i="1"/>
  <c r="AC74" i="1"/>
  <c r="BM74" i="1"/>
  <c r="BL74" i="1"/>
  <c r="AB73" i="1"/>
  <c r="BN73" i="1" s="1"/>
  <c r="Q73" i="1"/>
  <c r="AK74" i="1"/>
  <c r="BP74" i="1"/>
  <c r="BI74" i="1"/>
  <c r="R73" i="1"/>
  <c r="AU74" i="1" l="1"/>
  <c r="V73" i="1"/>
  <c r="Z73" i="1"/>
  <c r="Y73" i="1"/>
  <c r="W73" i="1"/>
  <c r="T73" i="1"/>
  <c r="AF73" i="1"/>
  <c r="U73" i="1"/>
  <c r="S73" i="1"/>
  <c r="AI73" i="1" l="1"/>
  <c r="AS73" i="1"/>
  <c r="AA73" i="1"/>
  <c r="X73" i="1"/>
  <c r="AL73" i="1"/>
  <c r="BK73" i="1"/>
  <c r="AY73" i="1"/>
  <c r="AE73" i="1"/>
  <c r="AO73" i="1"/>
  <c r="AR73" i="1"/>
  <c r="BC73" i="1"/>
  <c r="AQ73" i="1"/>
  <c r="AN73" i="1"/>
  <c r="BU73" i="1"/>
  <c r="BA73" i="1"/>
  <c r="BT73" i="1"/>
  <c r="AM73" i="1"/>
  <c r="BS73" i="1"/>
  <c r="AZ73" i="1"/>
  <c r="AP73" i="1"/>
  <c r="AG73" i="1"/>
  <c r="BI73" i="1"/>
  <c r="AX73" i="1"/>
  <c r="AW73" i="1"/>
  <c r="AJ73" i="1" l="1"/>
  <c r="AT73" i="1"/>
  <c r="AH73" i="1"/>
  <c r="BQ73" i="1"/>
  <c r="AV73" i="1"/>
  <c r="AD73" i="1"/>
  <c r="AC73" i="1"/>
  <c r="BM73" i="1"/>
  <c r="BL73" i="1"/>
  <c r="AB72" i="1"/>
  <c r="BN72" i="1" s="1"/>
  <c r="Q72" i="1"/>
  <c r="AK73" i="1"/>
  <c r="BG73" i="1" a="1"/>
  <c r="R72" i="1"/>
  <c r="BG73" i="1" l="1"/>
  <c r="AU73" i="1"/>
  <c r="V72" i="1"/>
  <c r="Z72" i="1"/>
  <c r="W72" i="1"/>
  <c r="Y72" i="1"/>
  <c r="T72" i="1"/>
  <c r="BP73" i="1"/>
  <c r="AE72" i="1"/>
  <c r="U72" i="1"/>
  <c r="S72" i="1"/>
  <c r="AH72" i="1" l="1"/>
  <c r="AS72" i="1"/>
  <c r="AA72" i="1"/>
  <c r="X72" i="1"/>
  <c r="AL72" i="1"/>
  <c r="AO72" i="1"/>
  <c r="AR72" i="1"/>
  <c r="BC72" i="1"/>
  <c r="AN72" i="1"/>
  <c r="BA72" i="1"/>
  <c r="AM72" i="1"/>
  <c r="BT72" i="1"/>
  <c r="AZ72" i="1"/>
  <c r="AQ72" i="1"/>
  <c r="AG72" i="1"/>
  <c r="BI72" i="1"/>
  <c r="BS72" i="1"/>
  <c r="AY72" i="1"/>
  <c r="AP72" i="1"/>
  <c r="AF72" i="1"/>
  <c r="BK72" i="1"/>
  <c r="BU72" i="1"/>
  <c r="AW72" i="1"/>
  <c r="AX72" i="1"/>
  <c r="AI72" i="1" l="1"/>
  <c r="AJ72" i="1"/>
  <c r="AT72" i="1"/>
  <c r="BQ72" i="1"/>
  <c r="AV72" i="1"/>
  <c r="AD72" i="1"/>
  <c r="AC72" i="1"/>
  <c r="BM72" i="1"/>
  <c r="BL72" i="1"/>
  <c r="AB71" i="1"/>
  <c r="BN71" i="1" s="1"/>
  <c r="Q71" i="1"/>
  <c r="AK72" i="1"/>
  <c r="BG72" i="1" a="1"/>
  <c r="R71" i="1"/>
  <c r="AU72" i="1" l="1"/>
  <c r="BG72" i="1"/>
  <c r="V71" i="1"/>
  <c r="Y71" i="1"/>
  <c r="W71" i="1"/>
  <c r="Z71" i="1"/>
  <c r="T71" i="1"/>
  <c r="AF71" i="1"/>
  <c r="AE71" i="1"/>
  <c r="BP72" i="1"/>
  <c r="U71" i="1"/>
  <c r="S71" i="1"/>
  <c r="AI71" i="1" l="1"/>
  <c r="AH71" i="1"/>
  <c r="AS71" i="1"/>
  <c r="AA71" i="1"/>
  <c r="X71" i="1"/>
  <c r="AR71" i="1"/>
  <c r="BK71" i="1"/>
  <c r="BU71" i="1"/>
  <c r="BC71" i="1"/>
  <c r="AL71" i="1"/>
  <c r="AN71" i="1"/>
  <c r="AQ71" i="1"/>
  <c r="BA71" i="1"/>
  <c r="BS71" i="1"/>
  <c r="AM71" i="1"/>
  <c r="AP71" i="1"/>
  <c r="AZ71" i="1"/>
  <c r="AO71" i="1"/>
  <c r="AG71" i="1"/>
  <c r="BT71" i="1"/>
  <c r="AY71" i="1"/>
  <c r="BG71" i="1" a="1"/>
  <c r="AX71" i="1"/>
  <c r="AW71" i="1"/>
  <c r="AJ71" i="1" l="1"/>
  <c r="AT71" i="1"/>
  <c r="BQ71" i="1"/>
  <c r="AV71" i="1"/>
  <c r="BG71" i="1"/>
  <c r="AD71" i="1"/>
  <c r="AC71" i="1"/>
  <c r="BM71" i="1"/>
  <c r="BL71" i="1"/>
  <c r="AB70" i="1"/>
  <c r="BN70" i="1" s="1"/>
  <c r="Q70" i="1"/>
  <c r="AK71" i="1"/>
  <c r="BI71" i="1"/>
  <c r="BP71" i="1"/>
  <c r="R70" i="1"/>
  <c r="AU71" i="1" l="1"/>
  <c r="V70" i="1"/>
  <c r="Z70" i="1"/>
  <c r="Y70" i="1"/>
  <c r="W70" i="1"/>
  <c r="T70" i="1"/>
  <c r="AE70" i="1"/>
  <c r="S70" i="1"/>
  <c r="U70" i="1"/>
  <c r="AH70" i="1" l="1"/>
  <c r="AS70" i="1"/>
  <c r="AA70" i="1"/>
  <c r="X70" i="1"/>
  <c r="AL70" i="1"/>
  <c r="AO70" i="1"/>
  <c r="AR70" i="1"/>
  <c r="AQ70" i="1"/>
  <c r="AN70" i="1"/>
  <c r="BS70" i="1"/>
  <c r="AM70" i="1"/>
  <c r="BK70" i="1"/>
  <c r="AZ70" i="1"/>
  <c r="AP70" i="1"/>
  <c r="BC70" i="1"/>
  <c r="AG70" i="1"/>
  <c r="BA70" i="1"/>
  <c r="AY70" i="1"/>
  <c r="BI70" i="1"/>
  <c r="BT70" i="1"/>
  <c r="AF70" i="1"/>
  <c r="BU70" i="1"/>
  <c r="AX70" i="1"/>
  <c r="AW70" i="1"/>
  <c r="AI70" i="1" l="1"/>
  <c r="AJ70" i="1"/>
  <c r="AT70" i="1"/>
  <c r="BQ70" i="1"/>
  <c r="AV70" i="1"/>
  <c r="AD70" i="1"/>
  <c r="AC70" i="1"/>
  <c r="BM70" i="1"/>
  <c r="BL70" i="1"/>
  <c r="AB69" i="1"/>
  <c r="BN69" i="1" s="1"/>
  <c r="Q69" i="1"/>
  <c r="AK70" i="1"/>
  <c r="BG70" i="1" a="1"/>
  <c r="R69" i="1"/>
  <c r="AU70" i="1" l="1"/>
  <c r="BG70" i="1"/>
  <c r="V69" i="1"/>
  <c r="Y69" i="1"/>
  <c r="Z69" i="1"/>
  <c r="W69" i="1"/>
  <c r="T69" i="1"/>
  <c r="AE69" i="1"/>
  <c r="BP70" i="1"/>
  <c r="S69" i="1"/>
  <c r="U69" i="1"/>
  <c r="AH69" i="1" l="1"/>
  <c r="AS69" i="1"/>
  <c r="AA69" i="1"/>
  <c r="X69" i="1"/>
  <c r="AL69" i="1"/>
  <c r="AF69" i="1"/>
  <c r="AR69" i="1"/>
  <c r="BT69" i="1"/>
  <c r="AQ69" i="1"/>
  <c r="AP69" i="1"/>
  <c r="BS69" i="1"/>
  <c r="AO69" i="1"/>
  <c r="BK69" i="1"/>
  <c r="AN69" i="1"/>
  <c r="BC69" i="1"/>
  <c r="AM69" i="1"/>
  <c r="BA69" i="1"/>
  <c r="AG69" i="1"/>
  <c r="AZ69" i="1"/>
  <c r="AY69" i="1"/>
  <c r="BU69" i="1"/>
  <c r="BI69" i="1"/>
  <c r="AX69" i="1"/>
  <c r="AW69" i="1"/>
  <c r="AJ69" i="1" l="1"/>
  <c r="AT69" i="1"/>
  <c r="AI69" i="1"/>
  <c r="AV69" i="1"/>
  <c r="BQ69" i="1"/>
  <c r="AD69" i="1"/>
  <c r="AC69" i="1"/>
  <c r="BM69" i="1"/>
  <c r="BL69" i="1"/>
  <c r="AB68" i="1"/>
  <c r="BN68" i="1" s="1"/>
  <c r="Q68" i="1"/>
  <c r="AK69" i="1"/>
  <c r="BG69" i="1" a="1"/>
  <c r="R68" i="1"/>
  <c r="AU69" i="1" l="1"/>
  <c r="BG69" i="1"/>
  <c r="V68" i="1"/>
  <c r="Y68" i="1"/>
  <c r="Z68" i="1"/>
  <c r="W68" i="1"/>
  <c r="T68" i="1"/>
  <c r="AE68" i="1"/>
  <c r="BP69" i="1"/>
  <c r="S68" i="1"/>
  <c r="U68" i="1"/>
  <c r="AH68" i="1" l="1"/>
  <c r="AS68" i="1"/>
  <c r="AA68" i="1"/>
  <c r="X68" i="1"/>
  <c r="AL68" i="1"/>
  <c r="AQ68" i="1"/>
  <c r="AR68" i="1"/>
  <c r="BS68" i="1"/>
  <c r="AP68" i="1"/>
  <c r="BK68" i="1"/>
  <c r="AO68" i="1"/>
  <c r="AN68" i="1"/>
  <c r="BC68" i="1"/>
  <c r="AM68" i="1"/>
  <c r="BA68" i="1"/>
  <c r="AG68" i="1"/>
  <c r="AZ68" i="1"/>
  <c r="AF68" i="1"/>
  <c r="AY68" i="1"/>
  <c r="BT68" i="1"/>
  <c r="BU68" i="1"/>
  <c r="BI68" i="1"/>
  <c r="AW68" i="1"/>
  <c r="AX68" i="1"/>
  <c r="AI68" i="1" l="1"/>
  <c r="AJ68" i="1"/>
  <c r="AT68" i="1"/>
  <c r="BQ68" i="1"/>
  <c r="AV68" i="1"/>
  <c r="AD68" i="1"/>
  <c r="AC68" i="1"/>
  <c r="BM68" i="1"/>
  <c r="BL68" i="1"/>
  <c r="AB67" i="1"/>
  <c r="BN67" i="1" s="1"/>
  <c r="Q67" i="1"/>
  <c r="AK68" i="1"/>
  <c r="BG68" i="1" a="1"/>
  <c r="R67" i="1"/>
  <c r="AU68" i="1" l="1"/>
  <c r="BG68" i="1"/>
  <c r="V67" i="1"/>
  <c r="Y67" i="1"/>
  <c r="W67" i="1"/>
  <c r="Z67" i="1"/>
  <c r="T67" i="1"/>
  <c r="BP68" i="1"/>
  <c r="AE67" i="1"/>
  <c r="U67" i="1"/>
  <c r="S67" i="1"/>
  <c r="AH67" i="1" l="1"/>
  <c r="AS67" i="1"/>
  <c r="AA67" i="1"/>
  <c r="X67" i="1"/>
  <c r="AL67" i="1"/>
  <c r="BA67" i="1"/>
  <c r="AR67" i="1"/>
  <c r="BT67" i="1"/>
  <c r="AM67" i="1"/>
  <c r="AQ67" i="1"/>
  <c r="AZ67" i="1"/>
  <c r="BS67" i="1"/>
  <c r="AG67" i="1"/>
  <c r="AP67" i="1"/>
  <c r="AY67" i="1"/>
  <c r="AF67" i="1"/>
  <c r="BK67" i="1"/>
  <c r="BI67" i="1"/>
  <c r="AO67" i="1"/>
  <c r="AN67" i="1"/>
  <c r="BC67" i="1"/>
  <c r="BU67" i="1"/>
  <c r="AX67" i="1"/>
  <c r="AW67" i="1"/>
  <c r="AI67" i="1" l="1"/>
  <c r="AJ67" i="1"/>
  <c r="AT67" i="1"/>
  <c r="BQ67" i="1"/>
  <c r="AV67" i="1"/>
  <c r="AD67" i="1"/>
  <c r="AC67" i="1"/>
  <c r="BM67" i="1"/>
  <c r="BL67" i="1"/>
  <c r="AB66" i="1"/>
  <c r="BN66" i="1" s="1"/>
  <c r="Q66" i="1"/>
  <c r="AK67" i="1"/>
  <c r="BG67" i="1" a="1"/>
  <c r="R66" i="1"/>
  <c r="AU67" i="1" l="1"/>
  <c r="BG67" i="1"/>
  <c r="V66" i="1"/>
  <c r="Y66" i="1"/>
  <c r="Z66" i="1"/>
  <c r="W66" i="1"/>
  <c r="T66" i="1"/>
  <c r="AE66" i="1"/>
  <c r="BP67" i="1"/>
  <c r="S66" i="1"/>
  <c r="U66" i="1"/>
  <c r="AH66" i="1" l="1"/>
  <c r="AS66" i="1"/>
  <c r="AA66" i="1"/>
  <c r="X66" i="1"/>
  <c r="AL66" i="1"/>
  <c r="AF66" i="1"/>
  <c r="AR66" i="1"/>
  <c r="AQ66" i="1"/>
  <c r="BT66" i="1"/>
  <c r="AP66" i="1"/>
  <c r="BS66" i="1"/>
  <c r="AO66" i="1"/>
  <c r="BK66" i="1"/>
  <c r="AN66" i="1"/>
  <c r="BC66" i="1"/>
  <c r="BA66" i="1"/>
  <c r="AM66" i="1"/>
  <c r="BI66" i="1"/>
  <c r="AZ66" i="1"/>
  <c r="AG66" i="1"/>
  <c r="AY66" i="1"/>
  <c r="BU66" i="1"/>
  <c r="AW66" i="1"/>
  <c r="AX66" i="1"/>
  <c r="AJ66" i="1" l="1"/>
  <c r="AT66" i="1"/>
  <c r="AI66" i="1"/>
  <c r="BQ66" i="1"/>
  <c r="AV66" i="1"/>
  <c r="AD66" i="1"/>
  <c r="AC66" i="1"/>
  <c r="BM66" i="1"/>
  <c r="BL66" i="1"/>
  <c r="AB65" i="1"/>
  <c r="BN65" i="1" s="1"/>
  <c r="Q65" i="1"/>
  <c r="AK66" i="1"/>
  <c r="BG66" i="1" a="1"/>
  <c r="R65" i="1"/>
  <c r="AU66" i="1" l="1"/>
  <c r="BG66" i="1"/>
  <c r="V65" i="1"/>
  <c r="Y65" i="1"/>
  <c r="W65" i="1"/>
  <c r="Z65" i="1"/>
  <c r="T65" i="1"/>
  <c r="BP66" i="1"/>
  <c r="AE65" i="1"/>
  <c r="S65" i="1"/>
  <c r="U65" i="1"/>
  <c r="AH65" i="1" l="1"/>
  <c r="AS65" i="1"/>
  <c r="AA65" i="1"/>
  <c r="X65" i="1"/>
  <c r="AL65" i="1"/>
  <c r="BS65" i="1"/>
  <c r="AR65" i="1"/>
  <c r="AQ65" i="1"/>
  <c r="BK65" i="1"/>
  <c r="AP65" i="1"/>
  <c r="AN65" i="1"/>
  <c r="AO65" i="1"/>
  <c r="BA65" i="1"/>
  <c r="BC65" i="1"/>
  <c r="AZ65" i="1"/>
  <c r="AM65" i="1"/>
  <c r="AG65" i="1"/>
  <c r="BI65" i="1"/>
  <c r="AY65" i="1"/>
  <c r="AF65" i="1"/>
  <c r="BT65" i="1"/>
  <c r="BU65" i="1"/>
  <c r="AX65" i="1"/>
  <c r="AW65" i="1"/>
  <c r="AI65" i="1" l="1"/>
  <c r="AJ65" i="1"/>
  <c r="AT65" i="1"/>
  <c r="BQ65" i="1"/>
  <c r="AV65" i="1"/>
  <c r="AD65" i="1"/>
  <c r="AC65" i="1"/>
  <c r="BM65" i="1"/>
  <c r="BL65" i="1"/>
  <c r="AB64" i="1"/>
  <c r="BN64" i="1" s="1"/>
  <c r="Q64" i="1"/>
  <c r="AK65" i="1"/>
  <c r="BG65" i="1" a="1"/>
  <c r="R64" i="1"/>
  <c r="AU65" i="1" l="1"/>
  <c r="BG65" i="1"/>
  <c r="V64" i="1"/>
  <c r="Y64" i="1"/>
  <c r="Z64" i="1"/>
  <c r="W64" i="1"/>
  <c r="T64" i="1"/>
  <c r="BP65" i="1"/>
  <c r="AE64" i="1"/>
  <c r="S64" i="1"/>
  <c r="U64" i="1"/>
  <c r="AH64" i="1" l="1"/>
  <c r="AS64" i="1"/>
  <c r="AA64" i="1"/>
  <c r="X64" i="1"/>
  <c r="AL64" i="1"/>
  <c r="BT64" i="1"/>
  <c r="AR64" i="1"/>
  <c r="AQ64" i="1"/>
  <c r="AP64" i="1"/>
  <c r="BS64" i="1"/>
  <c r="BK64" i="1"/>
  <c r="AO64" i="1"/>
  <c r="BC64" i="1"/>
  <c r="AN64" i="1"/>
  <c r="AM64" i="1"/>
  <c r="BA64" i="1"/>
  <c r="AZ64" i="1"/>
  <c r="BI64" i="1"/>
  <c r="AG64" i="1"/>
  <c r="AY64" i="1"/>
  <c r="AF64" i="1"/>
  <c r="BU64" i="1"/>
  <c r="AW64" i="1"/>
  <c r="AX64" i="1"/>
  <c r="AI64" i="1" l="1"/>
  <c r="AJ64" i="1"/>
  <c r="AT64" i="1"/>
  <c r="BQ64" i="1"/>
  <c r="AV64" i="1"/>
  <c r="AD64" i="1"/>
  <c r="AC64" i="1"/>
  <c r="BM64" i="1"/>
  <c r="BL64" i="1"/>
  <c r="AB63" i="1"/>
  <c r="BN63" i="1" s="1"/>
  <c r="Q63" i="1"/>
  <c r="AK64" i="1"/>
  <c r="BG64" i="1" a="1"/>
  <c r="R63" i="1"/>
  <c r="AU64" i="1" l="1"/>
  <c r="BG64" i="1"/>
  <c r="V63" i="1"/>
  <c r="Y63" i="1"/>
  <c r="Z63" i="1"/>
  <c r="W63" i="1"/>
  <c r="T63" i="1"/>
  <c r="AE63" i="1"/>
  <c r="BP64" i="1"/>
  <c r="S63" i="1"/>
  <c r="U63" i="1"/>
  <c r="AH63" i="1" l="1"/>
  <c r="AS63" i="1"/>
  <c r="AA63" i="1"/>
  <c r="X63" i="1"/>
  <c r="AL63" i="1"/>
  <c r="AO63" i="1"/>
  <c r="AR63" i="1"/>
  <c r="AQ63" i="1"/>
  <c r="BC63" i="1"/>
  <c r="BS63" i="1"/>
  <c r="BA63" i="1"/>
  <c r="BK63" i="1"/>
  <c r="AM63" i="1"/>
  <c r="AN63" i="1"/>
  <c r="AG63" i="1"/>
  <c r="AZ63" i="1"/>
  <c r="AY63" i="1"/>
  <c r="BI63" i="1"/>
  <c r="BT63" i="1"/>
  <c r="AF63" i="1"/>
  <c r="AP63" i="1"/>
  <c r="BU63" i="1"/>
  <c r="AX63" i="1"/>
  <c r="AW63" i="1"/>
  <c r="AI63" i="1" l="1"/>
  <c r="AJ63" i="1"/>
  <c r="AT63" i="1"/>
  <c r="BQ63" i="1"/>
  <c r="AV63" i="1"/>
  <c r="BM63" i="1"/>
  <c r="BL63" i="1"/>
  <c r="AD63" i="1"/>
  <c r="AC63" i="1"/>
  <c r="AB62" i="1"/>
  <c r="BN62" i="1" s="1"/>
  <c r="Q62" i="1"/>
  <c r="AK63" i="1"/>
  <c r="BG63" i="1" a="1"/>
  <c r="R62" i="1"/>
  <c r="AU63" i="1" l="1"/>
  <c r="BG63" i="1"/>
  <c r="V62" i="1"/>
  <c r="Y62" i="1"/>
  <c r="Z62" i="1"/>
  <c r="W62" i="1"/>
  <c r="T62" i="1"/>
  <c r="BP63" i="1"/>
  <c r="AE62" i="1"/>
  <c r="U62" i="1"/>
  <c r="S62" i="1"/>
  <c r="AH62" i="1" l="1"/>
  <c r="AS62" i="1"/>
  <c r="AA62" i="1"/>
  <c r="X62" i="1"/>
  <c r="AL62" i="1"/>
  <c r="BK62" i="1"/>
  <c r="AR62" i="1"/>
  <c r="BT62" i="1"/>
  <c r="AN62" i="1"/>
  <c r="AQ62" i="1"/>
  <c r="AM62" i="1"/>
  <c r="AP62" i="1"/>
  <c r="AZ62" i="1"/>
  <c r="AO62" i="1"/>
  <c r="AG62" i="1"/>
  <c r="BI62" i="1"/>
  <c r="BC62" i="1"/>
  <c r="AY62" i="1"/>
  <c r="BA62" i="1"/>
  <c r="AF62" i="1"/>
  <c r="BS62" i="1"/>
  <c r="BU62" i="1"/>
  <c r="AW62" i="1"/>
  <c r="AX62" i="1"/>
  <c r="AI62" i="1" l="1"/>
  <c r="AJ62" i="1"/>
  <c r="AT62" i="1"/>
  <c r="BQ62" i="1"/>
  <c r="AV62" i="1"/>
  <c r="AD62" i="1"/>
  <c r="AC62" i="1"/>
  <c r="BM62" i="1"/>
  <c r="BL62" i="1"/>
  <c r="AB61" i="1"/>
  <c r="BN61" i="1" s="1"/>
  <c r="Q61" i="1"/>
  <c r="AK62" i="1"/>
  <c r="BG62" i="1" a="1"/>
  <c r="R61" i="1"/>
  <c r="AU62" i="1" l="1"/>
  <c r="BG62" i="1"/>
  <c r="V61" i="1"/>
  <c r="Y61" i="1"/>
  <c r="W61" i="1"/>
  <c r="Z61" i="1"/>
  <c r="T61" i="1"/>
  <c r="BP62" i="1"/>
  <c r="AE61" i="1"/>
  <c r="S61" i="1"/>
  <c r="U61" i="1"/>
  <c r="AH61" i="1" l="1"/>
  <c r="AS61" i="1"/>
  <c r="AA61" i="1"/>
  <c r="X61" i="1"/>
  <c r="AL61" i="1"/>
  <c r="AY61" i="1"/>
  <c r="AR61" i="1"/>
  <c r="BT61" i="1"/>
  <c r="AF61" i="1"/>
  <c r="AQ61" i="1"/>
  <c r="AP61" i="1"/>
  <c r="BS61" i="1"/>
  <c r="AO61" i="1"/>
  <c r="BK61" i="1"/>
  <c r="BC61" i="1"/>
  <c r="AN61" i="1"/>
  <c r="AM61" i="1"/>
  <c r="BA61" i="1"/>
  <c r="AZ61" i="1"/>
  <c r="BI61" i="1"/>
  <c r="AG61" i="1"/>
  <c r="BU61" i="1"/>
  <c r="AW61" i="1"/>
  <c r="AX61" i="1"/>
  <c r="AJ61" i="1" l="1"/>
  <c r="AT61" i="1"/>
  <c r="AI61" i="1"/>
  <c r="BQ61" i="1"/>
  <c r="AV61" i="1"/>
  <c r="AD61" i="1"/>
  <c r="AC61" i="1"/>
  <c r="BM61" i="1"/>
  <c r="BL61" i="1"/>
  <c r="AB60" i="1"/>
  <c r="BN60" i="1" s="1"/>
  <c r="Q60" i="1"/>
  <c r="AK61" i="1"/>
  <c r="BG61" i="1" a="1"/>
  <c r="R60" i="1"/>
  <c r="AU61" i="1" l="1"/>
  <c r="BG61" i="1"/>
  <c r="V60" i="1"/>
  <c r="Z60" i="1"/>
  <c r="Y60" i="1"/>
  <c r="W60" i="1"/>
  <c r="T60" i="1"/>
  <c r="BP61" i="1"/>
  <c r="AE60" i="1"/>
  <c r="S60" i="1"/>
  <c r="U60" i="1"/>
  <c r="AH60" i="1" l="1"/>
  <c r="AS60" i="1"/>
  <c r="AA60" i="1"/>
  <c r="X60" i="1"/>
  <c r="AL60" i="1"/>
  <c r="BT60" i="1"/>
  <c r="AR60" i="1"/>
  <c r="AP60" i="1"/>
  <c r="AQ60" i="1"/>
  <c r="BK60" i="1"/>
  <c r="BS60" i="1"/>
  <c r="BC60" i="1"/>
  <c r="AO60" i="1"/>
  <c r="BA60" i="1"/>
  <c r="AN60" i="1"/>
  <c r="AZ60" i="1"/>
  <c r="AM60" i="1"/>
  <c r="BI60" i="1"/>
  <c r="AY60" i="1"/>
  <c r="AG60" i="1"/>
  <c r="AF60" i="1"/>
  <c r="BU60" i="1"/>
  <c r="AX60" i="1"/>
  <c r="AW60" i="1"/>
  <c r="AI60" i="1" l="1"/>
  <c r="AJ60" i="1"/>
  <c r="AT60" i="1"/>
  <c r="BQ60" i="1"/>
  <c r="AV60" i="1"/>
  <c r="BM60" i="1"/>
  <c r="BL60" i="1"/>
  <c r="AD60" i="1"/>
  <c r="AC60" i="1"/>
  <c r="AB59" i="1"/>
  <c r="BN59" i="1" s="1"/>
  <c r="Q59" i="1"/>
  <c r="AK60" i="1"/>
  <c r="BG60" i="1" a="1"/>
  <c r="R59" i="1"/>
  <c r="AU60" i="1" l="1"/>
  <c r="BG60" i="1"/>
  <c r="V59" i="1"/>
  <c r="Y59" i="1"/>
  <c r="Z59" i="1"/>
  <c r="W59" i="1"/>
  <c r="T59" i="1"/>
  <c r="BP60" i="1"/>
  <c r="AF59" i="1"/>
  <c r="U59" i="1"/>
  <c r="AI59" i="1" l="1"/>
  <c r="AS59" i="1"/>
  <c r="AA59" i="1"/>
  <c r="X59" i="1"/>
  <c r="AL59" i="1"/>
  <c r="BK59" i="1"/>
  <c r="AY59" i="1"/>
  <c r="AE59" i="1"/>
  <c r="AO59" i="1"/>
  <c r="BT59" i="1"/>
  <c r="BC59" i="1"/>
  <c r="AQ59" i="1"/>
  <c r="AN59" i="1"/>
  <c r="BU59" i="1"/>
  <c r="BA59" i="1"/>
  <c r="AR59" i="1"/>
  <c r="AM59" i="1"/>
  <c r="BI59" i="1"/>
  <c r="BS59" i="1"/>
  <c r="AZ59" i="1"/>
  <c r="AP59" i="1"/>
  <c r="AG59" i="1"/>
  <c r="AW59" i="1"/>
  <c r="AX59" i="1"/>
  <c r="AJ59" i="1" l="1"/>
  <c r="AT59" i="1"/>
  <c r="AH59" i="1"/>
  <c r="BQ59" i="1"/>
  <c r="AV59" i="1"/>
  <c r="AD59" i="1"/>
  <c r="AC59" i="1"/>
  <c r="BM59" i="1"/>
  <c r="BL59" i="1"/>
  <c r="AB58" i="1"/>
  <c r="BN58" i="1" s="1"/>
  <c r="Q58" i="1"/>
  <c r="AK59" i="1"/>
  <c r="BG59" i="1" a="1"/>
  <c r="R58" i="1"/>
  <c r="BG59" i="1" l="1"/>
  <c r="AU59" i="1"/>
  <c r="V58" i="1"/>
  <c r="Y58" i="1"/>
  <c r="W58" i="1"/>
  <c r="Z58" i="1"/>
  <c r="T58" i="1"/>
  <c r="BP59" i="1"/>
  <c r="AE58" i="1"/>
  <c r="S58" i="1"/>
  <c r="U58" i="1"/>
  <c r="AH58" i="1" l="1"/>
  <c r="AS58" i="1"/>
  <c r="AA58" i="1"/>
  <c r="X58" i="1"/>
  <c r="AL58" i="1"/>
  <c r="BC58" i="1"/>
  <c r="AR58" i="1"/>
  <c r="BT58" i="1"/>
  <c r="AN58" i="1"/>
  <c r="AP58" i="1"/>
  <c r="AM58" i="1"/>
  <c r="AO58" i="1"/>
  <c r="AZ58" i="1"/>
  <c r="BA58" i="1"/>
  <c r="AG58" i="1"/>
  <c r="AQ58" i="1"/>
  <c r="AY58" i="1"/>
  <c r="BS58" i="1"/>
  <c r="AF58" i="1"/>
  <c r="BI58" i="1"/>
  <c r="BK58" i="1"/>
  <c r="BU58" i="1"/>
  <c r="AX58" i="1"/>
  <c r="AW58" i="1"/>
  <c r="AI58" i="1" l="1"/>
  <c r="AJ58" i="1"/>
  <c r="AT58" i="1"/>
  <c r="BQ58" i="1"/>
  <c r="AV58" i="1"/>
  <c r="AD58" i="1"/>
  <c r="AC58" i="1"/>
  <c r="BM58" i="1"/>
  <c r="BL58" i="1"/>
  <c r="AB57" i="1"/>
  <c r="BN57" i="1" s="1"/>
  <c r="Q57" i="1"/>
  <c r="AK58" i="1"/>
  <c r="BG58" i="1" a="1"/>
  <c r="R57" i="1"/>
  <c r="AU58" i="1" l="1"/>
  <c r="BG58" i="1"/>
  <c r="V57" i="1"/>
  <c r="Y57" i="1"/>
  <c r="Z57" i="1"/>
  <c r="W57" i="1"/>
  <c r="T57" i="1"/>
  <c r="BP58" i="1"/>
  <c r="AE57" i="1"/>
  <c r="S57" i="1"/>
  <c r="U57" i="1"/>
  <c r="AH57" i="1" l="1"/>
  <c r="AS57" i="1"/>
  <c r="AA57" i="1"/>
  <c r="X57" i="1"/>
  <c r="AL57" i="1"/>
  <c r="BT57" i="1"/>
  <c r="AY57" i="1"/>
  <c r="AQ57" i="1"/>
  <c r="AF57" i="1"/>
  <c r="BS57" i="1"/>
  <c r="AP57" i="1"/>
  <c r="AR57" i="1"/>
  <c r="BK57" i="1"/>
  <c r="BC57" i="1"/>
  <c r="AO57" i="1"/>
  <c r="BA57" i="1"/>
  <c r="BI57" i="1"/>
  <c r="AN57" i="1"/>
  <c r="AG57" i="1"/>
  <c r="AZ57" i="1"/>
  <c r="AM57" i="1"/>
  <c r="BU57" i="1"/>
  <c r="AW57" i="1"/>
  <c r="AX57" i="1"/>
  <c r="AT57" i="1" l="1"/>
  <c r="AJ57" i="1"/>
  <c r="AI57" i="1"/>
  <c r="AV57" i="1"/>
  <c r="BQ57" i="1"/>
  <c r="AD57" i="1"/>
  <c r="AC57" i="1"/>
  <c r="BM57" i="1"/>
  <c r="BL57" i="1"/>
  <c r="AB56" i="1"/>
  <c r="BN56" i="1" s="1"/>
  <c r="Q56" i="1"/>
  <c r="AK57" i="1"/>
  <c r="BG57" i="1" a="1"/>
  <c r="R56" i="1"/>
  <c r="AU57" i="1" l="1"/>
  <c r="BG57" i="1"/>
  <c r="V56" i="1"/>
  <c r="Y56" i="1"/>
  <c r="Z56" i="1"/>
  <c r="W56" i="1"/>
  <c r="T56" i="1"/>
  <c r="AE56" i="1"/>
  <c r="BP57" i="1"/>
  <c r="S56" i="1"/>
  <c r="U56" i="1"/>
  <c r="AH56" i="1" l="1"/>
  <c r="AS56" i="1"/>
  <c r="AA56" i="1"/>
  <c r="X56" i="1"/>
  <c r="AL56" i="1"/>
  <c r="AQ56" i="1"/>
  <c r="AR56" i="1"/>
  <c r="BT56" i="1"/>
  <c r="BS56" i="1"/>
  <c r="AP56" i="1"/>
  <c r="BK56" i="1"/>
  <c r="AO56" i="1"/>
  <c r="BC56" i="1"/>
  <c r="AN56" i="1"/>
  <c r="BA56" i="1"/>
  <c r="AM56" i="1"/>
  <c r="AZ56" i="1"/>
  <c r="BI56" i="1"/>
  <c r="AY56" i="1"/>
  <c r="AG56" i="1"/>
  <c r="AF56" i="1"/>
  <c r="BU56" i="1"/>
  <c r="AX56" i="1"/>
  <c r="AW56" i="1"/>
  <c r="AI56" i="1" l="1"/>
  <c r="AJ56" i="1"/>
  <c r="AT56" i="1"/>
  <c r="BQ56" i="1"/>
  <c r="AV56" i="1"/>
  <c r="AD56" i="1"/>
  <c r="AC56" i="1"/>
  <c r="BM56" i="1"/>
  <c r="BL56" i="1"/>
  <c r="AB55" i="1"/>
  <c r="BN55" i="1" s="1"/>
  <c r="Q55" i="1"/>
  <c r="AK56" i="1"/>
  <c r="BG56" i="1" a="1"/>
  <c r="R55" i="1"/>
  <c r="AU56" i="1" l="1"/>
  <c r="BG56" i="1"/>
  <c r="V55" i="1"/>
  <c r="Z55" i="1"/>
  <c r="W55" i="1"/>
  <c r="Y55" i="1"/>
  <c r="T55" i="1"/>
  <c r="BP56" i="1"/>
  <c r="AE55" i="1"/>
  <c r="U55" i="1"/>
  <c r="S55" i="1"/>
  <c r="AH55" i="1" l="1"/>
  <c r="AS55" i="1"/>
  <c r="X55" i="1"/>
  <c r="AA55" i="1"/>
  <c r="AL55" i="1"/>
  <c r="AP55" i="1"/>
  <c r="AR55" i="1"/>
  <c r="BT55" i="1"/>
  <c r="BK55" i="1"/>
  <c r="BS55" i="1"/>
  <c r="BC55" i="1"/>
  <c r="AO55" i="1"/>
  <c r="AN55" i="1"/>
  <c r="BA55" i="1"/>
  <c r="AM55" i="1"/>
  <c r="AZ55" i="1"/>
  <c r="AG55" i="1"/>
  <c r="BI55" i="1"/>
  <c r="AF55" i="1"/>
  <c r="AY55" i="1"/>
  <c r="AQ55" i="1"/>
  <c r="BU55" i="1"/>
  <c r="AW55" i="1"/>
  <c r="AX55" i="1"/>
  <c r="AI55" i="1" l="1"/>
  <c r="AJ55" i="1"/>
  <c r="AT55" i="1"/>
  <c r="BQ55" i="1"/>
  <c r="AV55" i="1"/>
  <c r="AD55" i="1"/>
  <c r="AC55" i="1"/>
  <c r="BM55" i="1"/>
  <c r="BL55" i="1"/>
  <c r="AB54" i="1"/>
  <c r="BN54" i="1" s="1"/>
  <c r="Q54" i="1"/>
  <c r="AK55" i="1"/>
  <c r="BG55" i="1" a="1"/>
  <c r="R54" i="1"/>
  <c r="AU55" i="1" l="1"/>
  <c r="BG55" i="1"/>
  <c r="V54" i="1"/>
  <c r="Z54" i="1"/>
  <c r="Y54" i="1"/>
  <c r="W54" i="1"/>
  <c r="T54" i="1"/>
  <c r="BP55" i="1"/>
  <c r="AF54" i="1"/>
  <c r="U54" i="1"/>
  <c r="AI54" i="1" l="1"/>
  <c r="AS54" i="1"/>
  <c r="AA54" i="1"/>
  <c r="X54" i="1"/>
  <c r="AL54" i="1"/>
  <c r="BK54" i="1"/>
  <c r="AY54" i="1"/>
  <c r="AR54" i="1"/>
  <c r="AO54" i="1"/>
  <c r="AQ54" i="1"/>
  <c r="BC54" i="1"/>
  <c r="AM54" i="1"/>
  <c r="BU54" i="1"/>
  <c r="AN54" i="1"/>
  <c r="AG54" i="1"/>
  <c r="AE54" i="1"/>
  <c r="BA54" i="1"/>
  <c r="BT54" i="1"/>
  <c r="AP54" i="1"/>
  <c r="BS54" i="1"/>
  <c r="AZ54" i="1"/>
  <c r="BI54" i="1"/>
  <c r="AX54" i="1"/>
  <c r="AW54" i="1"/>
  <c r="AH54" i="1" l="1"/>
  <c r="AJ54" i="1"/>
  <c r="AT54" i="1"/>
  <c r="BQ54" i="1"/>
  <c r="AV54" i="1"/>
  <c r="AD54" i="1"/>
  <c r="AC54" i="1"/>
  <c r="BM54" i="1"/>
  <c r="BL54" i="1"/>
  <c r="AB53" i="1"/>
  <c r="BN53" i="1" s="1"/>
  <c r="Q53" i="1"/>
  <c r="AK54" i="1"/>
  <c r="BG54" i="1" a="1"/>
  <c r="R53" i="1"/>
  <c r="BG54" i="1" l="1"/>
  <c r="AU54" i="1"/>
  <c r="V53" i="1"/>
  <c r="Y53" i="1"/>
  <c r="Z53" i="1"/>
  <c r="W53" i="1"/>
  <c r="T53" i="1"/>
  <c r="BP54" i="1"/>
  <c r="AE53" i="1"/>
  <c r="S53" i="1"/>
  <c r="U53" i="1"/>
  <c r="AH53" i="1" l="1"/>
  <c r="AS53" i="1"/>
  <c r="AA53" i="1"/>
  <c r="X53" i="1"/>
  <c r="AL53" i="1"/>
  <c r="AG53" i="1"/>
  <c r="AR53" i="1"/>
  <c r="BT53" i="1"/>
  <c r="AY53" i="1"/>
  <c r="AZ53" i="1"/>
  <c r="AQ53" i="1"/>
  <c r="AF53" i="1"/>
  <c r="BC53" i="1"/>
  <c r="BI53" i="1"/>
  <c r="BS53" i="1"/>
  <c r="AP53" i="1"/>
  <c r="AO53" i="1"/>
  <c r="BK53" i="1"/>
  <c r="AN53" i="1"/>
  <c r="BA53" i="1"/>
  <c r="BU53" i="1"/>
  <c r="AM53" i="1"/>
  <c r="AW53" i="1"/>
  <c r="AX53" i="1"/>
  <c r="AT53" i="1" l="1"/>
  <c r="AI53" i="1"/>
  <c r="AJ53" i="1"/>
  <c r="BQ53" i="1"/>
  <c r="AV53" i="1"/>
  <c r="AD53" i="1"/>
  <c r="AC53" i="1"/>
  <c r="BM53" i="1"/>
  <c r="BL53" i="1"/>
  <c r="AB52" i="1"/>
  <c r="BN52" i="1" s="1"/>
  <c r="Q52" i="1"/>
  <c r="AK53" i="1"/>
  <c r="BG53" i="1" a="1"/>
  <c r="R52" i="1"/>
  <c r="AU53" i="1" l="1"/>
  <c r="BG53" i="1"/>
  <c r="V52" i="1"/>
  <c r="Y52" i="1"/>
  <c r="W52" i="1"/>
  <c r="Z52" i="1"/>
  <c r="T52" i="1"/>
  <c r="BP53" i="1"/>
  <c r="AE52" i="1"/>
  <c r="S52" i="1"/>
  <c r="U52" i="1"/>
  <c r="AH52" i="1" l="1"/>
  <c r="AS52" i="1"/>
  <c r="AA52" i="1"/>
  <c r="X52" i="1"/>
  <c r="AL52" i="1"/>
  <c r="AY52" i="1"/>
  <c r="AR52" i="1"/>
  <c r="BT52" i="1"/>
  <c r="AF52" i="1"/>
  <c r="BA52" i="1"/>
  <c r="AG52" i="1"/>
  <c r="AQ52" i="1"/>
  <c r="AP52" i="1"/>
  <c r="BS52" i="1"/>
  <c r="AO52" i="1"/>
  <c r="BU52" i="1"/>
  <c r="BK52" i="1"/>
  <c r="AN52" i="1"/>
  <c r="BC52" i="1"/>
  <c r="AM52" i="1"/>
  <c r="AZ52" i="1"/>
  <c r="BI52" i="1"/>
  <c r="AW52" i="1"/>
  <c r="AX52" i="1"/>
  <c r="AT52" i="1" l="1"/>
  <c r="AJ52" i="1"/>
  <c r="AI52" i="1"/>
  <c r="BQ52" i="1"/>
  <c r="AV52" i="1"/>
  <c r="AD52" i="1"/>
  <c r="AC52" i="1"/>
  <c r="BM52" i="1"/>
  <c r="BL52" i="1"/>
  <c r="AB51" i="1"/>
  <c r="BN51" i="1" s="1"/>
  <c r="Q51" i="1"/>
  <c r="AK52" i="1"/>
  <c r="BG52" i="1" a="1"/>
  <c r="R51" i="1"/>
  <c r="AU52" i="1" l="1"/>
  <c r="BG52" i="1"/>
  <c r="V51" i="1"/>
  <c r="Y51" i="1"/>
  <c r="Z51" i="1"/>
  <c r="W51" i="1"/>
  <c r="T51" i="1"/>
  <c r="BP52" i="1"/>
  <c r="AE51" i="1"/>
  <c r="S51" i="1"/>
  <c r="U51" i="1"/>
  <c r="AH51" i="1" l="1"/>
  <c r="AS51" i="1"/>
  <c r="AA51" i="1"/>
  <c r="X51" i="1"/>
  <c r="AL51" i="1"/>
  <c r="BS51" i="1"/>
  <c r="AR51" i="1"/>
  <c r="BU51" i="1"/>
  <c r="AQ51" i="1"/>
  <c r="BK51" i="1"/>
  <c r="AP51" i="1"/>
  <c r="AN51" i="1"/>
  <c r="BA51" i="1"/>
  <c r="BT51" i="1"/>
  <c r="AO51" i="1"/>
  <c r="AM51" i="1"/>
  <c r="AG51" i="1"/>
  <c r="BC51" i="1"/>
  <c r="AZ51" i="1"/>
  <c r="BI51" i="1"/>
  <c r="AY51" i="1"/>
  <c r="AF51" i="1"/>
  <c r="AX51" i="1"/>
  <c r="AW51" i="1"/>
  <c r="AI51" i="1" l="1"/>
  <c r="AJ51" i="1"/>
  <c r="AT51" i="1"/>
  <c r="BQ51" i="1"/>
  <c r="AV51" i="1"/>
  <c r="AD51" i="1"/>
  <c r="AC51" i="1"/>
  <c r="BL51" i="1"/>
  <c r="BM51" i="1"/>
  <c r="AB50" i="1"/>
  <c r="BN50" i="1" s="1"/>
  <c r="Q50" i="1"/>
  <c r="AK51" i="1"/>
  <c r="BG51" i="1" a="1"/>
  <c r="R50" i="1"/>
  <c r="AU51" i="1" l="1"/>
  <c r="BG51" i="1"/>
  <c r="V50" i="1"/>
  <c r="Y50" i="1"/>
  <c r="W50" i="1"/>
  <c r="Z50" i="1"/>
  <c r="T50" i="1"/>
  <c r="BP51" i="1"/>
  <c r="AE50" i="1"/>
  <c r="S50" i="1"/>
  <c r="U50" i="1"/>
  <c r="AH50" i="1" l="1"/>
  <c r="AS50" i="1"/>
  <c r="AA50" i="1"/>
  <c r="X50" i="1"/>
  <c r="AL50" i="1"/>
  <c r="AN50" i="1"/>
  <c r="AR50" i="1"/>
  <c r="AP50" i="1"/>
  <c r="BA50" i="1"/>
  <c r="BC50" i="1"/>
  <c r="AM50" i="1"/>
  <c r="AY50" i="1"/>
  <c r="BU50" i="1"/>
  <c r="BT50" i="1"/>
  <c r="AZ50" i="1"/>
  <c r="BS50" i="1"/>
  <c r="AO50" i="1"/>
  <c r="AQ50" i="1"/>
  <c r="AG50" i="1"/>
  <c r="BI50" i="1"/>
  <c r="BK50" i="1"/>
  <c r="AF50" i="1"/>
  <c r="AW50" i="1"/>
  <c r="AX50" i="1"/>
  <c r="AI50" i="1" l="1"/>
  <c r="AJ50" i="1"/>
  <c r="AT50" i="1"/>
  <c r="BQ50" i="1"/>
  <c r="AV50" i="1"/>
  <c r="AD50" i="1"/>
  <c r="AC50" i="1"/>
  <c r="BM50" i="1"/>
  <c r="BL50" i="1"/>
  <c r="AB49" i="1"/>
  <c r="BN49" i="1" s="1"/>
  <c r="Q49" i="1"/>
  <c r="AK50" i="1"/>
  <c r="BG50" i="1" a="1"/>
  <c r="R49" i="1"/>
  <c r="AU50" i="1" l="1"/>
  <c r="BG50" i="1"/>
  <c r="V49" i="1"/>
  <c r="Y49" i="1"/>
  <c r="W49" i="1"/>
  <c r="Z49" i="1"/>
  <c r="T49" i="1"/>
  <c r="BP50" i="1"/>
  <c r="AE49" i="1"/>
  <c r="S49" i="1"/>
  <c r="U49" i="1"/>
  <c r="AH49" i="1" l="1"/>
  <c r="AS49" i="1"/>
  <c r="AA49" i="1"/>
  <c r="X49" i="1"/>
  <c r="AL49" i="1"/>
  <c r="AP49" i="1"/>
  <c r="AR49" i="1"/>
  <c r="BI49" i="1"/>
  <c r="BT49" i="1"/>
  <c r="AO49" i="1"/>
  <c r="BS49" i="1"/>
  <c r="AN49" i="1"/>
  <c r="BK49" i="1"/>
  <c r="BA49" i="1"/>
  <c r="BC49" i="1"/>
  <c r="AZ49" i="1"/>
  <c r="AM49" i="1"/>
  <c r="AG49" i="1"/>
  <c r="AY49" i="1"/>
  <c r="AF49" i="1"/>
  <c r="AQ49" i="1"/>
  <c r="BU49" i="1"/>
  <c r="AW49" i="1"/>
  <c r="AX49" i="1"/>
  <c r="AI49" i="1" l="1"/>
  <c r="AJ49" i="1"/>
  <c r="AT49" i="1"/>
  <c r="BQ49" i="1"/>
  <c r="AV49" i="1"/>
  <c r="AD49" i="1"/>
  <c r="AC49" i="1"/>
  <c r="BL49" i="1"/>
  <c r="BM49" i="1"/>
  <c r="AB48" i="1"/>
  <c r="BN48" i="1" s="1"/>
  <c r="Q48" i="1"/>
  <c r="AK49" i="1"/>
  <c r="BG49" i="1" a="1"/>
  <c r="R48" i="1"/>
  <c r="AU49" i="1" l="1"/>
  <c r="BG49" i="1"/>
  <c r="V48" i="1"/>
  <c r="Z48" i="1"/>
  <c r="Y48" i="1"/>
  <c r="W48" i="1"/>
  <c r="T48" i="1"/>
  <c r="AE48" i="1"/>
  <c r="BP49" i="1"/>
  <c r="S48" i="1"/>
  <c r="U48" i="1"/>
  <c r="AH48" i="1" l="1"/>
  <c r="AS48" i="1"/>
  <c r="AA48" i="1"/>
  <c r="X48" i="1"/>
  <c r="BS48" i="1"/>
  <c r="AN48" i="1"/>
  <c r="AR48" i="1"/>
  <c r="AQ48" i="1"/>
  <c r="BA48" i="1"/>
  <c r="AM48" i="1"/>
  <c r="BT48" i="1"/>
  <c r="AG48" i="1"/>
  <c r="AL48" i="1"/>
  <c r="AY48" i="1"/>
  <c r="BU48" i="1"/>
  <c r="AP48" i="1"/>
  <c r="AF48" i="1"/>
  <c r="BK48" i="1"/>
  <c r="BI48" i="1"/>
  <c r="AO48" i="1"/>
  <c r="AZ48" i="1"/>
  <c r="BC48" i="1"/>
  <c r="AW48" i="1"/>
  <c r="AX48" i="1"/>
  <c r="AI48" i="1" l="1"/>
  <c r="BQ48" i="1"/>
  <c r="AV48" i="1"/>
  <c r="AJ48" i="1"/>
  <c r="AT48" i="1"/>
  <c r="AD48" i="1"/>
  <c r="AC48" i="1"/>
  <c r="BM48" i="1"/>
  <c r="BL48" i="1"/>
  <c r="AB47" i="1"/>
  <c r="BN47" i="1" s="1"/>
  <c r="Q47" i="1"/>
  <c r="AK48" i="1"/>
  <c r="BG48" i="1" a="1"/>
  <c r="R47" i="1"/>
  <c r="AU48" i="1" l="1"/>
  <c r="BG48" i="1"/>
  <c r="V47" i="1"/>
  <c r="Y47" i="1"/>
  <c r="W47" i="1"/>
  <c r="Z47" i="1"/>
  <c r="T47" i="1"/>
  <c r="BP48" i="1"/>
  <c r="AE47" i="1"/>
  <c r="S47" i="1"/>
  <c r="U47" i="1"/>
  <c r="AH47" i="1" l="1"/>
  <c r="AS47" i="1"/>
  <c r="AA47" i="1"/>
  <c r="X47" i="1"/>
  <c r="AL47" i="1"/>
  <c r="AG47" i="1"/>
  <c r="AR47" i="1"/>
  <c r="BT47" i="1"/>
  <c r="AY47" i="1"/>
  <c r="AQ47" i="1"/>
  <c r="AF47" i="1"/>
  <c r="AM47" i="1"/>
  <c r="BS47" i="1"/>
  <c r="BC47" i="1"/>
  <c r="AP47" i="1"/>
  <c r="AN47" i="1"/>
  <c r="AO47" i="1"/>
  <c r="BA47" i="1"/>
  <c r="BU47" i="1"/>
  <c r="BK47" i="1"/>
  <c r="AZ47" i="1"/>
  <c r="BG47" i="1" a="1"/>
  <c r="AX47" i="1"/>
  <c r="AW47" i="1"/>
  <c r="AT47" i="1" l="1"/>
  <c r="AI47" i="1"/>
  <c r="AJ47" i="1"/>
  <c r="AV47" i="1"/>
  <c r="BQ47" i="1"/>
  <c r="BG47" i="1"/>
  <c r="AD47" i="1"/>
  <c r="AC47" i="1"/>
  <c r="BL47" i="1"/>
  <c r="BM47" i="1"/>
  <c r="AB46" i="1"/>
  <c r="BN46" i="1" s="1"/>
  <c r="Q46" i="1"/>
  <c r="AK47" i="1"/>
  <c r="BP47" i="1"/>
  <c r="BI47" i="1"/>
  <c r="R46" i="1"/>
  <c r="AU47" i="1" l="1"/>
  <c r="V46" i="1"/>
  <c r="Z46" i="1"/>
  <c r="Y46" i="1"/>
  <c r="W46" i="1"/>
  <c r="T46" i="1"/>
  <c r="AE46" i="1"/>
  <c r="U46" i="1"/>
  <c r="S46" i="1"/>
  <c r="AH46" i="1" l="1"/>
  <c r="AS46" i="1"/>
  <c r="AA46" i="1"/>
  <c r="X46" i="1"/>
  <c r="AL46" i="1"/>
  <c r="AP46" i="1"/>
  <c r="AR46" i="1"/>
  <c r="AQ46" i="1"/>
  <c r="BK46" i="1"/>
  <c r="AY46" i="1"/>
  <c r="BU46" i="1"/>
  <c r="BS46" i="1"/>
  <c r="AN46" i="1"/>
  <c r="AO46" i="1"/>
  <c r="BA46" i="1"/>
  <c r="BI46" i="1"/>
  <c r="BC46" i="1"/>
  <c r="AZ46" i="1"/>
  <c r="AM46" i="1"/>
  <c r="AG46" i="1"/>
  <c r="AF46" i="1"/>
  <c r="BT46" i="1"/>
  <c r="AW46" i="1"/>
  <c r="AX46" i="1"/>
  <c r="AI46" i="1" l="1"/>
  <c r="AJ46" i="1"/>
  <c r="AT46" i="1"/>
  <c r="BQ46" i="1"/>
  <c r="AV46" i="1"/>
  <c r="AD46" i="1"/>
  <c r="AC46" i="1"/>
  <c r="BM46" i="1"/>
  <c r="BL46" i="1"/>
  <c r="AB45" i="1"/>
  <c r="BN45" i="1" s="1"/>
  <c r="Q45" i="1"/>
  <c r="AK46" i="1"/>
  <c r="BG46" i="1" a="1"/>
  <c r="R45" i="1"/>
  <c r="AU46" i="1" l="1"/>
  <c r="BG46" i="1"/>
  <c r="V45" i="1"/>
  <c r="Z45" i="1"/>
  <c r="Y45" i="1"/>
  <c r="W45" i="1"/>
  <c r="T45" i="1"/>
  <c r="BP46" i="1"/>
  <c r="AE45" i="1"/>
  <c r="U45" i="1"/>
  <c r="S45" i="1"/>
  <c r="AH45" i="1" l="1"/>
  <c r="AS45" i="1"/>
  <c r="X45" i="1"/>
  <c r="AA45" i="1"/>
  <c r="AL45" i="1"/>
  <c r="AO45" i="1"/>
  <c r="AR45" i="1"/>
  <c r="AP45" i="1"/>
  <c r="BS45" i="1"/>
  <c r="AN45" i="1"/>
  <c r="BK45" i="1"/>
  <c r="BA45" i="1"/>
  <c r="AY45" i="1"/>
  <c r="BC45" i="1"/>
  <c r="AZ45" i="1"/>
  <c r="BT45" i="1"/>
  <c r="BU45" i="1"/>
  <c r="AM45" i="1"/>
  <c r="AG45" i="1"/>
  <c r="BI45" i="1"/>
  <c r="AQ45" i="1"/>
  <c r="AF45" i="1"/>
  <c r="AW45" i="1"/>
  <c r="AX45" i="1"/>
  <c r="AI45" i="1" l="1"/>
  <c r="AJ45" i="1"/>
  <c r="AT45" i="1"/>
  <c r="BQ45" i="1"/>
  <c r="AV45" i="1"/>
  <c r="AD45" i="1"/>
  <c r="AC45" i="1"/>
  <c r="BM45" i="1"/>
  <c r="BL45" i="1"/>
  <c r="AB44" i="1"/>
  <c r="BN44" i="1" s="1"/>
  <c r="Q44" i="1"/>
  <c r="AK45" i="1"/>
  <c r="BG45" i="1" a="1"/>
  <c r="R44" i="1"/>
  <c r="AU45" i="1" l="1"/>
  <c r="BG45" i="1"/>
  <c r="V44" i="1"/>
  <c r="Z44" i="1"/>
  <c r="Y44" i="1"/>
  <c r="W44" i="1"/>
  <c r="T44" i="1"/>
  <c r="BP45" i="1"/>
  <c r="AQ44" i="1"/>
  <c r="S44" i="1"/>
  <c r="U44" i="1"/>
  <c r="BR44" i="1" l="1"/>
  <c r="AS44" i="1"/>
  <c r="AA44" i="1"/>
  <c r="X44" i="1"/>
  <c r="AL44" i="1"/>
  <c r="AG44" i="1"/>
  <c r="AE44" i="1"/>
  <c r="AY44" i="1"/>
  <c r="BT44" i="1"/>
  <c r="BK44" i="1"/>
  <c r="AF44" i="1"/>
  <c r="BC44" i="1"/>
  <c r="BS44" i="1"/>
  <c r="AN44" i="1"/>
  <c r="AP44" i="1"/>
  <c r="BA44" i="1"/>
  <c r="AO44" i="1"/>
  <c r="AM44" i="1"/>
  <c r="AR44" i="1"/>
  <c r="AZ44" i="1"/>
  <c r="BU44" i="1"/>
  <c r="BI44" i="1"/>
  <c r="AX44" i="1"/>
  <c r="AW44" i="1"/>
  <c r="AT44" i="1" l="1"/>
  <c r="AI44" i="1"/>
  <c r="AH44" i="1"/>
  <c r="AJ44" i="1"/>
  <c r="BQ44" i="1"/>
  <c r="AV44" i="1"/>
  <c r="AD44" i="1"/>
  <c r="AC44" i="1"/>
  <c r="BL44" i="1"/>
  <c r="BM44" i="1"/>
  <c r="AB43" i="1"/>
  <c r="BN43" i="1" s="1"/>
  <c r="Q43" i="1"/>
  <c r="AK44" i="1"/>
  <c r="BG44" i="1" a="1"/>
  <c r="R43" i="1"/>
  <c r="BG44" i="1" l="1"/>
  <c r="AU44" i="1"/>
  <c r="V43" i="1"/>
  <c r="W43" i="1"/>
  <c r="Y43" i="1"/>
  <c r="Z43" i="1"/>
  <c r="T43" i="1"/>
  <c r="AE43" i="1"/>
  <c r="BP44" i="1"/>
  <c r="S43" i="1"/>
  <c r="U43" i="1"/>
  <c r="AH43" i="1" l="1"/>
  <c r="AS43" i="1"/>
  <c r="X43" i="1"/>
  <c r="AA43" i="1"/>
  <c r="AL43" i="1"/>
  <c r="AP43" i="1"/>
  <c r="AR43" i="1"/>
  <c r="BT43" i="1"/>
  <c r="BK43" i="1"/>
  <c r="AN43" i="1"/>
  <c r="AG43" i="1"/>
  <c r="AY43" i="1"/>
  <c r="BI43" i="1"/>
  <c r="BS43" i="1"/>
  <c r="BC43" i="1"/>
  <c r="AO43" i="1"/>
  <c r="BA43" i="1"/>
  <c r="AM43" i="1"/>
  <c r="AF43" i="1"/>
  <c r="BU43" i="1"/>
  <c r="AZ43" i="1"/>
  <c r="AQ43" i="1"/>
  <c r="AW43" i="1"/>
  <c r="AX43" i="1"/>
  <c r="AI43" i="1" l="1"/>
  <c r="AT43" i="1"/>
  <c r="AJ43" i="1"/>
  <c r="BQ43" i="1"/>
  <c r="AV43" i="1"/>
  <c r="AD43" i="1"/>
  <c r="AC43" i="1"/>
  <c r="BM43" i="1"/>
  <c r="BL43" i="1"/>
  <c r="AB42" i="1"/>
  <c r="BN42" i="1" s="1"/>
  <c r="Q42" i="1"/>
  <c r="AK43" i="1"/>
  <c r="BG43" i="1" a="1"/>
  <c r="R42" i="1"/>
  <c r="AU43" i="1" l="1"/>
  <c r="BG43" i="1"/>
  <c r="V42" i="1"/>
  <c r="Z42" i="1"/>
  <c r="Y42" i="1"/>
  <c r="W42" i="1"/>
  <c r="T42" i="1"/>
  <c r="BP43" i="1"/>
  <c r="AE42" i="1"/>
  <c r="S42" i="1"/>
  <c r="U42" i="1"/>
  <c r="AH42" i="1" l="1"/>
  <c r="AS42" i="1"/>
  <c r="AA42" i="1"/>
  <c r="X42" i="1"/>
  <c r="AL42" i="1"/>
  <c r="AO42" i="1"/>
  <c r="AR42" i="1"/>
  <c r="AQ42" i="1"/>
  <c r="AN42" i="1"/>
  <c r="BS42" i="1"/>
  <c r="BA42" i="1"/>
  <c r="AZ42" i="1"/>
  <c r="BK42" i="1"/>
  <c r="BC42" i="1"/>
  <c r="AG42" i="1"/>
  <c r="BI42" i="1"/>
  <c r="AM42" i="1"/>
  <c r="AY42" i="1"/>
  <c r="BT42" i="1"/>
  <c r="AF42" i="1"/>
  <c r="AP42" i="1"/>
  <c r="BU42" i="1"/>
  <c r="AW42" i="1"/>
  <c r="AX42" i="1"/>
  <c r="AI42" i="1" l="1"/>
  <c r="AT42" i="1"/>
  <c r="AJ42" i="1"/>
  <c r="BQ42" i="1"/>
  <c r="AV42" i="1"/>
  <c r="AD42" i="1"/>
  <c r="AC42" i="1"/>
  <c r="BM42" i="1"/>
  <c r="BL42" i="1"/>
  <c r="AB41" i="1"/>
  <c r="BN41" i="1" s="1"/>
  <c r="Q41" i="1"/>
  <c r="AK42" i="1"/>
  <c r="BG42" i="1" a="1"/>
  <c r="R41" i="1"/>
  <c r="AU42" i="1" l="1"/>
  <c r="BG42" i="1"/>
  <c r="V41" i="1"/>
  <c r="Y41" i="1"/>
  <c r="Z41" i="1"/>
  <c r="W41" i="1"/>
  <c r="T41" i="1"/>
  <c r="BP42" i="1"/>
  <c r="AQ41" i="1"/>
  <c r="U41" i="1"/>
  <c r="AS41" i="1" l="1"/>
  <c r="AA41" i="1"/>
  <c r="X41" i="1"/>
  <c r="AL41" i="1"/>
  <c r="BC41" i="1"/>
  <c r="BT41" i="1"/>
  <c r="BS41" i="1"/>
  <c r="AN41" i="1"/>
  <c r="AP41" i="1"/>
  <c r="BA41" i="1"/>
  <c r="BK41" i="1"/>
  <c r="AM41" i="1"/>
  <c r="AO41" i="1"/>
  <c r="AZ41" i="1"/>
  <c r="BU41" i="1"/>
  <c r="AG41" i="1"/>
  <c r="BI41" i="1"/>
  <c r="AR41" i="1"/>
  <c r="AY41" i="1"/>
  <c r="AE41" i="1"/>
  <c r="AF41" i="1"/>
  <c r="AX41" i="1"/>
  <c r="AW41" i="1"/>
  <c r="AI41" i="1" l="1"/>
  <c r="AH41" i="1"/>
  <c r="AJ41" i="1"/>
  <c r="AT41" i="1"/>
  <c r="BQ41" i="1"/>
  <c r="AV41" i="1"/>
  <c r="AD41" i="1"/>
  <c r="AC41" i="1"/>
  <c r="BM41" i="1"/>
  <c r="BL41" i="1"/>
  <c r="AB40" i="1"/>
  <c r="BN40" i="1" s="1"/>
  <c r="Q40" i="1"/>
  <c r="AK41" i="1"/>
  <c r="BG41" i="1" a="1"/>
  <c r="R40" i="1"/>
  <c r="BG41" i="1" l="1"/>
  <c r="AU41" i="1"/>
  <c r="V40" i="1"/>
  <c r="Y40" i="1"/>
  <c r="W40" i="1"/>
  <c r="Z40" i="1"/>
  <c r="T40" i="1"/>
  <c r="BP41" i="1"/>
  <c r="AF40" i="1"/>
  <c r="U40" i="1"/>
  <c r="S40" i="1"/>
  <c r="AI40" i="1" l="1"/>
  <c r="AS40" i="1"/>
  <c r="AA40" i="1"/>
  <c r="X40" i="1"/>
  <c r="AL40" i="1"/>
  <c r="AQ40" i="1"/>
  <c r="AY40" i="1"/>
  <c r="AP40" i="1"/>
  <c r="BS40" i="1"/>
  <c r="AO40" i="1"/>
  <c r="BK40" i="1"/>
  <c r="AN40" i="1"/>
  <c r="BC40" i="1"/>
  <c r="BU40" i="1"/>
  <c r="BA40" i="1"/>
  <c r="AR40" i="1"/>
  <c r="AM40" i="1"/>
  <c r="AE40" i="1"/>
  <c r="AZ40" i="1"/>
  <c r="BG40" i="1" a="1"/>
  <c r="BT40" i="1"/>
  <c r="AG40" i="1"/>
  <c r="AX40" i="1"/>
  <c r="AW40" i="1"/>
  <c r="AJ40" i="1" l="1"/>
  <c r="AH40" i="1"/>
  <c r="AT40" i="1"/>
  <c r="BQ40" i="1"/>
  <c r="AV40" i="1"/>
  <c r="BG40" i="1"/>
  <c r="AD40" i="1"/>
  <c r="AC40" i="1"/>
  <c r="BL40" i="1"/>
  <c r="BM40" i="1"/>
  <c r="AB39" i="1"/>
  <c r="BN39" i="1" s="1"/>
  <c r="Q39" i="1"/>
  <c r="AK40" i="1"/>
  <c r="BI40" i="1"/>
  <c r="BP40" i="1"/>
  <c r="R39" i="1"/>
  <c r="AU40" i="1" l="1"/>
  <c r="V39" i="1"/>
  <c r="Y39" i="1"/>
  <c r="Z39" i="1"/>
  <c r="W39" i="1"/>
  <c r="T39" i="1"/>
  <c r="AF39" i="1"/>
  <c r="S39" i="1"/>
  <c r="U39" i="1"/>
  <c r="AI39" i="1" l="1"/>
  <c r="AS39" i="1"/>
  <c r="AA39" i="1"/>
  <c r="X39" i="1"/>
  <c r="AL39" i="1"/>
  <c r="AR39" i="1"/>
  <c r="AY39" i="1"/>
  <c r="BS39" i="1"/>
  <c r="AE39" i="1"/>
  <c r="AP39" i="1"/>
  <c r="BT39" i="1"/>
  <c r="BK39" i="1"/>
  <c r="AQ39" i="1"/>
  <c r="AO39" i="1"/>
  <c r="BA39" i="1"/>
  <c r="BC39" i="1"/>
  <c r="AM39" i="1"/>
  <c r="AN39" i="1"/>
  <c r="AZ39" i="1"/>
  <c r="BU39" i="1"/>
  <c r="AG39" i="1"/>
  <c r="BG39" i="1" a="1"/>
  <c r="AX39" i="1"/>
  <c r="AW39" i="1"/>
  <c r="AJ39" i="1" l="1"/>
  <c r="AT39" i="1"/>
  <c r="AH39" i="1"/>
  <c r="BQ39" i="1"/>
  <c r="AV39" i="1"/>
  <c r="BG39" i="1"/>
  <c r="BM39" i="1"/>
  <c r="BL39" i="1"/>
  <c r="AD39" i="1"/>
  <c r="AC39" i="1"/>
  <c r="AB38" i="1"/>
  <c r="BN38" i="1" s="1"/>
  <c r="Q38" i="1"/>
  <c r="AK39" i="1"/>
  <c r="BI39" i="1"/>
  <c r="BP39" i="1"/>
  <c r="R38" i="1"/>
  <c r="AU39" i="1" l="1"/>
  <c r="V38" i="1"/>
  <c r="Y38" i="1"/>
  <c r="Z38" i="1"/>
  <c r="W38" i="1"/>
  <c r="T38" i="1"/>
  <c r="AF38" i="1"/>
  <c r="S38" i="1"/>
  <c r="U38" i="1"/>
  <c r="AI38" i="1" l="1"/>
  <c r="AS38" i="1"/>
  <c r="AA38" i="1"/>
  <c r="X38" i="1"/>
  <c r="AL38" i="1"/>
  <c r="BT38" i="1"/>
  <c r="AY38" i="1"/>
  <c r="BS38" i="1"/>
  <c r="AQ38" i="1"/>
  <c r="BK38" i="1"/>
  <c r="AP38" i="1"/>
  <c r="AO38" i="1"/>
  <c r="AN38" i="1"/>
  <c r="BC38" i="1"/>
  <c r="BA38" i="1"/>
  <c r="BU38" i="1"/>
  <c r="AM38" i="1"/>
  <c r="BI38" i="1"/>
  <c r="AR38" i="1"/>
  <c r="AZ38" i="1"/>
  <c r="AE38" i="1"/>
  <c r="AG38" i="1"/>
  <c r="AW38" i="1"/>
  <c r="AX38" i="1"/>
  <c r="AJ38" i="1" l="1"/>
  <c r="AH38" i="1"/>
  <c r="AT38" i="1"/>
  <c r="BQ38" i="1"/>
  <c r="AV38" i="1"/>
  <c r="AD38" i="1"/>
  <c r="AC38" i="1"/>
  <c r="BM38" i="1"/>
  <c r="BL38" i="1"/>
  <c r="AB37" i="1"/>
  <c r="BN37" i="1" s="1"/>
  <c r="Q37" i="1"/>
  <c r="AK38" i="1"/>
  <c r="BG38" i="1" a="1"/>
  <c r="R37" i="1"/>
  <c r="BG38" i="1" l="1"/>
  <c r="AU38" i="1"/>
  <c r="V37" i="1"/>
  <c r="Z37" i="1"/>
  <c r="Y37" i="1"/>
  <c r="W37" i="1"/>
  <c r="T37" i="1"/>
  <c r="BP38" i="1"/>
  <c r="AF37" i="1"/>
  <c r="U37" i="1"/>
  <c r="S37" i="1"/>
  <c r="AI37" i="1" l="1"/>
  <c r="AS37" i="1"/>
  <c r="AA37" i="1"/>
  <c r="X37" i="1"/>
  <c r="AL37" i="1"/>
  <c r="BT37" i="1"/>
  <c r="AY37" i="1"/>
  <c r="AP37" i="1"/>
  <c r="AQ37" i="1"/>
  <c r="BK37" i="1"/>
  <c r="BS37" i="1"/>
  <c r="BC37" i="1"/>
  <c r="AO37" i="1"/>
  <c r="AN37" i="1"/>
  <c r="BA37" i="1"/>
  <c r="BU37" i="1"/>
  <c r="AM37" i="1"/>
  <c r="BG37" i="1" a="1"/>
  <c r="AR37" i="1"/>
  <c r="AZ37" i="1"/>
  <c r="AE37" i="1"/>
  <c r="AG37" i="1"/>
  <c r="AW37" i="1"/>
  <c r="AX37" i="1"/>
  <c r="AJ37" i="1" l="1"/>
  <c r="AH37" i="1"/>
  <c r="AT37" i="1"/>
  <c r="BQ37" i="1"/>
  <c r="AV37" i="1"/>
  <c r="BG37" i="1"/>
  <c r="AD37" i="1"/>
  <c r="AC37" i="1"/>
  <c r="BM37" i="1"/>
  <c r="BL37" i="1"/>
  <c r="AB36" i="1"/>
  <c r="BN36" i="1" s="1"/>
  <c r="Q36" i="1"/>
  <c r="AK37" i="1"/>
  <c r="BI37" i="1"/>
  <c r="BP37" i="1"/>
  <c r="R36" i="1"/>
  <c r="AU37" i="1" l="1"/>
  <c r="V36" i="1"/>
  <c r="Z36" i="1"/>
  <c r="Y36" i="1"/>
  <c r="W36" i="1"/>
  <c r="T36" i="1"/>
  <c r="AF36" i="1"/>
  <c r="S36" i="1"/>
  <c r="U36" i="1"/>
  <c r="AI36" i="1" l="1"/>
  <c r="AS36" i="1"/>
  <c r="AA36" i="1"/>
  <c r="X36" i="1"/>
  <c r="AL36" i="1"/>
  <c r="AQ36" i="1"/>
  <c r="AY36" i="1"/>
  <c r="AP36" i="1"/>
  <c r="BS36" i="1"/>
  <c r="AO36" i="1"/>
  <c r="BK36" i="1"/>
  <c r="BC36" i="1"/>
  <c r="AN36" i="1"/>
  <c r="BU36" i="1"/>
  <c r="BA36" i="1"/>
  <c r="AR36" i="1"/>
  <c r="AM36" i="1"/>
  <c r="AE36" i="1"/>
  <c r="AZ36" i="1"/>
  <c r="BI36" i="1"/>
  <c r="BT36" i="1"/>
  <c r="AG36" i="1"/>
  <c r="AX36" i="1"/>
  <c r="AW36" i="1"/>
  <c r="AJ36" i="1" l="1"/>
  <c r="AH36" i="1"/>
  <c r="AT36" i="1"/>
  <c r="BQ36" i="1"/>
  <c r="AV36" i="1"/>
  <c r="AD36" i="1"/>
  <c r="AC36" i="1"/>
  <c r="BM36" i="1"/>
  <c r="BL36" i="1"/>
  <c r="AB35" i="1"/>
  <c r="BN35" i="1" s="1"/>
  <c r="Q35" i="1"/>
  <c r="AK36" i="1"/>
  <c r="BG36" i="1" a="1"/>
  <c r="R35" i="1"/>
  <c r="BG36" i="1" l="1"/>
  <c r="AU36" i="1"/>
  <c r="V35" i="1"/>
  <c r="Z35" i="1"/>
  <c r="W35" i="1"/>
  <c r="Y35" i="1"/>
  <c r="T35" i="1"/>
  <c r="BP36" i="1"/>
  <c r="AR35" i="1"/>
  <c r="S35" i="1"/>
  <c r="U35" i="1"/>
  <c r="AS35" i="1" l="1"/>
  <c r="AA35" i="1"/>
  <c r="X35" i="1"/>
  <c r="AL35" i="1"/>
  <c r="AO35" i="1"/>
  <c r="AF35" i="1"/>
  <c r="BS35" i="1"/>
  <c r="BC35" i="1"/>
  <c r="BU35" i="1"/>
  <c r="AN35" i="1"/>
  <c r="AE35" i="1"/>
  <c r="BA35" i="1"/>
  <c r="BT35" i="1"/>
  <c r="AM35" i="1"/>
  <c r="BI35" i="1"/>
  <c r="AQ35" i="1"/>
  <c r="AZ35" i="1"/>
  <c r="AP35" i="1"/>
  <c r="AG35" i="1"/>
  <c r="BK35" i="1"/>
  <c r="AY35" i="1"/>
  <c r="AX35" i="1"/>
  <c r="AW35" i="1"/>
  <c r="AJ35" i="1" l="1"/>
  <c r="AT35" i="1"/>
  <c r="AH35" i="1"/>
  <c r="AI35" i="1"/>
  <c r="BQ35" i="1"/>
  <c r="AV35" i="1"/>
  <c r="BM35" i="1"/>
  <c r="BL35" i="1"/>
  <c r="AD35" i="1"/>
  <c r="AC35" i="1"/>
  <c r="AB34" i="1"/>
  <c r="BN34" i="1" s="1"/>
  <c r="Q34" i="1"/>
  <c r="AK35" i="1"/>
  <c r="BG35" i="1" a="1"/>
  <c r="R34" i="1"/>
  <c r="BG35" i="1" l="1"/>
  <c r="AU35" i="1"/>
  <c r="V34" i="1"/>
  <c r="Z34" i="1"/>
  <c r="Y34" i="1"/>
  <c r="W34" i="1"/>
  <c r="T34" i="1"/>
  <c r="AE34" i="1"/>
  <c r="BP35" i="1"/>
  <c r="S34" i="1"/>
  <c r="U34" i="1"/>
  <c r="AH34" i="1" l="1"/>
  <c r="AS34" i="1"/>
  <c r="AA34" i="1"/>
  <c r="X34" i="1"/>
  <c r="AL34" i="1"/>
  <c r="AG34" i="1"/>
  <c r="AR34" i="1"/>
  <c r="BS34" i="1"/>
  <c r="AY34" i="1"/>
  <c r="AO34" i="1"/>
  <c r="AF34" i="1"/>
  <c r="BT34" i="1"/>
  <c r="AP34" i="1"/>
  <c r="AQ34" i="1"/>
  <c r="AN34" i="1"/>
  <c r="BK34" i="1"/>
  <c r="BA34" i="1"/>
  <c r="BC34" i="1"/>
  <c r="AZ34" i="1"/>
  <c r="AM34" i="1"/>
  <c r="BU34" i="1"/>
  <c r="BI34" i="1"/>
  <c r="AX34" i="1"/>
  <c r="AW34" i="1"/>
  <c r="AT34" i="1" l="1"/>
  <c r="AI34" i="1"/>
  <c r="AJ34" i="1"/>
  <c r="BQ34" i="1"/>
  <c r="AV34" i="1"/>
  <c r="AD34" i="1"/>
  <c r="AC34" i="1"/>
  <c r="BM34" i="1"/>
  <c r="BL34" i="1"/>
  <c r="AB33" i="1"/>
  <c r="BN33" i="1" s="1"/>
  <c r="Q33" i="1"/>
  <c r="AK34" i="1"/>
  <c r="BG34" i="1" a="1"/>
  <c r="R33" i="1"/>
  <c r="AU34" i="1" l="1"/>
  <c r="BG34" i="1"/>
  <c r="V33" i="1"/>
  <c r="Z33" i="1"/>
  <c r="W33" i="1"/>
  <c r="Y33" i="1"/>
  <c r="T33" i="1"/>
  <c r="BP34" i="1"/>
  <c r="AE33" i="1"/>
  <c r="S33" i="1"/>
  <c r="U33" i="1"/>
  <c r="AH33" i="1" l="1"/>
  <c r="AS33" i="1"/>
  <c r="AA33" i="1"/>
  <c r="X33" i="1"/>
  <c r="AL33" i="1"/>
  <c r="AY33" i="1"/>
  <c r="AR33" i="1"/>
  <c r="BT33" i="1"/>
  <c r="AF33" i="1"/>
  <c r="AQ33" i="1"/>
  <c r="AP33" i="1"/>
  <c r="BS33" i="1"/>
  <c r="AO33" i="1"/>
  <c r="BK33" i="1"/>
  <c r="BC33" i="1"/>
  <c r="BI33" i="1"/>
  <c r="AN33" i="1"/>
  <c r="AM33" i="1"/>
  <c r="BA33" i="1"/>
  <c r="AG33" i="1"/>
  <c r="AZ33" i="1"/>
  <c r="BU33" i="1"/>
  <c r="AX33" i="1"/>
  <c r="AW33" i="1"/>
  <c r="AJ33" i="1" l="1"/>
  <c r="AT33" i="1"/>
  <c r="AI33" i="1"/>
  <c r="BQ33" i="1"/>
  <c r="AV33" i="1"/>
  <c r="AD33" i="1"/>
  <c r="AC33" i="1"/>
  <c r="BM33" i="1"/>
  <c r="BL33" i="1"/>
  <c r="AB32" i="1"/>
  <c r="BN32" i="1" s="1"/>
  <c r="Q32" i="1"/>
  <c r="AK33" i="1"/>
  <c r="BG33" i="1" a="1"/>
  <c r="R32" i="1"/>
  <c r="AU33" i="1" l="1"/>
  <c r="BG33" i="1"/>
  <c r="V32" i="1"/>
  <c r="Z32" i="1"/>
  <c r="W32" i="1"/>
  <c r="Y32" i="1"/>
  <c r="T32" i="1"/>
  <c r="AE32" i="1"/>
  <c r="BP33" i="1"/>
  <c r="S32" i="1"/>
  <c r="U32" i="1"/>
  <c r="AH32" i="1" l="1"/>
  <c r="AS32" i="1"/>
  <c r="AA32" i="1"/>
  <c r="X32" i="1"/>
  <c r="AL32" i="1"/>
  <c r="AF32" i="1"/>
  <c r="AR32" i="1"/>
  <c r="BT32" i="1"/>
  <c r="BS32" i="1"/>
  <c r="AQ32" i="1"/>
  <c r="AO32" i="1"/>
  <c r="AP32" i="1"/>
  <c r="AN32" i="1"/>
  <c r="BK32" i="1"/>
  <c r="AM32" i="1"/>
  <c r="BI32" i="1"/>
  <c r="BC32" i="1"/>
  <c r="AG32" i="1"/>
  <c r="BA32" i="1"/>
  <c r="AY32" i="1"/>
  <c r="AZ32" i="1"/>
  <c r="BU32" i="1"/>
  <c r="AW32" i="1"/>
  <c r="AX32" i="1"/>
  <c r="AJ32" i="1" l="1"/>
  <c r="AT32" i="1"/>
  <c r="AI32" i="1"/>
  <c r="BQ32" i="1"/>
  <c r="AV32" i="1"/>
  <c r="AD32" i="1"/>
  <c r="AC32" i="1"/>
  <c r="BM32" i="1"/>
  <c r="BL32" i="1"/>
  <c r="AB31" i="1"/>
  <c r="BN31" i="1" s="1"/>
  <c r="Q31" i="1"/>
  <c r="AK32" i="1"/>
  <c r="BG32" i="1" a="1"/>
  <c r="R31" i="1"/>
  <c r="AU32" i="1" l="1"/>
  <c r="BG32" i="1"/>
  <c r="V31" i="1"/>
  <c r="Z31" i="1"/>
  <c r="Y31" i="1"/>
  <c r="W31" i="1"/>
  <c r="T31" i="1"/>
  <c r="BP32" i="1"/>
  <c r="AE31" i="1"/>
  <c r="S31" i="1"/>
  <c r="U31" i="1"/>
  <c r="AH31" i="1" l="1"/>
  <c r="AS31" i="1"/>
  <c r="AA31" i="1"/>
  <c r="X31" i="1"/>
  <c r="AL31" i="1"/>
  <c r="AY31" i="1"/>
  <c r="AR31" i="1"/>
  <c r="BS31" i="1"/>
  <c r="BK31" i="1"/>
  <c r="AO31" i="1"/>
  <c r="BC31" i="1"/>
  <c r="BT31" i="1"/>
  <c r="BA31" i="1"/>
  <c r="AQ31" i="1"/>
  <c r="AM31" i="1"/>
  <c r="BI31" i="1"/>
  <c r="AP31" i="1"/>
  <c r="AG31" i="1"/>
  <c r="AN31" i="1"/>
  <c r="AF31" i="1"/>
  <c r="AZ31" i="1"/>
  <c r="BU31" i="1"/>
  <c r="AX31" i="1"/>
  <c r="AW31" i="1"/>
  <c r="AI31" i="1" l="1"/>
  <c r="AJ31" i="1"/>
  <c r="AT31" i="1"/>
  <c r="BQ31" i="1"/>
  <c r="AV31" i="1"/>
  <c r="AD31" i="1"/>
  <c r="AC31" i="1"/>
  <c r="BM31" i="1"/>
  <c r="BL31" i="1"/>
  <c r="AB30" i="1"/>
  <c r="BN30" i="1" s="1"/>
  <c r="Q30" i="1"/>
  <c r="AK31" i="1"/>
  <c r="BG31" i="1" a="1"/>
  <c r="R30" i="1"/>
  <c r="AU31" i="1" l="1"/>
  <c r="BG31" i="1"/>
  <c r="V30" i="1"/>
  <c r="Y30" i="1"/>
  <c r="W30" i="1"/>
  <c r="Z30" i="1"/>
  <c r="T30" i="1"/>
  <c r="BP31" i="1"/>
  <c r="AE30" i="1"/>
  <c r="S30" i="1"/>
  <c r="U30" i="1"/>
  <c r="AH30" i="1" l="1"/>
  <c r="AS30" i="1"/>
  <c r="X30" i="1"/>
  <c r="AA30" i="1"/>
  <c r="AL30" i="1"/>
  <c r="BT30" i="1"/>
  <c r="AR30" i="1"/>
  <c r="AQ30" i="1"/>
  <c r="AP30" i="1"/>
  <c r="BS30" i="1"/>
  <c r="AO30" i="1"/>
  <c r="BK30" i="1"/>
  <c r="AN30" i="1"/>
  <c r="BC30" i="1"/>
  <c r="AM30" i="1"/>
  <c r="BA30" i="1"/>
  <c r="AZ30" i="1"/>
  <c r="BI30" i="1"/>
  <c r="AG30" i="1"/>
  <c r="AY30" i="1"/>
  <c r="AF30" i="1"/>
  <c r="BU30" i="1"/>
  <c r="AW30" i="1"/>
  <c r="AX30" i="1"/>
  <c r="AI30" i="1" l="1"/>
  <c r="AJ30" i="1"/>
  <c r="AT30" i="1"/>
  <c r="BQ30" i="1"/>
  <c r="AV30" i="1"/>
  <c r="AD30" i="1"/>
  <c r="AC30" i="1"/>
  <c r="BM30" i="1"/>
  <c r="BL30" i="1"/>
  <c r="AB29" i="1"/>
  <c r="BN29" i="1" s="1"/>
  <c r="Q29" i="1"/>
  <c r="AK30" i="1"/>
  <c r="BG30" i="1" a="1"/>
  <c r="R29" i="1"/>
  <c r="AU30" i="1" l="1"/>
  <c r="BG30" i="1"/>
  <c r="V29" i="1"/>
  <c r="Z29" i="1"/>
  <c r="Y29" i="1"/>
  <c r="W29" i="1"/>
  <c r="T29" i="1"/>
  <c r="AE29" i="1"/>
  <c r="BP30" i="1"/>
  <c r="S29" i="1"/>
  <c r="U29" i="1"/>
  <c r="AH29" i="1" l="1"/>
  <c r="AS29" i="1"/>
  <c r="AA29" i="1"/>
  <c r="X29" i="1"/>
  <c r="AL29" i="1"/>
  <c r="BT29" i="1"/>
  <c r="AR29" i="1"/>
  <c r="AQ29" i="1"/>
  <c r="BS29" i="1"/>
  <c r="AP29" i="1"/>
  <c r="AO29" i="1"/>
  <c r="BK29" i="1"/>
  <c r="AN29" i="1"/>
  <c r="BC29" i="1"/>
  <c r="AM29" i="1"/>
  <c r="BI29" i="1"/>
  <c r="BA29" i="1"/>
  <c r="AG29" i="1"/>
  <c r="AZ29" i="1"/>
  <c r="AY29" i="1"/>
  <c r="AF29" i="1"/>
  <c r="BU29" i="1"/>
  <c r="AX29" i="1"/>
  <c r="AW29" i="1"/>
  <c r="AI29" i="1" l="1"/>
  <c r="AJ29" i="1"/>
  <c r="AT29" i="1"/>
  <c r="BQ29" i="1"/>
  <c r="AV29" i="1"/>
  <c r="AD29" i="1"/>
  <c r="AC29" i="1"/>
  <c r="BM29" i="1"/>
  <c r="BL29" i="1"/>
  <c r="AB28" i="1"/>
  <c r="BN28" i="1" s="1"/>
  <c r="Q28" i="1"/>
  <c r="AK29" i="1"/>
  <c r="BG29" i="1" a="1"/>
  <c r="R28" i="1"/>
  <c r="AU29" i="1" l="1"/>
  <c r="BG29" i="1"/>
  <c r="V28" i="1"/>
  <c r="Y28" i="1"/>
  <c r="W28" i="1"/>
  <c r="Z28" i="1"/>
  <c r="T28" i="1"/>
  <c r="BP29" i="1"/>
  <c r="AE28" i="1"/>
  <c r="S28" i="1"/>
  <c r="U28" i="1"/>
  <c r="AH28" i="1" l="1"/>
  <c r="AS28" i="1"/>
  <c r="AA28" i="1"/>
  <c r="X28" i="1"/>
  <c r="AL28" i="1"/>
  <c r="AP28" i="1"/>
  <c r="AR28" i="1"/>
  <c r="BA28" i="1"/>
  <c r="BG28" i="1" a="1"/>
  <c r="BT28" i="1"/>
  <c r="AO28" i="1"/>
  <c r="AQ28" i="1"/>
  <c r="AN28" i="1"/>
  <c r="AG28" i="1"/>
  <c r="BS28" i="1"/>
  <c r="AF28" i="1"/>
  <c r="BK28" i="1"/>
  <c r="AZ28" i="1"/>
  <c r="BC28" i="1"/>
  <c r="BU28" i="1"/>
  <c r="AM28" i="1"/>
  <c r="AY28" i="1"/>
  <c r="AW28" i="1"/>
  <c r="AX28" i="1"/>
  <c r="AT28" i="1" l="1"/>
  <c r="AI28" i="1"/>
  <c r="AJ28" i="1"/>
  <c r="BQ28" i="1"/>
  <c r="AV28" i="1"/>
  <c r="BG28" i="1"/>
  <c r="AD28" i="1"/>
  <c r="AC28" i="1"/>
  <c r="BM28" i="1"/>
  <c r="BL28" i="1"/>
  <c r="AB27" i="1"/>
  <c r="BN27" i="1" s="1"/>
  <c r="Q27" i="1"/>
  <c r="AK28" i="1"/>
  <c r="BP28" i="1"/>
  <c r="BI28" i="1"/>
  <c r="R27" i="1"/>
  <c r="AU28" i="1" l="1"/>
  <c r="V27" i="1"/>
  <c r="Y27" i="1"/>
  <c r="W27" i="1"/>
  <c r="Z27" i="1"/>
  <c r="T27" i="1"/>
  <c r="AQ27" i="1"/>
  <c r="U27" i="1"/>
  <c r="S27" i="1"/>
  <c r="BR27" i="1" l="1"/>
  <c r="AS27" i="1"/>
  <c r="AA27" i="1"/>
  <c r="X27" i="1"/>
  <c r="AM27" i="1"/>
  <c r="AG27" i="1"/>
  <c r="AL27" i="1"/>
  <c r="AZ27" i="1"/>
  <c r="BT27" i="1"/>
  <c r="AY27" i="1"/>
  <c r="BU27" i="1"/>
  <c r="AF27" i="1"/>
  <c r="AR27" i="1"/>
  <c r="BS27" i="1"/>
  <c r="AE27" i="1"/>
  <c r="AP27" i="1"/>
  <c r="AO27" i="1"/>
  <c r="BK27" i="1"/>
  <c r="AN27" i="1"/>
  <c r="BC27" i="1"/>
  <c r="BA27" i="1"/>
  <c r="BI27" i="1"/>
  <c r="AX27" i="1"/>
  <c r="AW27" i="1"/>
  <c r="AH27" i="1" l="1"/>
  <c r="AI27" i="1"/>
  <c r="BQ27" i="1"/>
  <c r="AV27" i="1"/>
  <c r="AJ27" i="1"/>
  <c r="AT27" i="1"/>
  <c r="AD27" i="1"/>
  <c r="AC27" i="1"/>
  <c r="BL27" i="1"/>
  <c r="BM27" i="1"/>
  <c r="AB26" i="1"/>
  <c r="BN26" i="1" s="1"/>
  <c r="Q26" i="1"/>
  <c r="AK27" i="1"/>
  <c r="BG27" i="1" a="1"/>
  <c r="S26" i="1"/>
  <c r="U26" i="1"/>
  <c r="BG27" i="1" l="1"/>
  <c r="AU27" i="1"/>
  <c r="BR26" i="1"/>
  <c r="Y26" i="1"/>
  <c r="Z26" i="1"/>
  <c r="V26" i="1"/>
  <c r="W26" i="1"/>
  <c r="T26" i="1"/>
  <c r="BP27" i="1"/>
  <c r="AN26" i="1"/>
  <c r="BK26" i="1"/>
  <c r="AM26" i="1"/>
  <c r="AO26" i="1"/>
  <c r="BS26" i="1"/>
  <c r="BA26" i="1"/>
  <c r="AP26" i="1"/>
  <c r="BT26" i="1"/>
  <c r="AZ26" i="1"/>
  <c r="AQ26" i="1"/>
  <c r="BU26" i="1"/>
  <c r="AR26" i="1"/>
  <c r="AY26" i="1"/>
  <c r="AL26" i="1"/>
  <c r="BQ26" i="1" l="1"/>
  <c r="BD26" i="1"/>
  <c r="BC26" i="1"/>
  <c r="AV26" i="1"/>
  <c r="AT26" i="1"/>
  <c r="AS26" i="1"/>
  <c r="AU26" i="1"/>
  <c r="AA26" i="1"/>
  <c r="AG26" i="1"/>
  <c r="AJ26" i="1" s="1"/>
  <c r="AF26" i="1"/>
  <c r="AI26" i="1" s="1"/>
  <c r="X26" i="1"/>
  <c r="AE26" i="1"/>
  <c r="AH26" i="1" s="1"/>
  <c r="AK26" i="1"/>
  <c r="BE26" i="1"/>
  <c r="AX26" i="1"/>
  <c r="AW26" i="1"/>
  <c r="BM26" i="1" l="1"/>
  <c r="BL26" i="1"/>
  <c r="BJ26" i="1"/>
  <c r="BI26" i="1"/>
  <c r="BG26" i="1" a="1"/>
  <c r="BG26" i="1" s="1"/>
  <c r="BH26" i="1"/>
  <c r="BB26" i="1"/>
  <c r="AD26" i="1"/>
  <c r="AC26" i="1"/>
  <c r="BF26" i="1"/>
  <c r="BP26" i="1"/>
  <c r="AB25" i="1"/>
  <c r="BN25" i="1" s="1"/>
  <c r="Q25" i="1"/>
  <c r="R25" i="1"/>
  <c r="V25" i="1" l="1"/>
  <c r="Z25" i="1"/>
  <c r="Y25" i="1"/>
  <c r="W25" i="1"/>
  <c r="T25" i="1"/>
  <c r="AZ25" i="1"/>
  <c r="S25" i="1"/>
  <c r="U25" i="1"/>
  <c r="BR25" i="1" l="1"/>
  <c r="BD25" i="1"/>
  <c r="BC25" i="1"/>
  <c r="AU25" i="1"/>
  <c r="AS25" i="1"/>
  <c r="AE25" i="1"/>
  <c r="AH25" i="1" s="1"/>
  <c r="AA25" i="1"/>
  <c r="AG25" i="1"/>
  <c r="AJ25" i="1" s="1"/>
  <c r="AF25" i="1"/>
  <c r="AI25" i="1" s="1"/>
  <c r="X25" i="1"/>
  <c r="AL25" i="1"/>
  <c r="AO25" i="1"/>
  <c r="BE25" i="1"/>
  <c r="BK25" i="1"/>
  <c r="AY25" i="1"/>
  <c r="AN25" i="1"/>
  <c r="BS25" i="1"/>
  <c r="BU25" i="1"/>
  <c r="BA25" i="1"/>
  <c r="AQ25" i="1"/>
  <c r="AR25" i="1"/>
  <c r="AM25" i="1"/>
  <c r="BT25" i="1"/>
  <c r="AP25" i="1"/>
  <c r="AK25" i="1"/>
  <c r="AX25" i="1"/>
  <c r="AW25" i="1"/>
  <c r="AT25" i="1" l="1"/>
  <c r="AV25" i="1"/>
  <c r="BQ25" i="1"/>
  <c r="AD25" i="1"/>
  <c r="AC25" i="1"/>
  <c r="BM25" i="1"/>
  <c r="BL25" i="1"/>
  <c r="BJ25" i="1"/>
  <c r="BI25" i="1"/>
  <c r="BH25" i="1"/>
  <c r="BG25" i="1" a="1"/>
  <c r="BG25" i="1" s="1"/>
  <c r="BB25" i="1"/>
  <c r="BF25" i="1"/>
  <c r="AB24" i="1"/>
  <c r="BN24" i="1" s="1"/>
  <c r="Q24" i="1"/>
  <c r="BP25" i="1"/>
  <c r="R24" i="1"/>
  <c r="W24" i="1" l="1"/>
  <c r="Z24" i="1"/>
  <c r="Y24" i="1"/>
  <c r="V24" i="1"/>
  <c r="T24" i="1"/>
  <c r="AZ24" i="1"/>
  <c r="U24" i="1"/>
  <c r="S24" i="1"/>
  <c r="BR24" i="1" l="1"/>
  <c r="BD24" i="1"/>
  <c r="BC24" i="1"/>
  <c r="AU24" i="1"/>
  <c r="AS24" i="1"/>
  <c r="AA24" i="1"/>
  <c r="AE24" i="1"/>
  <c r="AH24" i="1" s="1"/>
  <c r="AG24" i="1"/>
  <c r="AJ24" i="1" s="1"/>
  <c r="AF24" i="1"/>
  <c r="AI24" i="1" s="1"/>
  <c r="X24" i="1"/>
  <c r="AO24" i="1"/>
  <c r="AL24" i="1"/>
  <c r="BK24" i="1"/>
  <c r="AR24" i="1"/>
  <c r="AN24" i="1"/>
  <c r="BE24" i="1"/>
  <c r="BU24" i="1"/>
  <c r="BA24" i="1"/>
  <c r="AQ24" i="1"/>
  <c r="AM24" i="1"/>
  <c r="BT24" i="1"/>
  <c r="AY24" i="1"/>
  <c r="AP24" i="1"/>
  <c r="BS24" i="1"/>
  <c r="AW24" i="1"/>
  <c r="AK24" i="1"/>
  <c r="AX24" i="1"/>
  <c r="AT24" i="1" l="1"/>
  <c r="AV24" i="1"/>
  <c r="BQ24" i="1"/>
  <c r="BM24" i="1"/>
  <c r="BL24" i="1"/>
  <c r="BI24" i="1"/>
  <c r="BJ24" i="1"/>
  <c r="BH24" i="1"/>
  <c r="BG24" i="1" a="1"/>
  <c r="BG24" i="1" s="1"/>
  <c r="BB24" i="1"/>
  <c r="BF24" i="1"/>
  <c r="AD24" i="1"/>
  <c r="AC24" i="1"/>
  <c r="AB23" i="1"/>
  <c r="BN23" i="1" s="1"/>
  <c r="Q23" i="1"/>
  <c r="BP24" i="1"/>
  <c r="R23" i="1"/>
  <c r="Z23" i="1" l="1"/>
  <c r="Y23" i="1"/>
  <c r="W23" i="1"/>
  <c r="V23" i="1"/>
  <c r="T23" i="1"/>
  <c r="AZ23" i="1"/>
  <c r="S23" i="1"/>
  <c r="U23" i="1"/>
  <c r="BR23" i="1" l="1"/>
  <c r="BD23" i="1"/>
  <c r="BC23" i="1"/>
  <c r="AU23" i="1"/>
  <c r="AS23" i="1"/>
  <c r="AA23" i="1"/>
  <c r="AE23" i="1"/>
  <c r="AH23" i="1" s="1"/>
  <c r="AG23" i="1"/>
  <c r="AJ23" i="1" s="1"/>
  <c r="AF23" i="1"/>
  <c r="AI23" i="1" s="1"/>
  <c r="X23" i="1"/>
  <c r="AL23" i="1"/>
  <c r="BT23" i="1"/>
  <c r="AM23" i="1"/>
  <c r="AY23" i="1"/>
  <c r="AR23" i="1"/>
  <c r="BU23" i="1"/>
  <c r="AQ23" i="1"/>
  <c r="BS23" i="1"/>
  <c r="AP23" i="1"/>
  <c r="AO23" i="1"/>
  <c r="BA23" i="1"/>
  <c r="BK23" i="1"/>
  <c r="AN23" i="1"/>
  <c r="BE23" i="1"/>
  <c r="AK23" i="1"/>
  <c r="AW23" i="1"/>
  <c r="AX23" i="1"/>
  <c r="AT23" i="1" l="1"/>
  <c r="AV23" i="1"/>
  <c r="BQ23" i="1"/>
  <c r="BL23" i="1"/>
  <c r="BM23" i="1"/>
  <c r="BJ23" i="1"/>
  <c r="BI23" i="1"/>
  <c r="BH23" i="1"/>
  <c r="BG23" i="1" a="1"/>
  <c r="BG23" i="1" s="1"/>
  <c r="BB23" i="1"/>
  <c r="BF23" i="1"/>
  <c r="AC23" i="1"/>
  <c r="AD23" i="1"/>
  <c r="AB22" i="1"/>
  <c r="BN22" i="1" s="1"/>
  <c r="Q22" i="1"/>
  <c r="BP23" i="1"/>
  <c r="R22" i="1"/>
  <c r="Z22" i="1" l="1"/>
  <c r="Y22" i="1"/>
  <c r="W22" i="1"/>
  <c r="V22" i="1"/>
  <c r="T22" i="1"/>
  <c r="AZ22" i="1"/>
  <c r="S22" i="1"/>
  <c r="U22" i="1"/>
  <c r="BR22" i="1" l="1"/>
  <c r="BD22" i="1"/>
  <c r="BC22" i="1"/>
  <c r="AS22" i="1"/>
  <c r="AU22" i="1"/>
  <c r="AA22" i="1"/>
  <c r="AG22" i="1"/>
  <c r="AJ22" i="1" s="1"/>
  <c r="AE22" i="1"/>
  <c r="AH22" i="1" s="1"/>
  <c r="AF22" i="1"/>
  <c r="AI22" i="1" s="1"/>
  <c r="X22" i="1"/>
  <c r="AL22" i="1"/>
  <c r="AR22" i="1"/>
  <c r="BA22" i="1"/>
  <c r="AQ22" i="1"/>
  <c r="AY22" i="1"/>
  <c r="BT22" i="1"/>
  <c r="BU22" i="1"/>
  <c r="BS22" i="1"/>
  <c r="AP22" i="1"/>
  <c r="AO22" i="1"/>
  <c r="AM22" i="1"/>
  <c r="BK22" i="1"/>
  <c r="AN22" i="1"/>
  <c r="BE22" i="1"/>
  <c r="AK22" i="1"/>
  <c r="AW22" i="1"/>
  <c r="AX22" i="1"/>
  <c r="AT22" i="1" l="1"/>
  <c r="AV22" i="1"/>
  <c r="BQ22" i="1"/>
  <c r="AC22" i="1"/>
  <c r="AD22" i="1"/>
  <c r="BM22" i="1"/>
  <c r="BL22" i="1"/>
  <c r="BJ22" i="1"/>
  <c r="BI22" i="1"/>
  <c r="BH22" i="1"/>
  <c r="BG22" i="1" a="1"/>
  <c r="BG22" i="1" s="1"/>
  <c r="BB22" i="1"/>
  <c r="BF22" i="1"/>
  <c r="AB21" i="1"/>
  <c r="BN21" i="1" s="1"/>
  <c r="Q21" i="1"/>
  <c r="BP22" i="1"/>
  <c r="R21" i="1"/>
  <c r="W21" i="1" l="1"/>
  <c r="V21" i="1"/>
  <c r="Z21" i="1"/>
  <c r="Y21" i="1"/>
  <c r="T21" i="1"/>
  <c r="AZ21" i="1"/>
  <c r="U21" i="1"/>
  <c r="S21" i="1"/>
  <c r="BR21" i="1" l="1"/>
  <c r="BD21" i="1"/>
  <c r="BC21" i="1"/>
  <c r="AU21" i="1"/>
  <c r="AS21" i="1"/>
  <c r="AA21" i="1"/>
  <c r="AG21" i="1"/>
  <c r="AJ21" i="1" s="1"/>
  <c r="AE21" i="1"/>
  <c r="AH21" i="1" s="1"/>
  <c r="AF21" i="1"/>
  <c r="AI21" i="1" s="1"/>
  <c r="X21" i="1"/>
  <c r="AR21" i="1"/>
  <c r="AL21" i="1"/>
  <c r="BU21" i="1"/>
  <c r="AY21" i="1"/>
  <c r="BT21" i="1"/>
  <c r="BE21" i="1"/>
  <c r="AQ21" i="1"/>
  <c r="BA21" i="1"/>
  <c r="BS21" i="1"/>
  <c r="AM21" i="1"/>
  <c r="AO21" i="1"/>
  <c r="AP21" i="1"/>
  <c r="BK21" i="1"/>
  <c r="AN21" i="1"/>
  <c r="AK21" i="1"/>
  <c r="AW21" i="1"/>
  <c r="AX21" i="1"/>
  <c r="AT21" i="1" l="1"/>
  <c r="AV21" i="1"/>
  <c r="BQ21" i="1"/>
  <c r="BM21" i="1"/>
  <c r="BL21" i="1"/>
  <c r="BI21" i="1"/>
  <c r="BG21" i="1" a="1"/>
  <c r="BG21" i="1" s="1"/>
  <c r="BJ21" i="1"/>
  <c r="BH21" i="1"/>
  <c r="BB21" i="1"/>
  <c r="BF21" i="1"/>
  <c r="AD21" i="1"/>
  <c r="AC21" i="1"/>
  <c r="AB20" i="1"/>
  <c r="BN20" i="1" s="1"/>
  <c r="Q20" i="1"/>
  <c r="BP21" i="1"/>
  <c r="R20" i="1"/>
  <c r="Z20" i="1" l="1"/>
  <c r="Y20" i="1"/>
  <c r="V20" i="1"/>
  <c r="W20" i="1"/>
  <c r="T20" i="1"/>
  <c r="AZ20" i="1"/>
  <c r="U20" i="1"/>
  <c r="S20" i="1"/>
  <c r="BR20" i="1" l="1"/>
  <c r="BD20" i="1"/>
  <c r="BC20" i="1"/>
  <c r="AU20" i="1"/>
  <c r="AS20" i="1"/>
  <c r="AA20" i="1"/>
  <c r="X20" i="1"/>
  <c r="AE20" i="1"/>
  <c r="AH20" i="1" s="1"/>
  <c r="AG20" i="1"/>
  <c r="AJ20" i="1" s="1"/>
  <c r="AF20" i="1"/>
  <c r="AI20" i="1" s="1"/>
  <c r="AQ20" i="1"/>
  <c r="BE20" i="1"/>
  <c r="AL20" i="1"/>
  <c r="AP20" i="1"/>
  <c r="AY20" i="1"/>
  <c r="AM20" i="1"/>
  <c r="BS20" i="1"/>
  <c r="BU20" i="1"/>
  <c r="AO20" i="1"/>
  <c r="BT20" i="1"/>
  <c r="BK20" i="1"/>
  <c r="BA20" i="1"/>
  <c r="AN20" i="1"/>
  <c r="AR20" i="1"/>
  <c r="AW20" i="1"/>
  <c r="AX20" i="1"/>
  <c r="AK20" i="1"/>
  <c r="AT20" i="1" l="1"/>
  <c r="AV20" i="1"/>
  <c r="BQ20" i="1"/>
  <c r="BL20" i="1"/>
  <c r="BM20" i="1"/>
  <c r="BJ20" i="1"/>
  <c r="BI20" i="1"/>
  <c r="BH20" i="1"/>
  <c r="BG20" i="1" a="1"/>
  <c r="BG20" i="1" s="1"/>
  <c r="BB20" i="1"/>
  <c r="BF20" i="1"/>
  <c r="AD20" i="1"/>
  <c r="AC20" i="1"/>
  <c r="AB19" i="1"/>
  <c r="BN19" i="1" s="1"/>
  <c r="Q19" i="1"/>
  <c r="BP20" i="1"/>
  <c r="R19" i="1"/>
  <c r="W19" i="1" l="1"/>
  <c r="Z19" i="1"/>
  <c r="Y19" i="1"/>
  <c r="V19" i="1"/>
  <c r="T19" i="1"/>
  <c r="BA19" i="1"/>
  <c r="S19" i="1"/>
  <c r="U19" i="1"/>
  <c r="BR19" i="1" l="1"/>
  <c r="BD19" i="1"/>
  <c r="BC19" i="1"/>
  <c r="AU19" i="1"/>
  <c r="AS19" i="1"/>
  <c r="AA19" i="1"/>
  <c r="AE19" i="1"/>
  <c r="AH19" i="1" s="1"/>
  <c r="AG19" i="1"/>
  <c r="AJ19" i="1" s="1"/>
  <c r="AF19" i="1"/>
  <c r="AI19" i="1" s="1"/>
  <c r="X19" i="1"/>
  <c r="AL19" i="1"/>
  <c r="AQ19" i="1"/>
  <c r="BT19" i="1"/>
  <c r="AR19" i="1"/>
  <c r="AM19" i="1"/>
  <c r="BU19" i="1"/>
  <c r="AP19" i="1"/>
  <c r="AO19" i="1"/>
  <c r="BK19" i="1"/>
  <c r="BS19" i="1"/>
  <c r="AN19" i="1"/>
  <c r="AZ19" i="1"/>
  <c r="BE19" i="1"/>
  <c r="AW19" i="1"/>
  <c r="AK19" i="1"/>
  <c r="AX19" i="1"/>
  <c r="AT19" i="1" l="1"/>
  <c r="AV19" i="1"/>
  <c r="BQ19" i="1"/>
  <c r="BM19" i="1"/>
  <c r="BL19" i="1"/>
  <c r="BJ19" i="1"/>
  <c r="BI19" i="1"/>
  <c r="BG19" i="1" a="1"/>
  <c r="BG19" i="1" s="1"/>
  <c r="BH19" i="1"/>
  <c r="BB19" i="1"/>
  <c r="AD19" i="1"/>
  <c r="AC19" i="1"/>
  <c r="BF19" i="1"/>
  <c r="AB18" i="1"/>
  <c r="BN18" i="1" s="1"/>
  <c r="Q18" i="1"/>
  <c r="BP19" i="1"/>
  <c r="R18" i="1"/>
  <c r="V18" i="1" l="1"/>
  <c r="Z18" i="1"/>
  <c r="Y18" i="1"/>
  <c r="W18" i="1"/>
  <c r="T18" i="1"/>
  <c r="AZ18" i="1"/>
  <c r="S18" i="1"/>
  <c r="U18" i="1"/>
  <c r="BR18" i="1" l="1"/>
  <c r="BD18" i="1"/>
  <c r="BC18" i="1"/>
  <c r="AU18" i="1"/>
  <c r="AS18" i="1"/>
  <c r="AA18" i="1"/>
  <c r="X18" i="1"/>
  <c r="AF18" i="1"/>
  <c r="AI18" i="1" s="1"/>
  <c r="AG18" i="1"/>
  <c r="AJ18" i="1" s="1"/>
  <c r="AE18" i="1"/>
  <c r="AH18" i="1" s="1"/>
  <c r="AL18" i="1"/>
  <c r="BK18" i="1"/>
  <c r="BE18" i="1"/>
  <c r="AN18" i="1"/>
  <c r="AY18" i="1"/>
  <c r="BA18" i="1"/>
  <c r="AQ18" i="1"/>
  <c r="AM18" i="1"/>
  <c r="AR18" i="1"/>
  <c r="BT18" i="1"/>
  <c r="BU18" i="1"/>
  <c r="BS18" i="1"/>
  <c r="AP18" i="1"/>
  <c r="AO18" i="1"/>
  <c r="AK18" i="1"/>
  <c r="AW18" i="1"/>
  <c r="AX18" i="1"/>
  <c r="AT18" i="1" l="1"/>
  <c r="AV18" i="1"/>
  <c r="BQ18" i="1"/>
  <c r="BM18" i="1"/>
  <c r="BL18" i="1"/>
  <c r="BJ18" i="1"/>
  <c r="BI18" i="1"/>
  <c r="BH18" i="1"/>
  <c r="BG18" i="1" a="1"/>
  <c r="BG18" i="1" s="1"/>
  <c r="BB18" i="1"/>
  <c r="AC18" i="1"/>
  <c r="AD18" i="1"/>
  <c r="BF18" i="1"/>
  <c r="AB17" i="1"/>
  <c r="BN17" i="1" s="1"/>
  <c r="Q17" i="1"/>
  <c r="BP18" i="1"/>
  <c r="R17" i="1"/>
  <c r="Z17" i="1" l="1"/>
  <c r="Y17" i="1"/>
  <c r="V17" i="1"/>
  <c r="W17" i="1"/>
  <c r="T17" i="1"/>
  <c r="AZ17" i="1"/>
  <c r="U17" i="1"/>
  <c r="S17" i="1"/>
  <c r="BR17" i="1" l="1"/>
  <c r="BD17" i="1"/>
  <c r="BC17" i="1"/>
  <c r="AU17" i="1"/>
  <c r="AS17" i="1"/>
  <c r="AA17" i="1"/>
  <c r="AG17" i="1"/>
  <c r="AJ17" i="1" s="1"/>
  <c r="X17" i="1"/>
  <c r="AF17" i="1"/>
  <c r="AI17" i="1" s="1"/>
  <c r="AE17" i="1"/>
  <c r="AH17" i="1" s="1"/>
  <c r="AN17" i="1"/>
  <c r="AL17" i="1"/>
  <c r="AR17" i="1"/>
  <c r="AY17" i="1"/>
  <c r="AQ17" i="1"/>
  <c r="BE17" i="1"/>
  <c r="BU17" i="1"/>
  <c r="AM17" i="1"/>
  <c r="AP17" i="1"/>
  <c r="BT17" i="1"/>
  <c r="BS17" i="1"/>
  <c r="BA17" i="1"/>
  <c r="AO17" i="1"/>
  <c r="BK17" i="1"/>
  <c r="AK17" i="1"/>
  <c r="AW17" i="1"/>
  <c r="AX17" i="1"/>
  <c r="AT17" i="1" l="1"/>
  <c r="AV17" i="1"/>
  <c r="BQ17" i="1"/>
  <c r="BM17" i="1"/>
  <c r="BL17" i="1"/>
  <c r="BJ17" i="1"/>
  <c r="BI17" i="1"/>
  <c r="BH17" i="1"/>
  <c r="BG17" i="1" a="1"/>
  <c r="BG17" i="1" s="1"/>
  <c r="BB17" i="1"/>
  <c r="BF17" i="1"/>
  <c r="AD17" i="1"/>
  <c r="AC17" i="1"/>
  <c r="AB16" i="1"/>
  <c r="BN16" i="1" s="1"/>
  <c r="Q16" i="1"/>
  <c r="BP17" i="1"/>
  <c r="R16" i="1"/>
  <c r="V16" i="1" l="1"/>
  <c r="Z16" i="1"/>
  <c r="Y16" i="1"/>
  <c r="W16" i="1"/>
  <c r="T16" i="1"/>
  <c r="AZ16" i="1"/>
  <c r="U16" i="1"/>
  <c r="S16" i="1"/>
  <c r="BR16" i="1" l="1"/>
  <c r="BD16" i="1"/>
  <c r="BC16" i="1"/>
  <c r="AU16" i="1"/>
  <c r="AS16" i="1"/>
  <c r="AA16" i="1"/>
  <c r="AG16" i="1"/>
  <c r="AJ16" i="1" s="1"/>
  <c r="AF16" i="1"/>
  <c r="AI16" i="1" s="1"/>
  <c r="AE16" i="1"/>
  <c r="AH16" i="1" s="1"/>
  <c r="X16" i="1"/>
  <c r="AY16" i="1"/>
  <c r="AL16" i="1"/>
  <c r="BU16" i="1"/>
  <c r="AR16" i="1"/>
  <c r="BT16" i="1"/>
  <c r="BE16" i="1"/>
  <c r="AQ16" i="1"/>
  <c r="BA16" i="1"/>
  <c r="BS16" i="1"/>
  <c r="AM16" i="1"/>
  <c r="AO16" i="1"/>
  <c r="AP16" i="1"/>
  <c r="BK16" i="1"/>
  <c r="AN16" i="1"/>
  <c r="AK16" i="1"/>
  <c r="AW16" i="1"/>
  <c r="AX16" i="1"/>
  <c r="AT16" i="1" l="1"/>
  <c r="AV16" i="1"/>
  <c r="BQ16" i="1"/>
  <c r="BM16" i="1"/>
  <c r="BL16" i="1"/>
  <c r="BJ16" i="1"/>
  <c r="BI16" i="1"/>
  <c r="BH16" i="1"/>
  <c r="BG16" i="1" a="1"/>
  <c r="BG16" i="1" s="1"/>
  <c r="BB16" i="1"/>
  <c r="BF16" i="1"/>
  <c r="AD16" i="1"/>
  <c r="AC16" i="1"/>
  <c r="AB15" i="1"/>
  <c r="BN15" i="1" s="1"/>
  <c r="Q15" i="1"/>
  <c r="BP16" i="1"/>
  <c r="R15" i="1"/>
  <c r="V15" i="1" l="1"/>
  <c r="Z15" i="1"/>
  <c r="Y15" i="1"/>
  <c r="W15" i="1"/>
  <c r="T15" i="1"/>
  <c r="AZ15" i="1"/>
  <c r="U15" i="1"/>
  <c r="S15" i="1"/>
  <c r="BR15" i="1" l="1"/>
  <c r="BD15" i="1"/>
  <c r="BC15" i="1"/>
  <c r="AU15" i="1"/>
  <c r="AS15" i="1"/>
  <c r="AF15" i="1"/>
  <c r="AI15" i="1" s="1"/>
  <c r="AA15" i="1"/>
  <c r="AG15" i="1"/>
  <c r="AJ15" i="1" s="1"/>
  <c r="X15" i="1"/>
  <c r="AE15" i="1"/>
  <c r="AH15" i="1" s="1"/>
  <c r="AY15" i="1"/>
  <c r="AL15" i="1"/>
  <c r="AR15" i="1"/>
  <c r="BT15" i="1"/>
  <c r="AQ15" i="1"/>
  <c r="BE15" i="1"/>
  <c r="AP15" i="1"/>
  <c r="AM15" i="1"/>
  <c r="BS15" i="1"/>
  <c r="BU15" i="1"/>
  <c r="AO15" i="1"/>
  <c r="BA15" i="1"/>
  <c r="BK15" i="1"/>
  <c r="AN15" i="1"/>
  <c r="AK15" i="1"/>
  <c r="AX15" i="1"/>
  <c r="AW15" i="1"/>
  <c r="AT15" i="1" l="1"/>
  <c r="AV15" i="1"/>
  <c r="BQ15" i="1"/>
  <c r="BM15" i="1"/>
  <c r="BL15" i="1"/>
  <c r="BJ15" i="1"/>
  <c r="BI15" i="1"/>
  <c r="BH15" i="1"/>
  <c r="BG15" i="1" a="1"/>
  <c r="BG15" i="1" s="1"/>
  <c r="BB15" i="1"/>
  <c r="AC15" i="1"/>
  <c r="AD15" i="1"/>
  <c r="BF15" i="1"/>
  <c r="AB14" i="1"/>
  <c r="BN14" i="1" s="1"/>
  <c r="Q14" i="1"/>
  <c r="BP15" i="1"/>
  <c r="R14" i="1"/>
  <c r="Z14" i="1" l="1"/>
  <c r="W14" i="1"/>
  <c r="Y14" i="1"/>
  <c r="V14" i="1"/>
  <c r="T14" i="1"/>
  <c r="AZ14" i="1"/>
  <c r="U14" i="1"/>
  <c r="S14" i="1"/>
  <c r="BR14" i="1" l="1"/>
  <c r="BD14" i="1"/>
  <c r="BC14" i="1"/>
  <c r="AU14" i="1"/>
  <c r="AS14" i="1"/>
  <c r="AA14" i="1"/>
  <c r="AG14" i="1"/>
  <c r="AJ14" i="1" s="1"/>
  <c r="AF14" i="1"/>
  <c r="AI14" i="1" s="1"/>
  <c r="X14" i="1"/>
  <c r="AE14" i="1"/>
  <c r="AH14" i="1" s="1"/>
  <c r="BK14" i="1"/>
  <c r="AL14" i="1"/>
  <c r="AN14" i="1"/>
  <c r="AR14" i="1"/>
  <c r="AY14" i="1"/>
  <c r="BE14" i="1"/>
  <c r="AQ14" i="1"/>
  <c r="BU14" i="1"/>
  <c r="BT14" i="1"/>
  <c r="AM14" i="1"/>
  <c r="AP14" i="1"/>
  <c r="BA14" i="1"/>
  <c r="BS14" i="1"/>
  <c r="AO14" i="1"/>
  <c r="AK14" i="1"/>
  <c r="AW14" i="1"/>
  <c r="AX14" i="1"/>
  <c r="AT14" i="1" l="1"/>
  <c r="AV14" i="1"/>
  <c r="BQ14" i="1"/>
  <c r="BM14" i="1"/>
  <c r="BL14" i="1"/>
  <c r="BJ14" i="1"/>
  <c r="BI14" i="1"/>
  <c r="BH14" i="1"/>
  <c r="BG14" i="1" a="1"/>
  <c r="BG14" i="1" s="1"/>
  <c r="BB14" i="1"/>
  <c r="AD14" i="1"/>
  <c r="AC14" i="1"/>
  <c r="BF14" i="1"/>
  <c r="AB13" i="1"/>
  <c r="BN13" i="1" s="1"/>
  <c r="Q13" i="1"/>
  <c r="BP14" i="1"/>
  <c r="R13" i="1"/>
  <c r="Z13" i="1" l="1"/>
  <c r="Y13" i="1"/>
  <c r="V13" i="1"/>
  <c r="W13" i="1"/>
  <c r="T13" i="1"/>
  <c r="AZ13" i="1"/>
  <c r="S13" i="1"/>
  <c r="U13" i="1"/>
  <c r="BR13" i="1" l="1"/>
  <c r="BD13" i="1"/>
  <c r="BC13" i="1"/>
  <c r="AU13" i="1"/>
  <c r="AS13" i="1"/>
  <c r="AA13" i="1"/>
  <c r="AG13" i="1"/>
  <c r="AJ13" i="1" s="1"/>
  <c r="AF13" i="1"/>
  <c r="AI13" i="1" s="1"/>
  <c r="AE13" i="1"/>
  <c r="AH13" i="1" s="1"/>
  <c r="X13" i="1"/>
  <c r="AL13" i="1"/>
  <c r="AQ13" i="1"/>
  <c r="BE13" i="1"/>
  <c r="BS13" i="1"/>
  <c r="AR13" i="1"/>
  <c r="AM13" i="1"/>
  <c r="BT13" i="1"/>
  <c r="BU13" i="1"/>
  <c r="AO13" i="1"/>
  <c r="AP13" i="1"/>
  <c r="BK13" i="1"/>
  <c r="BA13" i="1"/>
  <c r="AN13" i="1"/>
  <c r="AY13" i="1"/>
  <c r="AX13" i="1"/>
  <c r="AW13" i="1"/>
  <c r="AK13" i="1"/>
  <c r="AT13" i="1" l="1"/>
  <c r="AV13" i="1"/>
  <c r="BQ13" i="1"/>
  <c r="BM13" i="1"/>
  <c r="BL13" i="1"/>
  <c r="BJ13" i="1"/>
  <c r="BH13" i="1"/>
  <c r="BI13" i="1"/>
  <c r="BG13" i="1" a="1"/>
  <c r="BG13" i="1" s="1"/>
  <c r="BB13" i="1"/>
  <c r="BF13" i="1"/>
  <c r="AC13" i="1"/>
  <c r="AD13" i="1"/>
  <c r="AB12" i="1"/>
  <c r="BN12" i="1" s="1"/>
  <c r="Q12" i="1"/>
  <c r="BP13" i="1"/>
  <c r="R12" i="1"/>
  <c r="Z12" i="1" l="1"/>
  <c r="Y12" i="1"/>
  <c r="V12" i="1"/>
  <c r="W12" i="1"/>
  <c r="T12" i="1"/>
  <c r="AZ12" i="1"/>
  <c r="S12" i="1"/>
  <c r="U12" i="1"/>
  <c r="BR12" i="1" l="1"/>
  <c r="BD12" i="1"/>
  <c r="BC12" i="1"/>
  <c r="AU12" i="1"/>
  <c r="AS12" i="1"/>
  <c r="AA12" i="1"/>
  <c r="AG12" i="1"/>
  <c r="AJ12" i="1" s="1"/>
  <c r="X12" i="1"/>
  <c r="AF12" i="1"/>
  <c r="AI12" i="1" s="1"/>
  <c r="AE12" i="1"/>
  <c r="AH12" i="1" s="1"/>
  <c r="AL12" i="1"/>
  <c r="BK12" i="1"/>
  <c r="AN12" i="1"/>
  <c r="BU12" i="1"/>
  <c r="AY12" i="1"/>
  <c r="BE12" i="1"/>
  <c r="AQ12" i="1"/>
  <c r="AM12" i="1"/>
  <c r="BT12" i="1"/>
  <c r="AR12" i="1"/>
  <c r="AP12" i="1"/>
  <c r="BA12" i="1"/>
  <c r="BS12" i="1"/>
  <c r="AO12" i="1"/>
  <c r="AW12" i="1"/>
  <c r="AK12" i="1"/>
  <c r="AX12" i="1"/>
  <c r="AT12" i="1" l="1"/>
  <c r="AV12" i="1"/>
  <c r="BQ12" i="1"/>
  <c r="BL12" i="1"/>
  <c r="BM12" i="1"/>
  <c r="BJ12" i="1"/>
  <c r="BI12" i="1"/>
  <c r="BG12" i="1" a="1"/>
  <c r="BG12" i="1" s="1"/>
  <c r="BH12" i="1"/>
  <c r="BB12" i="1"/>
  <c r="BF12" i="1"/>
  <c r="AC12" i="1"/>
  <c r="AD12" i="1"/>
  <c r="AB11" i="1"/>
  <c r="BN11" i="1" s="1"/>
  <c r="Q11" i="1"/>
  <c r="BP12" i="1"/>
  <c r="R11" i="1"/>
  <c r="Y11" i="1" l="1"/>
  <c r="V11" i="1"/>
  <c r="Z11" i="1"/>
  <c r="W11" i="1"/>
  <c r="T11" i="1"/>
  <c r="AZ11" i="1"/>
  <c r="S11" i="1"/>
  <c r="U11" i="1"/>
  <c r="BR11" i="1" l="1"/>
  <c r="BD11" i="1"/>
  <c r="BC11" i="1"/>
  <c r="AU11" i="1"/>
  <c r="AS11" i="1"/>
  <c r="AA11" i="1"/>
  <c r="X11" i="1"/>
  <c r="AF11" i="1"/>
  <c r="AI11" i="1" s="1"/>
  <c r="AG11" i="1"/>
  <c r="AJ11" i="1" s="1"/>
  <c r="AE11" i="1"/>
  <c r="AH11" i="1" s="1"/>
  <c r="AL11" i="1"/>
  <c r="AO11" i="1"/>
  <c r="BK11" i="1"/>
  <c r="AY11" i="1"/>
  <c r="AN11" i="1"/>
  <c r="AR11" i="1"/>
  <c r="BA11" i="1"/>
  <c r="BU11" i="1"/>
  <c r="AM11" i="1"/>
  <c r="BT11" i="1"/>
  <c r="AQ11" i="1"/>
  <c r="AP11" i="1"/>
  <c r="BS11" i="1"/>
  <c r="BE11" i="1"/>
  <c r="AW11" i="1"/>
  <c r="AK11" i="1"/>
  <c r="AX11" i="1"/>
  <c r="AT11" i="1" l="1"/>
  <c r="AV11" i="1"/>
  <c r="BQ11" i="1"/>
  <c r="BL11" i="1"/>
  <c r="BM11" i="1"/>
  <c r="BJ11" i="1"/>
  <c r="BI11" i="1"/>
  <c r="BH11" i="1"/>
  <c r="BG11" i="1" a="1"/>
  <c r="BG11" i="1" s="1"/>
  <c r="BB11" i="1"/>
  <c r="BF11" i="1"/>
  <c r="AC11" i="1"/>
  <c r="AD11" i="1"/>
  <c r="AB10" i="1"/>
  <c r="BN10" i="1" s="1"/>
  <c r="Q10" i="1"/>
  <c r="BP11" i="1"/>
  <c r="R10" i="1"/>
  <c r="Z10" i="1" l="1"/>
  <c r="Y10" i="1"/>
  <c r="V10" i="1"/>
  <c r="W10" i="1"/>
  <c r="T10" i="1"/>
  <c r="AZ10" i="1"/>
  <c r="S10" i="1"/>
  <c r="U10" i="1"/>
  <c r="BR10" i="1" l="1"/>
  <c r="BD10" i="1"/>
  <c r="BC10" i="1"/>
  <c r="AU10" i="1"/>
  <c r="AS10" i="1"/>
  <c r="AF10" i="1"/>
  <c r="AI10" i="1" s="1"/>
  <c r="AA10" i="1"/>
  <c r="AG10" i="1"/>
  <c r="AJ10" i="1" s="1"/>
  <c r="X10" i="1"/>
  <c r="AE10" i="1"/>
  <c r="AH10" i="1" s="1"/>
  <c r="AL10" i="1"/>
  <c r="AR10" i="1"/>
  <c r="BE10" i="1"/>
  <c r="AQ10" i="1"/>
  <c r="AY10" i="1"/>
  <c r="BT10" i="1"/>
  <c r="BU10" i="1"/>
  <c r="AM10" i="1"/>
  <c r="BS10" i="1"/>
  <c r="AP10" i="1"/>
  <c r="AO10" i="1"/>
  <c r="BA10" i="1"/>
  <c r="BK10" i="1"/>
  <c r="AN10" i="1"/>
  <c r="AK10" i="1"/>
  <c r="AW10" i="1"/>
  <c r="AX10" i="1"/>
  <c r="AT10" i="1" l="1"/>
  <c r="AV10" i="1"/>
  <c r="BQ10" i="1"/>
  <c r="BM10" i="1"/>
  <c r="BL10" i="1"/>
  <c r="BJ10" i="1"/>
  <c r="BI10" i="1"/>
  <c r="BH10" i="1"/>
  <c r="BG10" i="1" a="1"/>
  <c r="BG10" i="1" s="1"/>
  <c r="BB10" i="1"/>
  <c r="AC10" i="1"/>
  <c r="AD10" i="1"/>
  <c r="BF10" i="1"/>
  <c r="AB9" i="1"/>
  <c r="BN9" i="1" s="1"/>
  <c r="Q9" i="1"/>
  <c r="BP10" i="1"/>
  <c r="R9" i="1"/>
  <c r="V9" i="1" l="1"/>
  <c r="Z9" i="1"/>
  <c r="Y9" i="1"/>
  <c r="W9" i="1"/>
  <c r="T9" i="1"/>
  <c r="AZ9" i="1"/>
  <c r="U9" i="1"/>
  <c r="S9" i="1"/>
  <c r="BR9" i="1" l="1"/>
  <c r="BD9" i="1"/>
  <c r="BC9" i="1"/>
  <c r="AU9" i="1"/>
  <c r="AS9" i="1"/>
  <c r="AA9" i="1"/>
  <c r="AG9" i="1"/>
  <c r="AJ9" i="1" s="1"/>
  <c r="X9" i="1"/>
  <c r="AF9" i="1"/>
  <c r="AI9" i="1" s="1"/>
  <c r="AE9" i="1"/>
  <c r="AH9" i="1" s="1"/>
  <c r="BU9" i="1"/>
  <c r="AL9" i="1"/>
  <c r="BT9" i="1"/>
  <c r="AR9" i="1"/>
  <c r="BA9" i="1"/>
  <c r="AP9" i="1"/>
  <c r="AY9" i="1"/>
  <c r="BE9" i="1"/>
  <c r="BS9" i="1"/>
  <c r="AQ9" i="1"/>
  <c r="AO9" i="1"/>
  <c r="AM9" i="1"/>
  <c r="BK9" i="1"/>
  <c r="AN9" i="1"/>
  <c r="AW9" i="1"/>
  <c r="AK9" i="1"/>
  <c r="AX9" i="1"/>
  <c r="AT9" i="1" l="1"/>
  <c r="AV9" i="1"/>
  <c r="BQ9" i="1"/>
  <c r="BM9" i="1"/>
  <c r="BL9" i="1"/>
  <c r="BJ9" i="1"/>
  <c r="BI9" i="1"/>
  <c r="BH9" i="1"/>
  <c r="BG9" i="1" a="1"/>
  <c r="BG9" i="1" s="1"/>
  <c r="BB9" i="1"/>
  <c r="BF9" i="1"/>
  <c r="AC9" i="1"/>
  <c r="AD9" i="1"/>
  <c r="AB8" i="1"/>
  <c r="BN8" i="1" s="1"/>
  <c r="Q8" i="1"/>
  <c r="BP9" i="1"/>
  <c r="R8" i="1"/>
  <c r="Z8" i="1" l="1"/>
  <c r="Y8" i="1"/>
  <c r="W8" i="1"/>
  <c r="V8" i="1"/>
  <c r="T8" i="1"/>
  <c r="AZ8" i="1"/>
  <c r="U8" i="1"/>
  <c r="S8" i="1"/>
  <c r="BR8" i="1" l="1"/>
  <c r="BD8" i="1"/>
  <c r="BC8" i="1"/>
  <c r="AS8" i="1"/>
  <c r="AU8" i="1"/>
  <c r="AA8" i="1"/>
  <c r="AF8" i="1"/>
  <c r="AI8" i="1" s="1"/>
  <c r="AG8" i="1"/>
  <c r="AJ8" i="1" s="1"/>
  <c r="X8" i="1"/>
  <c r="AE8" i="1"/>
  <c r="AH8" i="1" s="1"/>
  <c r="AP8" i="1"/>
  <c r="AL8" i="1"/>
  <c r="AM8" i="1"/>
  <c r="BT8" i="1"/>
  <c r="AR8" i="1"/>
  <c r="BE8" i="1"/>
  <c r="AO8" i="1"/>
  <c r="AQ8" i="1"/>
  <c r="BK8" i="1"/>
  <c r="BS8" i="1"/>
  <c r="AN8" i="1"/>
  <c r="BA8" i="1"/>
  <c r="AY8" i="1"/>
  <c r="BU8" i="1"/>
  <c r="AW8" i="1"/>
  <c r="AK8" i="1"/>
  <c r="AX8" i="1"/>
  <c r="AT8" i="1" l="1"/>
  <c r="AV8" i="1"/>
  <c r="BQ8" i="1"/>
  <c r="BM8" i="1"/>
  <c r="BL8" i="1"/>
  <c r="BJ8" i="1"/>
  <c r="BI8" i="1"/>
  <c r="BH8" i="1"/>
  <c r="BG8" i="1" a="1"/>
  <c r="BG8" i="1" s="1"/>
  <c r="BB8" i="1"/>
  <c r="AC8" i="1"/>
  <c r="AD8" i="1"/>
  <c r="BF8" i="1"/>
  <c r="AB7" i="1"/>
  <c r="BN7" i="1" s="1"/>
  <c r="Q7" i="1"/>
  <c r="BP8" i="1"/>
  <c r="R7" i="1"/>
  <c r="V7" i="1" l="1"/>
  <c r="Z7" i="1"/>
  <c r="Y7" i="1"/>
  <c r="W7" i="1"/>
  <c r="T7" i="1"/>
  <c r="AZ7" i="1"/>
  <c r="U7" i="1"/>
  <c r="S7" i="1"/>
  <c r="BR7" i="1" l="1"/>
  <c r="BD7" i="1"/>
  <c r="BC7" i="1"/>
  <c r="AU7" i="1"/>
  <c r="AS7" i="1"/>
  <c r="AA7" i="1"/>
  <c r="AE7" i="1"/>
  <c r="AH7" i="1" s="1"/>
  <c r="AG7" i="1"/>
  <c r="AJ7" i="1" s="1"/>
  <c r="AF7" i="1"/>
  <c r="AI7" i="1" s="1"/>
  <c r="X7" i="1"/>
  <c r="BK7" i="1"/>
  <c r="AL7" i="1"/>
  <c r="AN7" i="1"/>
  <c r="AR7" i="1"/>
  <c r="BA7" i="1"/>
  <c r="AQ7" i="1"/>
  <c r="AY7" i="1"/>
  <c r="BT7" i="1"/>
  <c r="BU7" i="1"/>
  <c r="AP7" i="1"/>
  <c r="AM7" i="1"/>
  <c r="BS7" i="1"/>
  <c r="AO7" i="1"/>
  <c r="BE7" i="1"/>
  <c r="AW7" i="1"/>
  <c r="AX7" i="1"/>
  <c r="AK7" i="1"/>
  <c r="AT7" i="1" l="1"/>
  <c r="AV7" i="1"/>
  <c r="BQ7" i="1"/>
  <c r="BM7" i="1"/>
  <c r="BL7" i="1"/>
  <c r="BJ7" i="1"/>
  <c r="BI7" i="1"/>
  <c r="BH7" i="1"/>
  <c r="BG7" i="1" a="1"/>
  <c r="BG7" i="1" s="1"/>
  <c r="BB7" i="1"/>
  <c r="BF7" i="1"/>
  <c r="AC7" i="1"/>
  <c r="AD7" i="1"/>
  <c r="AB6" i="1"/>
  <c r="BN6" i="1" s="1"/>
  <c r="Q6" i="1"/>
  <c r="BP7" i="1"/>
  <c r="R6" i="1"/>
  <c r="Z6" i="1" l="1"/>
  <c r="Y6" i="1"/>
  <c r="W6" i="1"/>
  <c r="V6" i="1"/>
  <c r="T6" i="1"/>
  <c r="AZ6" i="1"/>
  <c r="U6" i="1"/>
  <c r="S6" i="1"/>
  <c r="BR6" i="1" l="1"/>
  <c r="BD6" i="1"/>
  <c r="BC6" i="1"/>
  <c r="AU6" i="1"/>
  <c r="AS6" i="1"/>
  <c r="X6" i="1"/>
  <c r="AA6" i="1"/>
  <c r="AG6" i="1"/>
  <c r="AJ6" i="1" s="1"/>
  <c r="AF6" i="1"/>
  <c r="AI6" i="1" s="1"/>
  <c r="AE6" i="1"/>
  <c r="AH6" i="1" s="1"/>
  <c r="AO6" i="1"/>
  <c r="AL6" i="1"/>
  <c r="BK6" i="1"/>
  <c r="AR6" i="1"/>
  <c r="AN6" i="1"/>
  <c r="AY6" i="1"/>
  <c r="AM6" i="1"/>
  <c r="BE6" i="1"/>
  <c r="AQ6" i="1"/>
  <c r="BU6" i="1"/>
  <c r="BT6" i="1"/>
  <c r="BA6" i="1"/>
  <c r="AP6" i="1"/>
  <c r="BS6" i="1"/>
  <c r="AW6" i="1"/>
  <c r="AK6" i="1"/>
  <c r="AX6" i="1"/>
  <c r="AT6" i="1" l="1"/>
  <c r="AV6" i="1"/>
  <c r="BQ6" i="1"/>
  <c r="AD6" i="1"/>
  <c r="AC6" i="1"/>
  <c r="BM6" i="1"/>
  <c r="BL6" i="1"/>
  <c r="BJ6" i="1"/>
  <c r="BI6" i="1"/>
  <c r="BH6" i="1"/>
  <c r="BG6" i="1" a="1"/>
  <c r="BG6" i="1" s="1"/>
  <c r="BB6" i="1"/>
  <c r="BF6" i="1"/>
  <c r="AB5" i="1"/>
  <c r="BN5" i="1" s="1"/>
  <c r="Q5" i="1"/>
  <c r="T5" i="1" s="1"/>
  <c r="BP6" i="1"/>
  <c r="U5" i="1" l="1"/>
  <c r="BQ5" i="1"/>
  <c r="BU5" i="1"/>
  <c r="BS5" i="1"/>
  <c r="BT5" i="1"/>
  <c r="BK5" i="1"/>
  <c r="AY5" i="1"/>
  <c r="BD5" i="1"/>
  <c r="BC5" i="1"/>
  <c r="AZ5" i="1"/>
  <c r="BA5" i="1"/>
  <c r="AP5" i="1"/>
  <c r="AM5" i="1"/>
  <c r="AS5" i="1"/>
  <c r="AO5" i="1"/>
  <c r="AV5" i="1"/>
  <c r="AN5" i="1"/>
  <c r="AU5" i="1"/>
  <c r="AT5" i="1"/>
  <c r="AR5" i="1"/>
  <c r="AQ5" i="1"/>
  <c r="AG5" i="1"/>
  <c r="AF5" i="1"/>
  <c r="AE5" i="1"/>
  <c r="V5" i="1"/>
  <c r="X5" i="1" s="1"/>
  <c r="W5" i="1"/>
  <c r="Z5" i="1"/>
  <c r="Y5" i="1"/>
  <c r="AA5" i="1" s="1"/>
  <c r="S5" i="1"/>
  <c r="BE5" i="1"/>
  <c r="AX5" i="1"/>
  <c r="AW5" i="1"/>
  <c r="AL5" i="1"/>
  <c r="AC5" i="1" l="1"/>
  <c r="AD5" i="1"/>
  <c r="BF5" i="1"/>
  <c r="BR5" i="1"/>
  <c r="BJ5" i="1"/>
  <c r="AJ5" i="1"/>
  <c r="AI5" i="1"/>
  <c r="AH5" i="1"/>
  <c r="BG5" i="1" a="1"/>
  <c r="BG5" i="1" s="1"/>
  <c r="BI5" i="1"/>
  <c r="BH5" i="1"/>
  <c r="BM5" i="1"/>
  <c r="BL5" i="1"/>
  <c r="BB5" i="1"/>
  <c r="BP5" i="1"/>
  <c r="AK5" i="1"/>
  <c r="AB4" i="1"/>
  <c r="BN4" i="1" s="1"/>
  <c r="Q4" i="1"/>
  <c r="T4" i="1" s="1"/>
  <c r="U4" i="1" l="1"/>
  <c r="V4" i="1"/>
  <c r="BU4" i="1"/>
  <c r="BT4" i="1"/>
  <c r="BS4" i="1"/>
  <c r="BQ4" i="1"/>
  <c r="BK4" i="1"/>
  <c r="BA4" i="1"/>
  <c r="AY4" i="1"/>
  <c r="BC4" i="1"/>
  <c r="AZ4" i="1"/>
  <c r="BD4" i="1"/>
  <c r="AV4" i="1"/>
  <c r="AN4" i="1"/>
  <c r="AM4" i="1"/>
  <c r="AS4" i="1"/>
  <c r="AP4" i="1"/>
  <c r="AU4" i="1"/>
  <c r="AQ4" i="1"/>
  <c r="AT4" i="1"/>
  <c r="AR4" i="1"/>
  <c r="AO4" i="1"/>
  <c r="X4" i="1"/>
  <c r="AA4" i="1"/>
  <c r="AG4" i="1"/>
  <c r="AF4" i="1"/>
  <c r="AE4" i="1"/>
  <c r="W4" i="1"/>
  <c r="Y4" i="1"/>
  <c r="Z4" i="1"/>
  <c r="AX4" i="1"/>
  <c r="AW4" i="1"/>
  <c r="BE4" i="1"/>
  <c r="AL4" i="1"/>
  <c r="BF4" i="1" l="1"/>
  <c r="BG4" i="1" a="1"/>
  <c r="BG4" i="1" s="1"/>
  <c r="BM4" i="1"/>
  <c r="BL4" i="1"/>
  <c r="BI4" i="1"/>
  <c r="BH4" i="1"/>
  <c r="BB4" i="1"/>
  <c r="AD4" i="1"/>
  <c r="AC4" i="1"/>
  <c r="BR4" i="1"/>
  <c r="BJ4" i="1"/>
  <c r="AJ4" i="1"/>
  <c r="AI4" i="1"/>
  <c r="AH4" i="1"/>
  <c r="BP4" i="1"/>
  <c r="AK4" i="1"/>
  <c r="AB3" i="1"/>
  <c r="BN3" i="1" s="1"/>
  <c r="Q3" i="1"/>
  <c r="T3" i="1" s="1"/>
  <c r="U3" i="1" l="1"/>
  <c r="V3" i="1"/>
  <c r="W3" i="1"/>
  <c r="BS3" i="1"/>
  <c r="BU3" i="1"/>
  <c r="BT3" i="1"/>
  <c r="BQ3" i="1"/>
  <c r="BK3" i="1"/>
  <c r="BA3" i="1"/>
  <c r="AZ3" i="1"/>
  <c r="AY3" i="1"/>
  <c r="BD3" i="1"/>
  <c r="BC3" i="1"/>
  <c r="AV3" i="1"/>
  <c r="AN3" i="1"/>
  <c r="AM3" i="1"/>
  <c r="AT3" i="1"/>
  <c r="AQ3" i="1"/>
  <c r="AP3" i="1"/>
  <c r="AU3" i="1"/>
  <c r="AR3" i="1"/>
  <c r="AO3" i="1"/>
  <c r="AS3" i="1"/>
  <c r="AG3" i="1"/>
  <c r="X3" i="1"/>
  <c r="AE3" i="1"/>
  <c r="AF3" i="1"/>
  <c r="Y3" i="1"/>
  <c r="AA3" i="1" s="1"/>
  <c r="Z3" i="1"/>
  <c r="S3" i="1"/>
  <c r="BE3" i="1"/>
  <c r="AX3" i="1"/>
  <c r="AW3" i="1"/>
  <c r="AL3" i="1"/>
  <c r="AD3" i="1" l="1"/>
  <c r="AC3" i="1"/>
  <c r="BM3" i="1"/>
  <c r="BL3" i="1"/>
  <c r="BH3" i="1"/>
  <c r="BI3" i="1"/>
  <c r="BG3" i="1" a="1"/>
  <c r="BG3" i="1" s="1"/>
  <c r="BB3" i="1"/>
  <c r="BF3" i="1"/>
  <c r="BR3" i="1"/>
  <c r="BJ3" i="1"/>
  <c r="AJ3" i="1"/>
  <c r="AI3" i="1"/>
  <c r="AH3" i="1"/>
  <c r="AK3" i="1"/>
  <c r="BP3" i="1"/>
  <c r="AB2" i="1"/>
  <c r="BN2" i="1" s="1"/>
  <c r="Q2" i="1"/>
  <c r="T2" i="1" s="1"/>
  <c r="U2" i="1" l="1"/>
  <c r="V2" i="1"/>
  <c r="BU2" i="1"/>
  <c r="BT2" i="1"/>
  <c r="BQ2" i="1"/>
  <c r="BS2" i="1"/>
  <c r="BK2" i="1"/>
  <c r="BC2" i="1"/>
  <c r="BA2" i="1"/>
  <c r="AZ2" i="1"/>
  <c r="AY2" i="1"/>
  <c r="BD2" i="1"/>
  <c r="AV2" i="1"/>
  <c r="C63" i="6" s="1"/>
  <c r="AN2" i="1"/>
  <c r="AM2" i="1"/>
  <c r="AS2" i="1"/>
  <c r="AQ2" i="1"/>
  <c r="AU2" i="1"/>
  <c r="AR2" i="1"/>
  <c r="AP2" i="1"/>
  <c r="AT2" i="1"/>
  <c r="AO2" i="1"/>
  <c r="AG2" i="1"/>
  <c r="AE2" i="1"/>
  <c r="AF2" i="1"/>
  <c r="X2" i="1"/>
  <c r="Y2" i="1"/>
  <c r="AA2" i="1" s="1"/>
  <c r="W2" i="1"/>
  <c r="Z2" i="1"/>
  <c r="S2"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O127" i="1"/>
  <c r="BO126" i="1"/>
  <c r="BO125" i="1"/>
  <c r="BO124" i="1"/>
  <c r="BO123" i="1"/>
  <c r="BO122" i="1"/>
  <c r="BO121" i="1"/>
  <c r="BO120" i="1"/>
  <c r="BO119" i="1"/>
  <c r="BO118" i="1"/>
  <c r="BO117" i="1"/>
  <c r="BO116" i="1"/>
  <c r="BO115" i="1"/>
  <c r="BO114" i="1"/>
  <c r="BO113" i="1"/>
  <c r="BO112" i="1"/>
  <c r="BO111" i="1"/>
  <c r="BO110" i="1"/>
  <c r="BO109" i="1"/>
  <c r="BO108" i="1"/>
  <c r="BO107" i="1"/>
  <c r="BO106" i="1"/>
  <c r="BO105" i="1"/>
  <c r="BO104"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O4" i="1"/>
  <c r="BO3" i="1"/>
  <c r="BO2" i="1"/>
  <c r="E46" i="10"/>
  <c r="E47" i="10"/>
  <c r="AW2" i="1"/>
  <c r="BE2" i="1"/>
  <c r="AX2" i="1"/>
  <c r="AL2" i="1"/>
  <c r="BL2" i="1" l="1"/>
  <c r="BI2" i="1"/>
  <c r="BH2" i="1"/>
  <c r="BG2" i="1" a="1"/>
  <c r="BG2" i="1" s="1"/>
  <c r="BM2" i="1"/>
  <c r="BB2" i="1"/>
  <c r="BF2" i="1"/>
  <c r="BR2" i="1"/>
  <c r="AJ2" i="1"/>
  <c r="AI2" i="1"/>
  <c r="AH2" i="1"/>
  <c r="AD2" i="1"/>
  <c r="AC2" i="1"/>
  <c r="B48" i="9"/>
  <c r="AK2" i="1"/>
  <c r="BP2" i="1"/>
  <c r="H26" i="9" l="1"/>
  <c r="E27" i="10"/>
  <c r="H46" i="10"/>
  <c r="H47" i="10"/>
  <c r="H27" i="10"/>
  <c r="K6" i="10" l="1"/>
  <c r="K10" i="10"/>
  <c r="K14" i="10"/>
  <c r="K5" i="10"/>
  <c r="J18" i="10"/>
  <c r="J6" i="10"/>
  <c r="J7" i="10"/>
  <c r="K7" i="10" s="1"/>
  <c r="J8" i="10"/>
  <c r="K8" i="10" s="1"/>
  <c r="J9" i="10"/>
  <c r="K9" i="10" s="1"/>
  <c r="J10" i="10"/>
  <c r="J11" i="10"/>
  <c r="K11" i="10" s="1"/>
  <c r="J12" i="10"/>
  <c r="K12" i="10" s="1"/>
  <c r="J13" i="10"/>
  <c r="K13" i="10" s="1"/>
  <c r="J14" i="10"/>
  <c r="J15" i="10"/>
  <c r="K15" i="10" s="1"/>
  <c r="J16" i="10"/>
  <c r="K16" i="10" s="1"/>
  <c r="J17" i="10"/>
  <c r="K17" i="10" s="1"/>
  <c r="J5" i="10"/>
  <c r="D5" i="22"/>
  <c r="D6" i="22"/>
  <c r="D7" i="22"/>
  <c r="D8" i="22"/>
  <c r="D9" i="22"/>
  <c r="D10" i="22"/>
  <c r="D11" i="22"/>
  <c r="D12" i="22"/>
  <c r="D13" i="22"/>
  <c r="D14" i="22"/>
  <c r="D15" i="22"/>
  <c r="D16" i="22"/>
  <c r="D17" i="22"/>
  <c r="D18" i="22"/>
  <c r="D19" i="22"/>
  <c r="D20" i="22"/>
  <c r="D21" i="22"/>
  <c r="D4" i="22"/>
  <c r="B13" i="6"/>
  <c r="BD181" i="1" l="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D142" i="1"/>
  <c r="BD141" i="1"/>
  <c r="BD140" i="1"/>
  <c r="BD139" i="1"/>
  <c r="BD138" i="1"/>
  <c r="BD137" i="1"/>
  <c r="BD136" i="1"/>
  <c r="BD135" i="1"/>
  <c r="BD134" i="1"/>
  <c r="BD133" i="1"/>
  <c r="BD132" i="1"/>
  <c r="BD131" i="1"/>
  <c r="BD130" i="1"/>
  <c r="BD129" i="1"/>
  <c r="BD128" i="1"/>
  <c r="BD126" i="1"/>
  <c r="BD125" i="1"/>
  <c r="BD124" i="1"/>
  <c r="BD123" i="1"/>
  <c r="BD122" i="1"/>
  <c r="BD121" i="1"/>
  <c r="BD120" i="1"/>
  <c r="BD119" i="1"/>
  <c r="BD118" i="1"/>
  <c r="BD117" i="1"/>
  <c r="BD116" i="1"/>
  <c r="BD115" i="1"/>
  <c r="BD114" i="1"/>
  <c r="BD113" i="1"/>
  <c r="BD112" i="1"/>
  <c r="BD111" i="1"/>
  <c r="BD110" i="1"/>
  <c r="BD109" i="1"/>
  <c r="BD108" i="1"/>
  <c r="BD107" i="1"/>
  <c r="BD106" i="1"/>
  <c r="BD105" i="1"/>
  <c r="BD104" i="1"/>
  <c r="BD103" i="1"/>
  <c r="BD102" i="1"/>
  <c r="BD101" i="1"/>
  <c r="BD100" i="1"/>
  <c r="BD99" i="1"/>
  <c r="BD98" i="1"/>
  <c r="BD97" i="1"/>
  <c r="BD96" i="1"/>
  <c r="BD95" i="1"/>
  <c r="BD94" i="1"/>
  <c r="BD93" i="1"/>
  <c r="BD92" i="1"/>
  <c r="BD91" i="1"/>
  <c r="BD90" i="1"/>
  <c r="BD89" i="1"/>
  <c r="BD88" i="1"/>
  <c r="BD87" i="1"/>
  <c r="BD86" i="1"/>
  <c r="BD85" i="1"/>
  <c r="BD84" i="1"/>
  <c r="BD83" i="1"/>
  <c r="BD82" i="1"/>
  <c r="BD81" i="1"/>
  <c r="BD80" i="1"/>
  <c r="BD79" i="1"/>
  <c r="BD78" i="1"/>
  <c r="BD77" i="1"/>
  <c r="BD76" i="1"/>
  <c r="BD75" i="1"/>
  <c r="BD74" i="1"/>
  <c r="BD73" i="1"/>
  <c r="BD72" i="1"/>
  <c r="BD71" i="1"/>
  <c r="BD70" i="1"/>
  <c r="BD69" i="1"/>
  <c r="BD68" i="1"/>
  <c r="BD67" i="1"/>
  <c r="BD66" i="1"/>
  <c r="BD65" i="1"/>
  <c r="BD64" i="1"/>
  <c r="BD63" i="1"/>
  <c r="BD62" i="1"/>
  <c r="BD61" i="1"/>
  <c r="BD60" i="1"/>
  <c r="BD59" i="1"/>
  <c r="BD58" i="1"/>
  <c r="BD57" i="1"/>
  <c r="BD56" i="1"/>
  <c r="BD55" i="1"/>
  <c r="BD54" i="1"/>
  <c r="BD53" i="1"/>
  <c r="BD52" i="1"/>
  <c r="BD51" i="1"/>
  <c r="BD50" i="1"/>
  <c r="BD49" i="1"/>
  <c r="BD48" i="1"/>
  <c r="BD47" i="1"/>
  <c r="BD46" i="1"/>
  <c r="BD45" i="1"/>
  <c r="BD44" i="1"/>
  <c r="BD43" i="1"/>
  <c r="BD42" i="1"/>
  <c r="BD41" i="1"/>
  <c r="BD40" i="1"/>
  <c r="BD39" i="1"/>
  <c r="BD38" i="1"/>
  <c r="BD37" i="1"/>
  <c r="BD36" i="1"/>
  <c r="BD35" i="1"/>
  <c r="BD34" i="1"/>
  <c r="BD33" i="1"/>
  <c r="BD32" i="1"/>
  <c r="BD31" i="1"/>
  <c r="BD30" i="1"/>
  <c r="BD29" i="1"/>
  <c r="BD28" i="1"/>
  <c r="BD27" i="1"/>
  <c r="E26" i="10"/>
  <c r="H45" i="10"/>
  <c r="E45" i="10"/>
  <c r="H44" i="10"/>
  <c r="E44" i="10"/>
  <c r="H43" i="10"/>
  <c r="E43" i="10"/>
  <c r="H42" i="10"/>
  <c r="E42" i="10"/>
  <c r="H41" i="10"/>
  <c r="E41" i="10"/>
  <c r="H40" i="10"/>
  <c r="E40" i="10"/>
  <c r="H39" i="10"/>
  <c r="E39" i="10"/>
  <c r="H38" i="10"/>
  <c r="E38" i="10"/>
  <c r="H37" i="10"/>
  <c r="E37" i="10"/>
  <c r="H36" i="10"/>
  <c r="E36" i="10"/>
  <c r="H35" i="10"/>
  <c r="E35" i="10"/>
  <c r="H34" i="10"/>
  <c r="E34" i="10"/>
  <c r="H33" i="10"/>
  <c r="E33" i="10"/>
  <c r="H32" i="10"/>
  <c r="E32" i="10"/>
  <c r="H31" i="10"/>
  <c r="E31" i="10"/>
  <c r="H30" i="10"/>
  <c r="E30" i="10"/>
  <c r="H29" i="10"/>
  <c r="E29" i="10"/>
  <c r="H28" i="10"/>
  <c r="E28" i="10"/>
  <c r="C27" i="7"/>
  <c r="C26" i="7"/>
  <c r="C25" i="7"/>
  <c r="C24" i="7"/>
  <c r="C23" i="7"/>
  <c r="C22" i="7"/>
  <c r="C21" i="7"/>
  <c r="C20" i="7"/>
  <c r="C19" i="7"/>
  <c r="C18" i="7"/>
  <c r="C17" i="7"/>
  <c r="C16" i="7"/>
  <c r="C15" i="7"/>
  <c r="C14" i="7"/>
  <c r="C13" i="7"/>
  <c r="C12" i="7"/>
  <c r="C11" i="7"/>
  <c r="C10" i="7"/>
  <c r="C9" i="7"/>
  <c r="C8" i="7"/>
  <c r="C7" i="7"/>
  <c r="C6" i="7"/>
  <c r="C5" i="7"/>
  <c r="C4" i="7"/>
  <c r="C3" i="7"/>
  <c r="F18" i="5"/>
  <c r="F17" i="5"/>
  <c r="F16" i="5"/>
  <c r="F15" i="5"/>
  <c r="C5" i="4"/>
  <c r="C6" i="4"/>
  <c r="BE92" i="1"/>
  <c r="BE91" i="1"/>
  <c r="BE114" i="1"/>
  <c r="BE138" i="1"/>
  <c r="BE56" i="1"/>
  <c r="BE126" i="1"/>
  <c r="BE85" i="1"/>
  <c r="BE87" i="1"/>
  <c r="BE84" i="1"/>
  <c r="BE83" i="1"/>
  <c r="BE90" i="1"/>
  <c r="BE89" i="1"/>
  <c r="BE48" i="1"/>
  <c r="BE62" i="1"/>
  <c r="BE61" i="1"/>
  <c r="BE73" i="1"/>
  <c r="BE68" i="1"/>
  <c r="BE75" i="1"/>
  <c r="BE74" i="1"/>
  <c r="BE54" i="1"/>
  <c r="BE60" i="1"/>
  <c r="BE59" i="1"/>
  <c r="BE58" i="1"/>
  <c r="BE120" i="1"/>
  <c r="BE71" i="1"/>
  <c r="BE46" i="1"/>
  <c r="BE45" i="1"/>
  <c r="BE125" i="1"/>
  <c r="BE52" i="1"/>
  <c r="BE51" i="1"/>
  <c r="BE50" i="1"/>
  <c r="BE112" i="1"/>
  <c r="BE63" i="1"/>
  <c r="BE38" i="1"/>
  <c r="BE37" i="1"/>
  <c r="BE53" i="1"/>
  <c r="BE36" i="1"/>
  <c r="BE43" i="1"/>
  <c r="BE34" i="1"/>
  <c r="BE96" i="1"/>
  <c r="BE55" i="1"/>
  <c r="BE158" i="1"/>
  <c r="BE29" i="1"/>
  <c r="BE149" i="1"/>
  <c r="BE140" i="1"/>
  <c r="BE27" i="1"/>
  <c r="BE178" i="1"/>
  <c r="BE88" i="1"/>
  <c r="BE47" i="1"/>
  <c r="BE141" i="1"/>
  <c r="BE99" i="1"/>
  <c r="BE155" i="1"/>
  <c r="BE146" i="1"/>
  <c r="BE80" i="1"/>
  <c r="BE39" i="1"/>
  <c r="BE101" i="1"/>
  <c r="BE162" i="1"/>
  <c r="BE57" i="1"/>
  <c r="BE64" i="1"/>
  <c r="BE135" i="1"/>
  <c r="BE142" i="1"/>
  <c r="BE69" i="1"/>
  <c r="BE139" i="1"/>
  <c r="BE44" i="1"/>
  <c r="BE171" i="1"/>
  <c r="BE161" i="1"/>
  <c r="BE134" i="1"/>
  <c r="BE66" i="1"/>
  <c r="BE102" i="1"/>
  <c r="BE117" i="1"/>
  <c r="BE133" i="1"/>
  <c r="BE105" i="1"/>
  <c r="BE28" i="1"/>
  <c r="BE180" i="1"/>
  <c r="BE122" i="1"/>
  <c r="BE97" i="1"/>
  <c r="BE144" i="1"/>
  <c r="BE109" i="1"/>
  <c r="BE93" i="1"/>
  <c r="BE32" i="1"/>
  <c r="BE76" i="1"/>
  <c r="BE128" i="1"/>
  <c r="BE123" i="1"/>
  <c r="BE106" i="1"/>
  <c r="BE175" i="1"/>
  <c r="BE165" i="1"/>
  <c r="BE119" i="1"/>
  <c r="BE151" i="1"/>
  <c r="BE157" i="1"/>
  <c r="BE115" i="1"/>
  <c r="BE35" i="1"/>
  <c r="BE98" i="1"/>
  <c r="BE170" i="1"/>
  <c r="BE65" i="1"/>
  <c r="BE72" i="1"/>
  <c r="BE111" i="1"/>
  <c r="BE100" i="1"/>
  <c r="BE132" i="1"/>
  <c r="BE67" i="1"/>
  <c r="BE163" i="1"/>
  <c r="BE121" i="1"/>
  <c r="BE145" i="1"/>
  <c r="BE168" i="1"/>
  <c r="BE103" i="1"/>
  <c r="BE150" i="1"/>
  <c r="BE110" i="1"/>
  <c r="BE113" i="1"/>
  <c r="BE49" i="1"/>
  <c r="BE137" i="1"/>
  <c r="BE160" i="1"/>
  <c r="BE95" i="1"/>
  <c r="BE31" i="1"/>
  <c r="BE118" i="1"/>
  <c r="BE77" i="1"/>
  <c r="BE147" i="1"/>
  <c r="BE82" i="1"/>
  <c r="BE41" i="1"/>
  <c r="BE129" i="1"/>
  <c r="BE152" i="1"/>
  <c r="BE172" i="1"/>
  <c r="BE107" i="1"/>
  <c r="BE33" i="1"/>
  <c r="BE79" i="1"/>
  <c r="BE167" i="1"/>
  <c r="BE164" i="1"/>
  <c r="BE131" i="1"/>
  <c r="BE154" i="1"/>
  <c r="BE177" i="1"/>
  <c r="BE136" i="1"/>
  <c r="BE159" i="1"/>
  <c r="BE94" i="1"/>
  <c r="BE30" i="1"/>
  <c r="BE166" i="1"/>
  <c r="BE124" i="1"/>
  <c r="BE156" i="1"/>
  <c r="BE81" i="1"/>
  <c r="BE169" i="1"/>
  <c r="BE104" i="1"/>
  <c r="BE40" i="1"/>
  <c r="BE86" i="1"/>
  <c r="BE174" i="1"/>
  <c r="BE78" i="1"/>
  <c r="BE181" i="1"/>
  <c r="BE116" i="1"/>
  <c r="BE148" i="1"/>
  <c r="BE179" i="1"/>
  <c r="BE143" i="1"/>
  <c r="BE173" i="1"/>
  <c r="BE108" i="1"/>
  <c r="BE42" i="1"/>
  <c r="BE130" i="1"/>
  <c r="BE153" i="1"/>
  <c r="BE176" i="1"/>
  <c r="BE70" i="1"/>
  <c r="B96" i="9" l="1"/>
  <c r="B88" i="9"/>
  <c r="G41" i="14"/>
  <c r="I39" i="14"/>
  <c r="D39" i="14"/>
  <c r="I38" i="14"/>
  <c r="D38" i="14"/>
  <c r="I37" i="14"/>
  <c r="D37" i="14"/>
  <c r="I36" i="14"/>
  <c r="D36" i="14"/>
  <c r="I35" i="14"/>
  <c r="D35" i="14"/>
  <c r="I34" i="14"/>
  <c r="D34" i="14"/>
  <c r="I33" i="14"/>
  <c r="D33" i="14"/>
  <c r="I32" i="14"/>
  <c r="D32" i="14"/>
  <c r="I31" i="14"/>
  <c r="D31" i="14"/>
  <c r="I30" i="14"/>
  <c r="D30" i="14"/>
  <c r="I29" i="14"/>
  <c r="D29" i="14"/>
  <c r="I28" i="14"/>
  <c r="D28" i="14"/>
  <c r="I27" i="14"/>
  <c r="D27" i="14"/>
  <c r="V25" i="19"/>
  <c r="V21" i="19"/>
  <c r="B13" i="19"/>
  <c r="B12" i="19"/>
  <c r="B11" i="19"/>
  <c r="B10" i="19"/>
  <c r="B9" i="19"/>
  <c r="B8" i="19"/>
  <c r="B7" i="19"/>
  <c r="B6" i="19"/>
  <c r="B5" i="19"/>
  <c r="B4" i="19"/>
  <c r="C3" i="19"/>
  <c r="B3" i="19"/>
  <c r="C2" i="19"/>
  <c r="B2" i="19"/>
  <c r="L199" i="6"/>
  <c r="K199" i="6"/>
  <c r="J199" i="6"/>
  <c r="H199" i="6"/>
  <c r="B79" i="9" l="1"/>
  <c r="C77" i="9"/>
  <c r="B77" i="9"/>
  <c r="C76" i="9"/>
  <c r="C74" i="9"/>
  <c r="B74" i="9"/>
  <c r="C79" i="9"/>
  <c r="B76" i="9"/>
  <c r="C78" i="9"/>
  <c r="C75" i="9"/>
  <c r="B75" i="9"/>
  <c r="B78" i="9"/>
  <c r="B47" i="9"/>
  <c r="B94" i="9"/>
  <c r="B92" i="9"/>
  <c r="B90" i="9"/>
  <c r="B45" i="9"/>
  <c r="B43" i="9"/>
  <c r="B41" i="9"/>
  <c r="B39" i="9"/>
  <c r="B37" i="9"/>
  <c r="C73" i="9"/>
  <c r="C72" i="9"/>
  <c r="C71" i="9"/>
  <c r="C70" i="9"/>
  <c r="C69" i="9"/>
  <c r="C68" i="9"/>
  <c r="C67" i="9"/>
  <c r="C66" i="9"/>
  <c r="C65" i="9"/>
  <c r="C64" i="9"/>
  <c r="C63" i="9"/>
  <c r="C62" i="9"/>
  <c r="C61" i="9"/>
  <c r="C60" i="9"/>
  <c r="C59" i="9"/>
  <c r="B95" i="9"/>
  <c r="B93" i="9"/>
  <c r="B91" i="9"/>
  <c r="B73" i="9"/>
  <c r="B72" i="9"/>
  <c r="B71" i="9"/>
  <c r="B70" i="9"/>
  <c r="B69" i="9"/>
  <c r="B68" i="9"/>
  <c r="B67" i="9"/>
  <c r="B66" i="9"/>
  <c r="B65" i="9"/>
  <c r="B64" i="9"/>
  <c r="B63" i="9"/>
  <c r="B62" i="9"/>
  <c r="B61" i="9"/>
  <c r="B60" i="9"/>
  <c r="B59" i="9"/>
  <c r="B46" i="9"/>
  <c r="B44" i="9"/>
  <c r="B42" i="9"/>
  <c r="B40" i="9"/>
  <c r="B38" i="9"/>
  <c r="E199" i="6"/>
  <c r="D199" i="6"/>
  <c r="C199" i="6"/>
  <c r="A199" i="6"/>
  <c r="B99" i="9" l="1"/>
  <c r="C81" i="9"/>
  <c r="B81" i="9"/>
  <c r="B50" i="9"/>
  <c r="L198" i="6"/>
  <c r="K198" i="6"/>
  <c r="J198" i="6"/>
  <c r="H198" i="6"/>
  <c r="C48" i="9" l="1"/>
  <c r="C47" i="9"/>
  <c r="C45" i="9"/>
  <c r="C41" i="9"/>
  <c r="C40" i="9"/>
  <c r="C46" i="9"/>
  <c r="C39" i="9"/>
  <c r="C25" i="9"/>
  <c r="C18" i="9"/>
  <c r="C42" i="9"/>
  <c r="C38" i="9"/>
  <c r="C37" i="9"/>
  <c r="C44" i="9"/>
  <c r="C43" i="9"/>
  <c r="E198" i="6"/>
  <c r="D198" i="6"/>
  <c r="C198" i="6"/>
  <c r="A198" i="6"/>
  <c r="C50" i="9" l="1"/>
  <c r="C19" i="9"/>
  <c r="L197" i="6"/>
  <c r="K197" i="6"/>
  <c r="J197" i="6"/>
  <c r="H197" i="6"/>
  <c r="C20" i="9" l="1"/>
  <c r="C21" i="9" s="1"/>
  <c r="E197" i="6"/>
  <c r="D197" i="6"/>
  <c r="C197" i="6"/>
  <c r="A197" i="6"/>
  <c r="C30" i="9" l="1"/>
  <c r="C22" i="9"/>
  <c r="L196" i="6"/>
  <c r="K196" i="6"/>
  <c r="J196" i="6"/>
  <c r="H196" i="6"/>
  <c r="C23" i="9" l="1"/>
  <c r="E196" i="6"/>
  <c r="D196" i="6"/>
  <c r="C196" i="6"/>
  <c r="A196" i="6"/>
  <c r="C24" i="9" l="1"/>
  <c r="L195" i="6"/>
  <c r="K195" i="6"/>
  <c r="J195" i="6"/>
  <c r="H195" i="6"/>
  <c r="C27" i="9" l="1"/>
  <c r="C29" i="9"/>
  <c r="E195" i="6"/>
  <c r="D195" i="6"/>
  <c r="C195" i="6"/>
  <c r="A195" i="6"/>
  <c r="C31" i="9" l="1"/>
  <c r="D25" i="9"/>
  <c r="H25" i="9" s="1"/>
  <c r="D18" i="9"/>
  <c r="H18" i="9" s="1"/>
  <c r="D19" i="9"/>
  <c r="H19" i="9" s="1"/>
  <c r="D21" i="9"/>
  <c r="H21" i="9" s="1"/>
  <c r="D20" i="9"/>
  <c r="H20" i="9" s="1"/>
  <c r="D22" i="9"/>
  <c r="H22" i="9" s="1"/>
  <c r="D23" i="9"/>
  <c r="H23" i="9" s="1"/>
  <c r="D24" i="9"/>
  <c r="H24" i="9" s="1"/>
  <c r="L194" i="6"/>
  <c r="K194" i="6"/>
  <c r="J194" i="6"/>
  <c r="H194" i="6"/>
  <c r="D30" i="9" l="1"/>
  <c r="H30" i="9" s="1"/>
  <c r="D29" i="9"/>
  <c r="H29" i="9" s="1"/>
  <c r="D27" i="9"/>
  <c r="H27" i="9" s="1"/>
  <c r="E194" i="6"/>
  <c r="D194" i="6"/>
  <c r="C194" i="6"/>
  <c r="L193" i="6"/>
  <c r="K193" i="6"/>
  <c r="J193" i="6"/>
  <c r="E193" i="6"/>
  <c r="D193" i="6"/>
  <c r="C193" i="6"/>
  <c r="L192" i="6"/>
  <c r="K192" i="6"/>
  <c r="J192" i="6"/>
  <c r="E192" i="6"/>
  <c r="D192" i="6"/>
  <c r="C192" i="6"/>
  <c r="L191" i="6"/>
  <c r="K191" i="6"/>
  <c r="J191" i="6"/>
  <c r="E191" i="6"/>
  <c r="D191" i="6"/>
  <c r="C191" i="6"/>
  <c r="L190" i="6"/>
  <c r="K190" i="6"/>
  <c r="J190" i="6"/>
  <c r="E190" i="6"/>
  <c r="D190" i="6"/>
  <c r="C190" i="6"/>
  <c r="L183" i="6"/>
  <c r="K183" i="6"/>
  <c r="J183" i="6"/>
  <c r="E183" i="6"/>
  <c r="D183" i="6"/>
  <c r="C183" i="6"/>
  <c r="L182" i="6"/>
  <c r="K182" i="6"/>
  <c r="J182" i="6"/>
  <c r="E182" i="6"/>
  <c r="D182" i="6"/>
  <c r="C182" i="6"/>
  <c r="L181" i="6"/>
  <c r="K181" i="6"/>
  <c r="J181" i="6"/>
  <c r="E181" i="6"/>
  <c r="D181" i="6"/>
  <c r="C181" i="6"/>
  <c r="L180" i="6"/>
  <c r="K180" i="6"/>
  <c r="J180" i="6"/>
  <c r="E180" i="6"/>
  <c r="D180" i="6"/>
  <c r="C180" i="6"/>
  <c r="L179" i="6"/>
  <c r="K179" i="6"/>
  <c r="J179" i="6"/>
  <c r="E179" i="6"/>
  <c r="D179" i="6"/>
  <c r="C179" i="6"/>
  <c r="L178" i="6"/>
  <c r="K178" i="6"/>
  <c r="J178" i="6"/>
  <c r="E178" i="6"/>
  <c r="D178" i="6"/>
  <c r="C178" i="6"/>
  <c r="L177" i="6"/>
  <c r="K177" i="6"/>
  <c r="J177" i="6"/>
  <c r="E177" i="6"/>
  <c r="D177" i="6"/>
  <c r="C177" i="6"/>
  <c r="L176" i="6"/>
  <c r="K176" i="6"/>
  <c r="J176" i="6"/>
  <c r="E176" i="6"/>
  <c r="D176" i="6"/>
  <c r="C176" i="6"/>
  <c r="L175" i="6"/>
  <c r="K175" i="6"/>
  <c r="J175" i="6"/>
  <c r="E175" i="6"/>
  <c r="D175" i="6"/>
  <c r="C175" i="6"/>
  <c r="L174" i="6"/>
  <c r="K174" i="6"/>
  <c r="J174" i="6"/>
  <c r="E174" i="6"/>
  <c r="D174" i="6"/>
  <c r="C174" i="6"/>
  <c r="E152" i="6"/>
  <c r="D152" i="6"/>
  <c r="C152" i="6"/>
  <c r="E151" i="6"/>
  <c r="D151" i="6"/>
  <c r="C151" i="6"/>
  <c r="E150" i="6"/>
  <c r="D150" i="6"/>
  <c r="C150" i="6"/>
  <c r="E149" i="6"/>
  <c r="D149" i="6"/>
  <c r="C149" i="6"/>
  <c r="L141" i="6"/>
  <c r="K141" i="6"/>
  <c r="J141" i="6"/>
  <c r="H192" i="6"/>
  <c r="A179" i="6"/>
  <c r="A181" i="6"/>
  <c r="A174" i="6"/>
  <c r="H193" i="6"/>
  <c r="A192" i="6"/>
  <c r="A177" i="6"/>
  <c r="A175" i="6"/>
  <c r="H180" i="6"/>
  <c r="A178" i="6"/>
  <c r="A180" i="6"/>
  <c r="A183" i="6"/>
  <c r="H191" i="6"/>
  <c r="H178" i="6"/>
  <c r="A190" i="6"/>
  <c r="A182" i="6"/>
  <c r="H181" i="6"/>
  <c r="A193" i="6"/>
  <c r="H174" i="6"/>
  <c r="H175" i="6"/>
  <c r="H179" i="6"/>
  <c r="A191" i="6"/>
  <c r="H190" i="6"/>
  <c r="H182" i="6"/>
  <c r="H177" i="6"/>
  <c r="A194" i="6"/>
  <c r="A176" i="6"/>
  <c r="H141" i="6"/>
  <c r="H176" i="6"/>
  <c r="H183" i="6"/>
  <c r="F149" i="6" l="1"/>
  <c r="F150" i="6"/>
  <c r="F152" i="6"/>
  <c r="F151" i="6"/>
  <c r="C154" i="6"/>
  <c r="D154" i="6"/>
  <c r="E154" i="6"/>
  <c r="E141" i="6"/>
  <c r="D141" i="6"/>
  <c r="C141" i="6"/>
  <c r="A141" i="6"/>
  <c r="F154" i="6" l="1"/>
  <c r="E165" i="6" s="1"/>
  <c r="L140" i="6"/>
  <c r="K140" i="6"/>
  <c r="J140" i="6"/>
  <c r="H140" i="6"/>
  <c r="C166" i="6" l="1"/>
  <c r="D166" i="6"/>
  <c r="D163" i="6"/>
  <c r="C165" i="6"/>
  <c r="C163" i="6"/>
  <c r="E166" i="6"/>
  <c r="E164" i="6"/>
  <c r="C164" i="6"/>
  <c r="E163" i="6"/>
  <c r="D164" i="6"/>
  <c r="D165" i="6"/>
  <c r="E140" i="6"/>
  <c r="D140" i="6"/>
  <c r="C140" i="6"/>
  <c r="A140" i="6"/>
  <c r="F166" i="6" l="1"/>
  <c r="F163" i="6"/>
  <c r="C168" i="6"/>
  <c r="F165" i="6"/>
  <c r="F164" i="6"/>
  <c r="D168" i="6"/>
  <c r="L139" i="6"/>
  <c r="K139" i="6"/>
  <c r="J139" i="6"/>
  <c r="E139" i="6"/>
  <c r="D139" i="6"/>
  <c r="C139" i="6"/>
  <c r="L138" i="6"/>
  <c r="K138" i="6"/>
  <c r="J138" i="6"/>
  <c r="E138" i="6"/>
  <c r="D138" i="6"/>
  <c r="C138" i="6"/>
  <c r="L137" i="6"/>
  <c r="K137" i="6"/>
  <c r="J137" i="6"/>
  <c r="E137" i="6"/>
  <c r="D137" i="6"/>
  <c r="C137" i="6"/>
  <c r="L136" i="6"/>
  <c r="K136" i="6"/>
  <c r="J136" i="6"/>
  <c r="E136" i="6"/>
  <c r="D136" i="6"/>
  <c r="C136" i="6"/>
  <c r="L135" i="6"/>
  <c r="K135" i="6"/>
  <c r="J135" i="6"/>
  <c r="E135" i="6"/>
  <c r="D135" i="6"/>
  <c r="C135" i="6"/>
  <c r="L134" i="6"/>
  <c r="K134" i="6"/>
  <c r="J134" i="6"/>
  <c r="E134" i="6"/>
  <c r="D134" i="6"/>
  <c r="C134" i="6"/>
  <c r="L133" i="6"/>
  <c r="K133" i="6"/>
  <c r="J133" i="6"/>
  <c r="E133" i="6"/>
  <c r="D133" i="6"/>
  <c r="C133" i="6"/>
  <c r="L132" i="6"/>
  <c r="K132" i="6"/>
  <c r="J132" i="6"/>
  <c r="E132" i="6"/>
  <c r="D132" i="6"/>
  <c r="C132" i="6"/>
  <c r="L125" i="6"/>
  <c r="K125" i="6"/>
  <c r="J125" i="6"/>
  <c r="E125" i="6"/>
  <c r="D125" i="6"/>
  <c r="C125" i="6"/>
  <c r="L124" i="6"/>
  <c r="K124" i="6"/>
  <c r="J124" i="6"/>
  <c r="E124" i="6"/>
  <c r="D124" i="6"/>
  <c r="C124" i="6"/>
  <c r="L123" i="6"/>
  <c r="K123" i="6"/>
  <c r="J123" i="6"/>
  <c r="E123" i="6"/>
  <c r="D123" i="6"/>
  <c r="C123" i="6"/>
  <c r="L122" i="6"/>
  <c r="K122" i="6"/>
  <c r="J122" i="6"/>
  <c r="E122" i="6"/>
  <c r="D122" i="6"/>
  <c r="C122" i="6"/>
  <c r="L121" i="6"/>
  <c r="K121" i="6"/>
  <c r="J121" i="6"/>
  <c r="E121" i="6"/>
  <c r="D121" i="6"/>
  <c r="C121" i="6"/>
  <c r="L120" i="6"/>
  <c r="K120" i="6"/>
  <c r="J120" i="6"/>
  <c r="E120" i="6"/>
  <c r="D120" i="6"/>
  <c r="C120" i="6"/>
  <c r="L119" i="6"/>
  <c r="K119" i="6"/>
  <c r="J119" i="6"/>
  <c r="E119" i="6"/>
  <c r="D119" i="6"/>
  <c r="C119" i="6"/>
  <c r="L118" i="6"/>
  <c r="K118" i="6"/>
  <c r="J118" i="6"/>
  <c r="E118" i="6"/>
  <c r="D118" i="6"/>
  <c r="C118" i="6"/>
  <c r="L117" i="6"/>
  <c r="K117" i="6"/>
  <c r="J117" i="6"/>
  <c r="E117" i="6"/>
  <c r="D117" i="6"/>
  <c r="C117" i="6"/>
  <c r="L116" i="6"/>
  <c r="K116" i="6"/>
  <c r="J116" i="6"/>
  <c r="E116" i="6"/>
  <c r="D116" i="6"/>
  <c r="C116" i="6"/>
  <c r="E93" i="6"/>
  <c r="D93" i="6"/>
  <c r="C93" i="6"/>
  <c r="E92" i="6"/>
  <c r="D92" i="6"/>
  <c r="C92" i="6"/>
  <c r="E91" i="6"/>
  <c r="D91" i="6"/>
  <c r="C91" i="6"/>
  <c r="E90" i="6"/>
  <c r="D90" i="6"/>
  <c r="C90" i="6"/>
  <c r="R79" i="6"/>
  <c r="Q79" i="6"/>
  <c r="P79" i="6"/>
  <c r="O79" i="6"/>
  <c r="N79" i="6"/>
  <c r="M79" i="6"/>
  <c r="L79" i="6"/>
  <c r="K79" i="6"/>
  <c r="J79" i="6"/>
  <c r="I79" i="6"/>
  <c r="H79" i="6"/>
  <c r="G79" i="6"/>
  <c r="F79" i="6"/>
  <c r="E79" i="6"/>
  <c r="D79" i="6"/>
  <c r="C79" i="6"/>
  <c r="B79" i="6"/>
  <c r="R77" i="6"/>
  <c r="Q77" i="6"/>
  <c r="P77" i="6"/>
  <c r="O77" i="6"/>
  <c r="N77" i="6"/>
  <c r="M77" i="6"/>
  <c r="L77" i="6"/>
  <c r="K77" i="6"/>
  <c r="J77" i="6"/>
  <c r="I77" i="6"/>
  <c r="H77" i="6"/>
  <c r="G77" i="6"/>
  <c r="F77" i="6"/>
  <c r="E77" i="6"/>
  <c r="D77" i="6"/>
  <c r="C77" i="6"/>
  <c r="B77" i="6"/>
  <c r="R75" i="6"/>
  <c r="Q75" i="6"/>
  <c r="P75" i="6"/>
  <c r="O75" i="6"/>
  <c r="N75" i="6"/>
  <c r="M75" i="6"/>
  <c r="L75" i="6"/>
  <c r="K75" i="6"/>
  <c r="J75" i="6"/>
  <c r="I75" i="6"/>
  <c r="H75" i="6"/>
  <c r="G75" i="6"/>
  <c r="F75" i="6"/>
  <c r="E75" i="6"/>
  <c r="D75" i="6"/>
  <c r="C75" i="6"/>
  <c r="B75" i="6"/>
  <c r="R74" i="6"/>
  <c r="Q74" i="6"/>
  <c r="P74" i="6"/>
  <c r="O74" i="6"/>
  <c r="N74" i="6"/>
  <c r="M74" i="6"/>
  <c r="L74" i="6"/>
  <c r="K74" i="6"/>
  <c r="J74" i="6"/>
  <c r="I74" i="6"/>
  <c r="H74" i="6"/>
  <c r="G74" i="6"/>
  <c r="F74" i="6"/>
  <c r="E74" i="6"/>
  <c r="D74" i="6"/>
  <c r="C74" i="6"/>
  <c r="B74" i="6"/>
  <c r="R72" i="6"/>
  <c r="Q72" i="6"/>
  <c r="P72" i="6"/>
  <c r="O72" i="6"/>
  <c r="N72" i="6"/>
  <c r="M72" i="6"/>
  <c r="L72" i="6"/>
  <c r="K72" i="6"/>
  <c r="J72" i="6"/>
  <c r="I72" i="6"/>
  <c r="H72" i="6"/>
  <c r="G72" i="6"/>
  <c r="F72" i="6"/>
  <c r="E72" i="6"/>
  <c r="D72" i="6"/>
  <c r="C72" i="6"/>
  <c r="B72" i="6"/>
  <c r="R71" i="6"/>
  <c r="Q71" i="6"/>
  <c r="P71" i="6"/>
  <c r="O71" i="6"/>
  <c r="N71" i="6"/>
  <c r="M71" i="6"/>
  <c r="L71" i="6"/>
  <c r="K71" i="6"/>
  <c r="J71" i="6"/>
  <c r="I71" i="6"/>
  <c r="H71" i="6"/>
  <c r="G71" i="6"/>
  <c r="F71" i="6"/>
  <c r="E71" i="6"/>
  <c r="D71" i="6"/>
  <c r="C71" i="6"/>
  <c r="B71" i="6"/>
  <c r="R67" i="6"/>
  <c r="Q67" i="6"/>
  <c r="P67" i="6"/>
  <c r="O67" i="6"/>
  <c r="N67" i="6"/>
  <c r="M67" i="6"/>
  <c r="L67" i="6"/>
  <c r="K67" i="6"/>
  <c r="J67" i="6"/>
  <c r="I67" i="6"/>
  <c r="H67" i="6"/>
  <c r="G67" i="6"/>
  <c r="F67" i="6"/>
  <c r="E67" i="6"/>
  <c r="D67" i="6"/>
  <c r="C67" i="6"/>
  <c r="B67" i="6"/>
  <c r="R66" i="6"/>
  <c r="Q66" i="6"/>
  <c r="P66" i="6"/>
  <c r="O66" i="6"/>
  <c r="N66" i="6"/>
  <c r="M66" i="6"/>
  <c r="L66" i="6"/>
  <c r="K66" i="6"/>
  <c r="J66" i="6"/>
  <c r="I66" i="6"/>
  <c r="H66" i="6"/>
  <c r="G66" i="6"/>
  <c r="F66" i="6"/>
  <c r="E66" i="6"/>
  <c r="D66" i="6"/>
  <c r="C66" i="6"/>
  <c r="B66" i="6"/>
  <c r="R64" i="6"/>
  <c r="Q64" i="6"/>
  <c r="P64" i="6"/>
  <c r="O64" i="6"/>
  <c r="N64" i="6"/>
  <c r="M64" i="6"/>
  <c r="L64" i="6"/>
  <c r="K64" i="6"/>
  <c r="J64" i="6"/>
  <c r="I64" i="6"/>
  <c r="H64" i="6"/>
  <c r="G64" i="6"/>
  <c r="F64" i="6"/>
  <c r="E64" i="6"/>
  <c r="D64" i="6"/>
  <c r="C64" i="6"/>
  <c r="B64" i="6"/>
  <c r="R63" i="6"/>
  <c r="Q63" i="6"/>
  <c r="P63" i="6"/>
  <c r="O63" i="6"/>
  <c r="N63" i="6"/>
  <c r="M63" i="6"/>
  <c r="L63" i="6"/>
  <c r="K63" i="6"/>
  <c r="J63" i="6"/>
  <c r="I63" i="6"/>
  <c r="H63" i="6"/>
  <c r="G63" i="6"/>
  <c r="F63" i="6"/>
  <c r="E63" i="6"/>
  <c r="D63" i="6"/>
  <c r="B63" i="6"/>
  <c r="R59" i="6"/>
  <c r="Q59" i="6"/>
  <c r="P59" i="6"/>
  <c r="O59" i="6"/>
  <c r="N59" i="6"/>
  <c r="M59" i="6"/>
  <c r="L59" i="6"/>
  <c r="K59" i="6"/>
  <c r="J59" i="6"/>
  <c r="I59" i="6"/>
  <c r="H59" i="6"/>
  <c r="G59" i="6"/>
  <c r="F59" i="6"/>
  <c r="E59" i="6"/>
  <c r="D59" i="6"/>
  <c r="C59" i="6"/>
  <c r="B59" i="6"/>
  <c r="R58" i="6"/>
  <c r="Q58" i="6"/>
  <c r="P58" i="6"/>
  <c r="O58" i="6"/>
  <c r="N58" i="6"/>
  <c r="M58" i="6"/>
  <c r="L58" i="6"/>
  <c r="K58" i="6"/>
  <c r="J58" i="6"/>
  <c r="I58" i="6"/>
  <c r="H58" i="6"/>
  <c r="G58" i="6"/>
  <c r="F58" i="6"/>
  <c r="E58" i="6"/>
  <c r="D58" i="6"/>
  <c r="C58" i="6"/>
  <c r="B58" i="6"/>
  <c r="F50" i="6"/>
  <c r="F49" i="6"/>
  <c r="E48" i="6"/>
  <c r="D48" i="6"/>
  <c r="C48" i="6"/>
  <c r="B48" i="6"/>
  <c r="F48" i="6" s="1"/>
  <c r="E46" i="6"/>
  <c r="D46" i="6"/>
  <c r="C46" i="6"/>
  <c r="B46" i="6"/>
  <c r="E45" i="6"/>
  <c r="D45" i="6"/>
  <c r="C45" i="6"/>
  <c r="B45" i="6"/>
  <c r="E42" i="6"/>
  <c r="D42" i="6"/>
  <c r="C42" i="6"/>
  <c r="B42" i="6"/>
  <c r="E41" i="6"/>
  <c r="D41" i="6"/>
  <c r="C41" i="6"/>
  <c r="B41" i="6"/>
  <c r="C27" i="6"/>
  <c r="J11" i="9" s="1"/>
  <c r="B27" i="6"/>
  <c r="C26" i="6"/>
  <c r="B26" i="6"/>
  <c r="C25" i="6"/>
  <c r="B25" i="6"/>
  <c r="C23" i="6"/>
  <c r="B23" i="6"/>
  <c r="C22" i="6"/>
  <c r="B22" i="6"/>
  <c r="C21" i="6"/>
  <c r="B21" i="6"/>
  <c r="C19" i="6"/>
  <c r="B52" i="9" s="1"/>
  <c r="B19" i="6"/>
  <c r="B12" i="6"/>
  <c r="C12" i="19" s="1"/>
  <c r="B11" i="6"/>
  <c r="C11" i="19" s="1"/>
  <c r="B10" i="6"/>
  <c r="C10" i="19" s="1"/>
  <c r="A121" i="6"/>
  <c r="A119" i="6"/>
  <c r="A124" i="6"/>
  <c r="H122" i="6"/>
  <c r="H121" i="6"/>
  <c r="H119" i="6"/>
  <c r="H120" i="6"/>
  <c r="H134" i="6"/>
  <c r="A122" i="6"/>
  <c r="H124" i="6"/>
  <c r="A132" i="6"/>
  <c r="H133" i="6"/>
  <c r="H117" i="6"/>
  <c r="A133" i="6"/>
  <c r="A116" i="6"/>
  <c r="H138" i="6"/>
  <c r="A137" i="6"/>
  <c r="H123" i="6"/>
  <c r="H137" i="6"/>
  <c r="H116" i="6"/>
  <c r="A135" i="6"/>
  <c r="A117" i="6"/>
  <c r="A125" i="6"/>
  <c r="A120" i="6"/>
  <c r="A118" i="6"/>
  <c r="A134" i="6"/>
  <c r="H118" i="6"/>
  <c r="H135" i="6"/>
  <c r="A123" i="6"/>
  <c r="H139" i="6"/>
  <c r="H136" i="6"/>
  <c r="A136" i="6"/>
  <c r="A138" i="6"/>
  <c r="H132" i="6"/>
  <c r="A139" i="6"/>
  <c r="H125" i="6"/>
  <c r="B70" i="6" l="1"/>
  <c r="E40" i="6"/>
  <c r="E44" i="6"/>
  <c r="D44" i="6"/>
  <c r="D40" i="6"/>
  <c r="O65" i="6"/>
  <c r="F168" i="6"/>
  <c r="J10" i="9"/>
  <c r="K10" i="9" s="1"/>
  <c r="L70" i="6"/>
  <c r="B73" i="6"/>
  <c r="F73" i="6"/>
  <c r="J73" i="6"/>
  <c r="N73" i="6"/>
  <c r="R73" i="6"/>
  <c r="C40" i="6"/>
  <c r="F70" i="6"/>
  <c r="J70" i="6"/>
  <c r="N70" i="6"/>
  <c r="D73" i="6"/>
  <c r="H73" i="6"/>
  <c r="L73" i="6"/>
  <c r="P73" i="6"/>
  <c r="K73" i="6"/>
  <c r="O73" i="6"/>
  <c r="Q65" i="6"/>
  <c r="C44" i="6"/>
  <c r="E65" i="6"/>
  <c r="I65" i="6"/>
  <c r="M65" i="6"/>
  <c r="E62" i="6"/>
  <c r="I62" i="6"/>
  <c r="M62" i="6"/>
  <c r="Q62" i="6"/>
  <c r="M73" i="6"/>
  <c r="Q73" i="6"/>
  <c r="N57" i="6"/>
  <c r="E70" i="6"/>
  <c r="I70" i="6"/>
  <c r="M70" i="6"/>
  <c r="Q70" i="6"/>
  <c r="C73" i="6"/>
  <c r="G73" i="6"/>
  <c r="H65" i="6"/>
  <c r="P65" i="6"/>
  <c r="C62" i="6"/>
  <c r="G62" i="6"/>
  <c r="K62" i="6"/>
  <c r="O62" i="6"/>
  <c r="F62" i="6"/>
  <c r="R62" i="6"/>
  <c r="C65" i="6"/>
  <c r="G65" i="6"/>
  <c r="K65" i="6"/>
  <c r="D70" i="6"/>
  <c r="H70" i="6"/>
  <c r="P70" i="6"/>
  <c r="B20" i="6"/>
  <c r="B24" i="6"/>
  <c r="S67" i="6"/>
  <c r="B57" i="6"/>
  <c r="F57" i="6"/>
  <c r="J57" i="6"/>
  <c r="R57" i="6"/>
  <c r="B62" i="6"/>
  <c r="J62" i="6"/>
  <c r="N62" i="6"/>
  <c r="D65" i="6"/>
  <c r="L65" i="6"/>
  <c r="C70" i="6"/>
  <c r="G70" i="6"/>
  <c r="K70" i="6"/>
  <c r="O70" i="6"/>
  <c r="O69" i="6" s="1"/>
  <c r="E73" i="6"/>
  <c r="I73" i="6"/>
  <c r="G26" i="10"/>
  <c r="D26" i="10"/>
  <c r="E57" i="6"/>
  <c r="I57" i="6"/>
  <c r="M57" i="6"/>
  <c r="Q57" i="6"/>
  <c r="R70" i="6"/>
  <c r="S79" i="6"/>
  <c r="F91" i="6"/>
  <c r="S71" i="6"/>
  <c r="D57" i="6"/>
  <c r="H57" i="6"/>
  <c r="L57" i="6"/>
  <c r="P57" i="6"/>
  <c r="F90" i="6"/>
  <c r="S66" i="6"/>
  <c r="F65" i="6"/>
  <c r="J65" i="6"/>
  <c r="N65" i="6"/>
  <c r="R65" i="6"/>
  <c r="F41" i="6"/>
  <c r="F42" i="6"/>
  <c r="S58" i="6"/>
  <c r="H7" i="9" s="1"/>
  <c r="S63" i="6"/>
  <c r="S74" i="6"/>
  <c r="F45" i="6"/>
  <c r="F46" i="6"/>
  <c r="S64" i="6"/>
  <c r="S75" i="6"/>
  <c r="F93" i="6"/>
  <c r="S59" i="6"/>
  <c r="I7" i="9" s="1"/>
  <c r="G57" i="6"/>
  <c r="K57" i="6"/>
  <c r="O57" i="6"/>
  <c r="D62" i="6"/>
  <c r="H62" i="6"/>
  <c r="L62" i="6"/>
  <c r="P62" i="6"/>
  <c r="S72" i="6"/>
  <c r="S77" i="6"/>
  <c r="F92" i="6"/>
  <c r="C28" i="9"/>
  <c r="D155" i="6"/>
  <c r="C155" i="6"/>
  <c r="K11" i="9"/>
  <c r="B44" i="6"/>
  <c r="B65" i="6"/>
  <c r="C95" i="6"/>
  <c r="C96" i="6" s="1"/>
  <c r="B40" i="6"/>
  <c r="C57" i="6"/>
  <c r="D95" i="6"/>
  <c r="D96" i="6" s="1"/>
  <c r="A3" i="9"/>
  <c r="D16" i="9"/>
  <c r="G16" i="9" s="1"/>
  <c r="A23" i="14"/>
  <c r="A49" i="14" s="1"/>
  <c r="C13" i="19"/>
  <c r="C17" i="19" s="1"/>
  <c r="G17" i="19" s="1"/>
  <c r="E5" i="9"/>
  <c r="E95" i="6"/>
  <c r="C20" i="6"/>
  <c r="C24" i="6"/>
  <c r="K69" i="6" l="1"/>
  <c r="BH181" i="1"/>
  <c r="BJ181" i="1"/>
  <c r="BB181" i="1"/>
  <c r="BH180" i="1"/>
  <c r="BJ180" i="1"/>
  <c r="BB180" i="1"/>
  <c r="BJ179" i="1"/>
  <c r="BH179" i="1"/>
  <c r="BB179" i="1"/>
  <c r="BJ178" i="1"/>
  <c r="BB178" i="1"/>
  <c r="BH178" i="1"/>
  <c r="BB177" i="1"/>
  <c r="BH177" i="1"/>
  <c r="BJ177" i="1"/>
  <c r="BB176" i="1"/>
  <c r="BH176" i="1"/>
  <c r="BJ176" i="1"/>
  <c r="BB175" i="1"/>
  <c r="BH175" i="1"/>
  <c r="BJ175" i="1"/>
  <c r="BH174" i="1"/>
  <c r="BJ174" i="1"/>
  <c r="BB174" i="1"/>
  <c r="BB173" i="1"/>
  <c r="BH173" i="1"/>
  <c r="BJ173" i="1"/>
  <c r="BB172" i="1"/>
  <c r="BJ172" i="1"/>
  <c r="BH172" i="1"/>
  <c r="BB171" i="1"/>
  <c r="BJ171" i="1"/>
  <c r="BH171" i="1"/>
  <c r="BB170" i="1"/>
  <c r="BH170" i="1"/>
  <c r="BJ170" i="1"/>
  <c r="BJ169" i="1"/>
  <c r="BH169" i="1"/>
  <c r="BB169" i="1"/>
  <c r="BJ168" i="1"/>
  <c r="BH168" i="1"/>
  <c r="BB168" i="1"/>
  <c r="BB167" i="1"/>
  <c r="BH167" i="1"/>
  <c r="BJ167" i="1"/>
  <c r="BB166" i="1"/>
  <c r="BJ166" i="1"/>
  <c r="BH166" i="1"/>
  <c r="BH165" i="1"/>
  <c r="BJ165" i="1"/>
  <c r="BB165" i="1"/>
  <c r="BJ164" i="1"/>
  <c r="BB164" i="1"/>
  <c r="BH164" i="1"/>
  <c r="BJ163" i="1"/>
  <c r="BH163" i="1"/>
  <c r="BB163" i="1"/>
  <c r="BJ162" i="1"/>
  <c r="BH162" i="1"/>
  <c r="BB162" i="1"/>
  <c r="BH161" i="1"/>
  <c r="BJ161" i="1"/>
  <c r="BB161" i="1"/>
  <c r="BJ160" i="1"/>
  <c r="BB160" i="1"/>
  <c r="BH160" i="1"/>
  <c r="BJ159" i="1"/>
  <c r="BH159" i="1"/>
  <c r="BB159" i="1"/>
  <c r="BB158" i="1"/>
  <c r="BH158" i="1"/>
  <c r="BJ158" i="1"/>
  <c r="BJ157" i="1"/>
  <c r="BH157" i="1"/>
  <c r="BB157" i="1"/>
  <c r="BH156" i="1"/>
  <c r="BJ156" i="1"/>
  <c r="BB156" i="1"/>
  <c r="BH155" i="1"/>
  <c r="BJ155" i="1"/>
  <c r="BB155" i="1"/>
  <c r="BH154" i="1"/>
  <c r="BJ154" i="1"/>
  <c r="BB154" i="1"/>
  <c r="BB153" i="1"/>
  <c r="BJ153" i="1"/>
  <c r="BH153" i="1"/>
  <c r="BB152" i="1"/>
  <c r="BJ152" i="1"/>
  <c r="BH152" i="1"/>
  <c r="BJ151" i="1"/>
  <c r="BB151" i="1"/>
  <c r="BH151" i="1"/>
  <c r="BB150" i="1"/>
  <c r="BH150" i="1"/>
  <c r="BJ150" i="1"/>
  <c r="BB149" i="1"/>
  <c r="BJ149" i="1"/>
  <c r="BH149" i="1"/>
  <c r="BJ148" i="1"/>
  <c r="BH148" i="1"/>
  <c r="BB148" i="1"/>
  <c r="BJ147" i="1"/>
  <c r="BH147" i="1"/>
  <c r="BB147" i="1"/>
  <c r="BB146" i="1"/>
  <c r="BJ146" i="1"/>
  <c r="BH146" i="1"/>
  <c r="BJ145" i="1"/>
  <c r="BH145" i="1"/>
  <c r="BB145" i="1"/>
  <c r="BB144" i="1"/>
  <c r="BJ144" i="1"/>
  <c r="BH144" i="1"/>
  <c r="BB143" i="1"/>
  <c r="BH143" i="1"/>
  <c r="BJ143" i="1"/>
  <c r="BB142" i="1"/>
  <c r="BJ142" i="1"/>
  <c r="BH142" i="1"/>
  <c r="BB141" i="1"/>
  <c r="BH141" i="1"/>
  <c r="BJ141" i="1"/>
  <c r="BB140" i="1"/>
  <c r="BH140" i="1"/>
  <c r="BJ140" i="1"/>
  <c r="BB139" i="1"/>
  <c r="BJ139" i="1"/>
  <c r="BH139" i="1"/>
  <c r="BJ138" i="1"/>
  <c r="BH138" i="1"/>
  <c r="BB138" i="1"/>
  <c r="BB137" i="1"/>
  <c r="BJ137" i="1"/>
  <c r="BH137" i="1"/>
  <c r="BB136" i="1"/>
  <c r="BJ136" i="1"/>
  <c r="BH136" i="1"/>
  <c r="BB135" i="1"/>
  <c r="BJ135" i="1"/>
  <c r="BH135" i="1"/>
  <c r="BB134" i="1"/>
  <c r="BJ134" i="1"/>
  <c r="BH134" i="1"/>
  <c r="BH133" i="1"/>
  <c r="BJ133" i="1"/>
  <c r="BB133" i="1"/>
  <c r="BB132" i="1"/>
  <c r="BH132" i="1"/>
  <c r="BJ132" i="1"/>
  <c r="BB131" i="1"/>
  <c r="BH131" i="1"/>
  <c r="BJ131" i="1"/>
  <c r="BJ130" i="1"/>
  <c r="BB130" i="1"/>
  <c r="BH130" i="1"/>
  <c r="BB129" i="1"/>
  <c r="BH129" i="1"/>
  <c r="BJ129" i="1"/>
  <c r="BB128" i="1"/>
  <c r="BJ128" i="1"/>
  <c r="BH128" i="1"/>
  <c r="BB126" i="1"/>
  <c r="BJ126" i="1"/>
  <c r="BH126" i="1"/>
  <c r="BJ125" i="1"/>
  <c r="BH125" i="1"/>
  <c r="BB125" i="1"/>
  <c r="BB124" i="1"/>
  <c r="BH124" i="1"/>
  <c r="BJ124" i="1"/>
  <c r="BB123" i="1"/>
  <c r="BJ123" i="1"/>
  <c r="BH123" i="1"/>
  <c r="BB122" i="1"/>
  <c r="BJ122" i="1"/>
  <c r="BH122" i="1"/>
  <c r="BB121" i="1"/>
  <c r="BJ121" i="1"/>
  <c r="BH121" i="1"/>
  <c r="BB120" i="1"/>
  <c r="BJ120" i="1"/>
  <c r="BH120" i="1"/>
  <c r="BJ119" i="1"/>
  <c r="BH119" i="1"/>
  <c r="BB119" i="1"/>
  <c r="BB118" i="1"/>
  <c r="BJ118" i="1"/>
  <c r="BH118" i="1"/>
  <c r="BB117" i="1"/>
  <c r="BJ117" i="1"/>
  <c r="BH117" i="1"/>
  <c r="BB116" i="1"/>
  <c r="BJ116" i="1"/>
  <c r="BH116" i="1"/>
  <c r="BB115" i="1"/>
  <c r="BJ115" i="1"/>
  <c r="BH115" i="1"/>
  <c r="BB114" i="1"/>
  <c r="BJ114" i="1"/>
  <c r="BH114" i="1"/>
  <c r="BB113" i="1"/>
  <c r="BH113" i="1"/>
  <c r="BJ113" i="1"/>
  <c r="BB112" i="1"/>
  <c r="BJ112" i="1"/>
  <c r="BH112" i="1"/>
  <c r="BJ111" i="1"/>
  <c r="BH111" i="1"/>
  <c r="BB111" i="1"/>
  <c r="BB110" i="1"/>
  <c r="BJ110" i="1"/>
  <c r="BH110" i="1"/>
  <c r="BB109" i="1"/>
  <c r="BJ109" i="1"/>
  <c r="BH109" i="1"/>
  <c r="BB108" i="1"/>
  <c r="BJ108" i="1"/>
  <c r="BH108" i="1"/>
  <c r="BB107" i="1"/>
  <c r="BH107" i="1"/>
  <c r="BJ107" i="1"/>
  <c r="BB106" i="1"/>
  <c r="BJ106" i="1"/>
  <c r="BH106" i="1"/>
  <c r="BB105" i="1"/>
  <c r="BJ105" i="1"/>
  <c r="BH105" i="1"/>
  <c r="BB104" i="1"/>
  <c r="BJ104" i="1"/>
  <c r="BH104" i="1"/>
  <c r="BJ103" i="1"/>
  <c r="BB103" i="1"/>
  <c r="BH103" i="1"/>
  <c r="BB102" i="1"/>
  <c r="BH102" i="1"/>
  <c r="BJ102" i="1"/>
  <c r="BB101" i="1"/>
  <c r="BJ101" i="1"/>
  <c r="BH101" i="1"/>
  <c r="BB100" i="1"/>
  <c r="BH100" i="1"/>
  <c r="BJ100" i="1"/>
  <c r="BB99" i="1"/>
  <c r="BH99" i="1"/>
  <c r="BJ99" i="1"/>
  <c r="BJ98" i="1"/>
  <c r="BH98" i="1"/>
  <c r="BB98" i="1"/>
  <c r="BB97" i="1"/>
  <c r="BH97" i="1"/>
  <c r="BJ97" i="1"/>
  <c r="BB96" i="1"/>
  <c r="BJ96" i="1"/>
  <c r="BH96" i="1"/>
  <c r="BB95" i="1"/>
  <c r="BH95" i="1"/>
  <c r="BJ95" i="1"/>
  <c r="BB94" i="1"/>
  <c r="BH94" i="1"/>
  <c r="BJ94" i="1"/>
  <c r="BB93" i="1"/>
  <c r="BJ93" i="1"/>
  <c r="BH93" i="1"/>
  <c r="BB92" i="1"/>
  <c r="BH92" i="1"/>
  <c r="BJ92" i="1"/>
  <c r="BB91" i="1"/>
  <c r="BJ91" i="1"/>
  <c r="BH91" i="1"/>
  <c r="BB90" i="1"/>
  <c r="BJ90" i="1"/>
  <c r="BH90" i="1"/>
  <c r="BB89" i="1"/>
  <c r="BJ89" i="1"/>
  <c r="BH89" i="1"/>
  <c r="BB88" i="1"/>
  <c r="BJ88" i="1"/>
  <c r="BH88" i="1"/>
  <c r="BB87" i="1"/>
  <c r="BJ87" i="1"/>
  <c r="BH87" i="1"/>
  <c r="BJ86" i="1"/>
  <c r="BH86" i="1"/>
  <c r="BB86" i="1"/>
  <c r="BB85" i="1"/>
  <c r="BJ85" i="1"/>
  <c r="BH85" i="1"/>
  <c r="BJ84" i="1"/>
  <c r="BB84" i="1"/>
  <c r="BH84" i="1"/>
  <c r="BB83" i="1"/>
  <c r="BJ83" i="1"/>
  <c r="BH83" i="1"/>
  <c r="BB82" i="1"/>
  <c r="BH82" i="1"/>
  <c r="BJ82" i="1"/>
  <c r="BB81" i="1"/>
  <c r="BH81" i="1"/>
  <c r="BJ81" i="1"/>
  <c r="BB80" i="1"/>
  <c r="BJ80" i="1"/>
  <c r="BH80" i="1"/>
  <c r="BB79" i="1"/>
  <c r="BJ79" i="1"/>
  <c r="BH79" i="1"/>
  <c r="BB78" i="1"/>
  <c r="BJ78" i="1"/>
  <c r="BH78" i="1"/>
  <c r="BH77" i="1"/>
  <c r="BJ77" i="1"/>
  <c r="BB77" i="1"/>
  <c r="BB76" i="1"/>
  <c r="BJ76" i="1"/>
  <c r="BH76" i="1"/>
  <c r="BB75" i="1"/>
  <c r="BH75" i="1"/>
  <c r="BJ75" i="1"/>
  <c r="BB74" i="1"/>
  <c r="BJ74" i="1"/>
  <c r="BH74" i="1"/>
  <c r="BB73" i="1"/>
  <c r="BJ73" i="1"/>
  <c r="BH73" i="1"/>
  <c r="BB72" i="1"/>
  <c r="BJ72" i="1"/>
  <c r="BH72" i="1"/>
  <c r="BB71" i="1"/>
  <c r="BH71" i="1"/>
  <c r="BJ71" i="1"/>
  <c r="BB70" i="1"/>
  <c r="BH70" i="1"/>
  <c r="BJ70" i="1"/>
  <c r="BB69" i="1"/>
  <c r="BJ69" i="1"/>
  <c r="BH69" i="1"/>
  <c r="BB68" i="1"/>
  <c r="BJ68" i="1"/>
  <c r="BH68" i="1"/>
  <c r="BB67" i="1"/>
  <c r="BJ67" i="1"/>
  <c r="BH67" i="1"/>
  <c r="BB66" i="1"/>
  <c r="BJ66" i="1"/>
  <c r="BH66" i="1"/>
  <c r="BB65" i="1"/>
  <c r="BJ65" i="1"/>
  <c r="BH65" i="1"/>
  <c r="BB64" i="1"/>
  <c r="BJ64" i="1"/>
  <c r="BH64" i="1"/>
  <c r="BH63" i="1"/>
  <c r="BJ63" i="1"/>
  <c r="BB63" i="1"/>
  <c r="BB62" i="1"/>
  <c r="BJ62" i="1"/>
  <c r="BH62" i="1"/>
  <c r="BB61" i="1"/>
  <c r="BJ61" i="1"/>
  <c r="BH61" i="1"/>
  <c r="BB60" i="1"/>
  <c r="BJ60" i="1"/>
  <c r="BH60" i="1"/>
  <c r="BJ59" i="1"/>
  <c r="BB59" i="1"/>
  <c r="BH59" i="1"/>
  <c r="BB58" i="1"/>
  <c r="BJ58" i="1"/>
  <c r="BH58" i="1"/>
  <c r="BB57" i="1"/>
  <c r="BH57" i="1"/>
  <c r="BJ57" i="1"/>
  <c r="BB56" i="1"/>
  <c r="BJ56" i="1"/>
  <c r="BH56" i="1"/>
  <c r="BB55" i="1"/>
  <c r="BJ55" i="1"/>
  <c r="BH55" i="1"/>
  <c r="BB54" i="1"/>
  <c r="BH54" i="1"/>
  <c r="BJ54" i="1"/>
  <c r="BB53" i="1"/>
  <c r="BH53" i="1"/>
  <c r="BJ53" i="1"/>
  <c r="BB52" i="1"/>
  <c r="BJ52" i="1"/>
  <c r="BH52" i="1"/>
  <c r="BB51" i="1"/>
  <c r="BH51" i="1"/>
  <c r="BJ51" i="1"/>
  <c r="BB50" i="1"/>
  <c r="BJ50" i="1"/>
  <c r="BH50" i="1"/>
  <c r="BB49" i="1"/>
  <c r="BJ49" i="1"/>
  <c r="BH49" i="1"/>
  <c r="BB48" i="1"/>
  <c r="BJ48" i="1"/>
  <c r="BH48" i="1"/>
  <c r="BH47" i="1"/>
  <c r="BJ47" i="1"/>
  <c r="BB47" i="1"/>
  <c r="BB46" i="1"/>
  <c r="BJ46" i="1"/>
  <c r="BH46" i="1"/>
  <c r="BB45" i="1"/>
  <c r="BH45" i="1"/>
  <c r="BJ45" i="1"/>
  <c r="BB44" i="1"/>
  <c r="BH44" i="1"/>
  <c r="BJ44" i="1"/>
  <c r="BB43" i="1"/>
  <c r="BJ43" i="1"/>
  <c r="BH43" i="1"/>
  <c r="BB42" i="1"/>
  <c r="BJ42" i="1"/>
  <c r="BH42" i="1"/>
  <c r="BB41" i="1"/>
  <c r="BJ41" i="1"/>
  <c r="BH41" i="1"/>
  <c r="BB40" i="1"/>
  <c r="BJ40" i="1"/>
  <c r="BH40" i="1"/>
  <c r="BH39" i="1"/>
  <c r="BJ39" i="1"/>
  <c r="BB39" i="1"/>
  <c r="BB38" i="1"/>
  <c r="BH38" i="1"/>
  <c r="BJ38" i="1"/>
  <c r="BB37" i="1"/>
  <c r="BH37" i="1"/>
  <c r="BJ37" i="1"/>
  <c r="BJ36" i="1"/>
  <c r="BH36" i="1"/>
  <c r="BB36" i="1"/>
  <c r="BH35" i="1"/>
  <c r="BJ35" i="1"/>
  <c r="BB35" i="1"/>
  <c r="BB34" i="1"/>
  <c r="BH34" i="1"/>
  <c r="BJ34" i="1"/>
  <c r="BB33" i="1"/>
  <c r="BH33" i="1"/>
  <c r="BJ33" i="1"/>
  <c r="BB32" i="1"/>
  <c r="BJ32" i="1"/>
  <c r="BH32" i="1"/>
  <c r="BB31" i="1"/>
  <c r="BJ31" i="1"/>
  <c r="BH31" i="1"/>
  <c r="BB30" i="1"/>
  <c r="BH30" i="1"/>
  <c r="BJ30" i="1"/>
  <c r="BB29" i="1"/>
  <c r="BJ29" i="1"/>
  <c r="BH29" i="1"/>
  <c r="BB28" i="1"/>
  <c r="BJ28" i="1"/>
  <c r="BH28" i="1"/>
  <c r="BB27" i="1"/>
  <c r="BJ27" i="1"/>
  <c r="BH27" i="1"/>
  <c r="BF29" i="1"/>
  <c r="BF93" i="1"/>
  <c r="BF158" i="1"/>
  <c r="BF70" i="1"/>
  <c r="BF135" i="1"/>
  <c r="BF47" i="1"/>
  <c r="BF111" i="1"/>
  <c r="BF176" i="1"/>
  <c r="BF88" i="1"/>
  <c r="BF153" i="1"/>
  <c r="BF65" i="1"/>
  <c r="BF130" i="1"/>
  <c r="BF42" i="1"/>
  <c r="BF106" i="1"/>
  <c r="BF171" i="1"/>
  <c r="BF75" i="1"/>
  <c r="BF140" i="1"/>
  <c r="BF44" i="1"/>
  <c r="BF108" i="1"/>
  <c r="BF173" i="1"/>
  <c r="BF37" i="1"/>
  <c r="BF101" i="1"/>
  <c r="BF166" i="1"/>
  <c r="BF78" i="1"/>
  <c r="BF143" i="1"/>
  <c r="BF55" i="1"/>
  <c r="BF119" i="1"/>
  <c r="BF32" i="1"/>
  <c r="BF96" i="1"/>
  <c r="BF161" i="1"/>
  <c r="BF73" i="1"/>
  <c r="BF138" i="1"/>
  <c r="BF50" i="1"/>
  <c r="BF114" i="1"/>
  <c r="BF179" i="1"/>
  <c r="BF83" i="1"/>
  <c r="BF148" i="1"/>
  <c r="BF52" i="1"/>
  <c r="BF116" i="1"/>
  <c r="BF181" i="1"/>
  <c r="BF45" i="1"/>
  <c r="BF109" i="1"/>
  <c r="BF174" i="1"/>
  <c r="BF86" i="1"/>
  <c r="BF151" i="1"/>
  <c r="BF63" i="1"/>
  <c r="BF128" i="1"/>
  <c r="BF40" i="1"/>
  <c r="BF104" i="1"/>
  <c r="BF169" i="1"/>
  <c r="BF81" i="1"/>
  <c r="BF146" i="1"/>
  <c r="BF58" i="1"/>
  <c r="BF122" i="1"/>
  <c r="BF27" i="1"/>
  <c r="BF91" i="1"/>
  <c r="BF156" i="1"/>
  <c r="BF60" i="1"/>
  <c r="BF124" i="1"/>
  <c r="BF53" i="1"/>
  <c r="BF117" i="1"/>
  <c r="BF30" i="1"/>
  <c r="BF94" i="1"/>
  <c r="BF159" i="1"/>
  <c r="BF71" i="1"/>
  <c r="BF136" i="1"/>
  <c r="BF48" i="1"/>
  <c r="BF112" i="1"/>
  <c r="BF177" i="1"/>
  <c r="BF89" i="1"/>
  <c r="BF154" i="1"/>
  <c r="BF66" i="1"/>
  <c r="BF131" i="1"/>
  <c r="BF35" i="1"/>
  <c r="BF99" i="1"/>
  <c r="BF164" i="1"/>
  <c r="BF68" i="1"/>
  <c r="BF133" i="1"/>
  <c r="BF61" i="1"/>
  <c r="BF125" i="1"/>
  <c r="BF38" i="1"/>
  <c r="BF102" i="1"/>
  <c r="BF167" i="1"/>
  <c r="BF79" i="1"/>
  <c r="BF144" i="1"/>
  <c r="BF56" i="1"/>
  <c r="BF120" i="1"/>
  <c r="BF33" i="1"/>
  <c r="BF97" i="1"/>
  <c r="BF162" i="1"/>
  <c r="BF74" i="1"/>
  <c r="BF139" i="1"/>
  <c r="BF43" i="1"/>
  <c r="BF107" i="1"/>
  <c r="BF172" i="1"/>
  <c r="BF76" i="1"/>
  <c r="BF141" i="1"/>
  <c r="BF69" i="1"/>
  <c r="BF134" i="1"/>
  <c r="BF46" i="1"/>
  <c r="BF110" i="1"/>
  <c r="BF175" i="1"/>
  <c r="BF87" i="1"/>
  <c r="BF152" i="1"/>
  <c r="BF64" i="1"/>
  <c r="BF129" i="1"/>
  <c r="BF41" i="1"/>
  <c r="BF105" i="1"/>
  <c r="BF170" i="1"/>
  <c r="BF82" i="1"/>
  <c r="BF147" i="1"/>
  <c r="BF51" i="1"/>
  <c r="BF115" i="1"/>
  <c r="BF180" i="1"/>
  <c r="BF84" i="1"/>
  <c r="BF149" i="1"/>
  <c r="BF77" i="1"/>
  <c r="BF142" i="1"/>
  <c r="BF54" i="1"/>
  <c r="BF118" i="1"/>
  <c r="BF31" i="1"/>
  <c r="BF95" i="1"/>
  <c r="BF160" i="1"/>
  <c r="BF72" i="1"/>
  <c r="BF137" i="1"/>
  <c r="BF49" i="1"/>
  <c r="BF113" i="1"/>
  <c r="BF178" i="1"/>
  <c r="BF90" i="1"/>
  <c r="BF155" i="1"/>
  <c r="BF59" i="1"/>
  <c r="BF123" i="1"/>
  <c r="BF28" i="1"/>
  <c r="BF92" i="1"/>
  <c r="BF157" i="1"/>
  <c r="BF85" i="1"/>
  <c r="BF150" i="1"/>
  <c r="BF62" i="1"/>
  <c r="BF126" i="1"/>
  <c r="BF39" i="1"/>
  <c r="BF103" i="1"/>
  <c r="BF168" i="1"/>
  <c r="BF80" i="1"/>
  <c r="BF145" i="1"/>
  <c r="BF57" i="1"/>
  <c r="BF121" i="1"/>
  <c r="BF34" i="1"/>
  <c r="BF98" i="1"/>
  <c r="BF163" i="1"/>
  <c r="BF67" i="1"/>
  <c r="BF132" i="1"/>
  <c r="BF36" i="1"/>
  <c r="BF100" i="1"/>
  <c r="BF165" i="1"/>
  <c r="Q61" i="6"/>
  <c r="E52" i="6"/>
  <c r="D52" i="6"/>
  <c r="B100" i="9"/>
  <c r="B101" i="9" s="1"/>
  <c r="L69" i="6"/>
  <c r="O61" i="6"/>
  <c r="O81" i="6" s="1"/>
  <c r="J13" i="9"/>
  <c r="H61" i="6"/>
  <c r="S65" i="6"/>
  <c r="I8" i="9" s="1"/>
  <c r="B29" i="6"/>
  <c r="B31" i="6" s="1"/>
  <c r="R69" i="6"/>
  <c r="J69" i="6"/>
  <c r="F40" i="6"/>
  <c r="C32" i="6" s="1"/>
  <c r="C52" i="6"/>
  <c r="F69" i="6"/>
  <c r="N69" i="6"/>
  <c r="H69" i="6"/>
  <c r="I61" i="6"/>
  <c r="D69" i="6"/>
  <c r="E61" i="6"/>
  <c r="Q69" i="6"/>
  <c r="I69" i="6"/>
  <c r="M61" i="6"/>
  <c r="N61" i="6"/>
  <c r="R61" i="6"/>
  <c r="P69" i="6"/>
  <c r="G61" i="6"/>
  <c r="J61" i="6"/>
  <c r="G69" i="6"/>
  <c r="M69" i="6"/>
  <c r="L61" i="6"/>
  <c r="P61" i="6"/>
  <c r="S73" i="6"/>
  <c r="I9" i="9" s="1"/>
  <c r="E69" i="6"/>
  <c r="F61" i="6"/>
  <c r="C69" i="6"/>
  <c r="C61" i="6"/>
  <c r="K7" i="9"/>
  <c r="K61" i="6"/>
  <c r="K81" i="6" s="1"/>
  <c r="D61" i="6"/>
  <c r="B61" i="6"/>
  <c r="S57" i="6"/>
  <c r="T57" i="6" s="1"/>
  <c r="S62" i="6"/>
  <c r="H8" i="9" s="1"/>
  <c r="F95" i="6"/>
  <c r="E109" i="6" s="1"/>
  <c r="E155" i="6"/>
  <c r="C29" i="6"/>
  <c r="M3" i="9"/>
  <c r="C35" i="9"/>
  <c r="B52" i="6"/>
  <c r="F44" i="6"/>
  <c r="E96" i="6"/>
  <c r="Q5" i="9"/>
  <c r="B69" i="6"/>
  <c r="S70" i="6"/>
  <c r="H9" i="9" s="1"/>
  <c r="Q81" i="6" l="1"/>
  <c r="H13" i="9"/>
  <c r="I13" i="9"/>
  <c r="L81" i="6"/>
  <c r="D20" i="6"/>
  <c r="B82" i="9"/>
  <c r="K8" i="9"/>
  <c r="F52" i="6"/>
  <c r="F53" i="6" s="1"/>
  <c r="I81" i="6"/>
  <c r="H81" i="6"/>
  <c r="J81" i="6"/>
  <c r="R81" i="6"/>
  <c r="F81" i="6"/>
  <c r="D81" i="6"/>
  <c r="N81" i="6"/>
  <c r="E81" i="6"/>
  <c r="M81" i="6"/>
  <c r="C81" i="6"/>
  <c r="G81" i="6"/>
  <c r="P81" i="6"/>
  <c r="B8" i="6"/>
  <c r="C8" i="19" s="1"/>
  <c r="S61" i="6"/>
  <c r="B5" i="6"/>
  <c r="C5" i="19" s="1"/>
  <c r="E106" i="6"/>
  <c r="C105" i="6"/>
  <c r="D107" i="6"/>
  <c r="C106" i="6"/>
  <c r="E168" i="6"/>
  <c r="D104" i="6"/>
  <c r="D106" i="6"/>
  <c r="C107" i="6"/>
  <c r="E104" i="6"/>
  <c r="D105" i="6"/>
  <c r="E105" i="6"/>
  <c r="E107" i="6"/>
  <c r="C104" i="6"/>
  <c r="B6" i="6"/>
  <c r="C6" i="19" s="1"/>
  <c r="B7" i="6"/>
  <c r="BR127" i="1" s="1"/>
  <c r="K9" i="9"/>
  <c r="S69" i="6"/>
  <c r="B9" i="6" s="1"/>
  <c r="B81" i="6"/>
  <c r="B51" i="9"/>
  <c r="F155" i="6"/>
  <c r="D27" i="6"/>
  <c r="D23" i="6"/>
  <c r="D19" i="6"/>
  <c r="B4" i="6"/>
  <c r="D26" i="6"/>
  <c r="D22" i="6"/>
  <c r="D25" i="6"/>
  <c r="F96" i="6"/>
  <c r="D21" i="6"/>
  <c r="C94" i="9"/>
  <c r="C90" i="9"/>
  <c r="C92" i="9"/>
  <c r="C91" i="9"/>
  <c r="C96" i="9"/>
  <c r="C93" i="9"/>
  <c r="C95" i="9"/>
  <c r="D35" i="9"/>
  <c r="C88" i="9"/>
  <c r="D56" i="9"/>
  <c r="E56" i="9" s="1"/>
  <c r="BR181" i="1" l="1"/>
  <c r="BR119" i="1"/>
  <c r="BR66" i="1"/>
  <c r="BR152" i="1"/>
  <c r="BR92" i="1"/>
  <c r="BR149" i="1"/>
  <c r="BR76" i="1"/>
  <c r="BR178" i="1"/>
  <c r="BR121" i="1"/>
  <c r="BR65" i="1"/>
  <c r="BR151" i="1"/>
  <c r="BR107" i="1"/>
  <c r="BR174" i="1"/>
  <c r="BR91" i="1"/>
  <c r="BR153" i="1"/>
  <c r="BR88" i="1"/>
  <c r="BR40" i="1"/>
  <c r="BR134" i="1"/>
  <c r="BR82" i="1"/>
  <c r="BR176" i="1"/>
  <c r="BR114" i="1"/>
  <c r="BR58" i="1"/>
  <c r="BR144" i="1"/>
  <c r="BR87" i="1"/>
  <c r="BR138" i="1"/>
  <c r="BR68" i="1"/>
  <c r="BR175" i="1"/>
  <c r="BR105" i="1"/>
  <c r="BR54" i="1"/>
  <c r="BR148" i="1"/>
  <c r="BR99" i="1"/>
  <c r="BR172" i="1"/>
  <c r="BR83" i="1"/>
  <c r="BR150" i="1"/>
  <c r="BR80" i="1"/>
  <c r="BR37" i="1"/>
  <c r="BR131" i="1"/>
  <c r="BR69" i="1"/>
  <c r="BR171" i="1"/>
  <c r="BR111" i="1"/>
  <c r="BR50" i="1"/>
  <c r="BR141" i="1"/>
  <c r="BR79" i="1"/>
  <c r="BR116" i="1"/>
  <c r="BR60" i="1"/>
  <c r="BR167" i="1"/>
  <c r="BR102" i="1"/>
  <c r="BR49" i="1"/>
  <c r="BR140" i="1"/>
  <c r="BR78" i="1"/>
  <c r="BR169" i="1"/>
  <c r="BR77" i="1"/>
  <c r="BR137" i="1"/>
  <c r="BR72" i="1"/>
  <c r="BR32" i="1"/>
  <c r="BR117" i="1"/>
  <c r="BR63" i="1"/>
  <c r="BR168" i="1"/>
  <c r="BR106" i="1"/>
  <c r="BR42" i="1"/>
  <c r="BR136" i="1"/>
  <c r="BR55" i="1"/>
  <c r="BR113" i="1"/>
  <c r="BR57" i="1"/>
  <c r="BR159" i="1"/>
  <c r="BR94" i="1"/>
  <c r="BR41" i="1"/>
  <c r="BR135" i="1"/>
  <c r="BR75" i="1"/>
  <c r="BR164" i="1"/>
  <c r="BR67" i="1"/>
  <c r="BR125" i="1"/>
  <c r="BR64" i="1"/>
  <c r="BR179" i="1"/>
  <c r="BR109" i="1"/>
  <c r="BR61" i="1"/>
  <c r="BR165" i="1"/>
  <c r="BR95" i="1"/>
  <c r="BR173" i="1"/>
  <c r="BR128" i="1"/>
  <c r="BR36" i="1"/>
  <c r="BR108" i="1"/>
  <c r="BR52" i="1"/>
  <c r="BR156" i="1"/>
  <c r="BR89" i="1"/>
  <c r="BR38" i="1"/>
  <c r="BR132" i="1"/>
  <c r="BR62" i="1"/>
  <c r="BR145" i="1"/>
  <c r="BR59" i="1"/>
  <c r="BR120" i="1"/>
  <c r="BR56" i="1"/>
  <c r="BR166" i="1"/>
  <c r="BR101" i="1"/>
  <c r="BR47" i="1"/>
  <c r="BR139" i="1"/>
  <c r="BR90" i="1"/>
  <c r="BR160" i="1"/>
  <c r="BR124" i="1"/>
  <c r="BR31" i="1"/>
  <c r="BR97" i="1"/>
  <c r="BR33" i="1"/>
  <c r="BR146" i="1"/>
  <c r="BR86" i="1"/>
  <c r="BR35" i="1"/>
  <c r="BR126" i="1"/>
  <c r="BR51" i="1"/>
  <c r="BR129" i="1"/>
  <c r="BR43" i="1"/>
  <c r="BR112" i="1"/>
  <c r="BR53" i="1"/>
  <c r="BR163" i="1"/>
  <c r="BR98" i="1"/>
  <c r="BR39" i="1"/>
  <c r="BR133" i="1"/>
  <c r="BR74" i="1"/>
  <c r="BR157" i="1"/>
  <c r="BR103" i="1"/>
  <c r="BR170" i="1"/>
  <c r="BR84" i="1"/>
  <c r="BR28" i="1"/>
  <c r="BR143" i="1"/>
  <c r="BR73" i="1"/>
  <c r="BR30" i="1"/>
  <c r="BR118" i="1"/>
  <c r="BR46" i="1"/>
  <c r="BR123" i="1"/>
  <c r="BR158" i="1"/>
  <c r="BR104" i="1"/>
  <c r="BR48" i="1"/>
  <c r="BR147" i="1"/>
  <c r="BR93" i="1"/>
  <c r="BR34" i="1"/>
  <c r="BR122" i="1"/>
  <c r="BR71" i="1"/>
  <c r="BR154" i="1"/>
  <c r="BR100" i="1"/>
  <c r="BR162" i="1"/>
  <c r="BR81" i="1"/>
  <c r="BR180" i="1"/>
  <c r="BR130" i="1"/>
  <c r="BR70" i="1"/>
  <c r="BR161" i="1"/>
  <c r="BR110" i="1"/>
  <c r="BR177" i="1"/>
  <c r="BR115" i="1"/>
  <c r="BR155" i="1"/>
  <c r="BR96" i="1"/>
  <c r="BR45" i="1"/>
  <c r="BR142" i="1"/>
  <c r="BR85" i="1"/>
  <c r="BR29" i="1"/>
  <c r="K13" i="9"/>
  <c r="C9" i="9" s="1"/>
  <c r="D78" i="9"/>
  <c r="D75" i="9"/>
  <c r="E75" i="9"/>
  <c r="E74" i="9"/>
  <c r="D76" i="9"/>
  <c r="E79" i="9"/>
  <c r="D74" i="9"/>
  <c r="D79" i="9"/>
  <c r="E76" i="9"/>
  <c r="D77" i="9"/>
  <c r="E77" i="9"/>
  <c r="D73" i="9"/>
  <c r="E78" i="9"/>
  <c r="B84" i="9"/>
  <c r="C7" i="19"/>
  <c r="C4" i="19"/>
  <c r="C31" i="6"/>
  <c r="D24" i="6"/>
  <c r="D29" i="6" s="1"/>
  <c r="F106" i="6"/>
  <c r="C100" i="9"/>
  <c r="F107" i="6"/>
  <c r="D109" i="6"/>
  <c r="F105" i="6"/>
  <c r="F104" i="6"/>
  <c r="C109" i="6"/>
  <c r="C84" i="9"/>
  <c r="D64" i="9"/>
  <c r="E61" i="9"/>
  <c r="D69" i="9"/>
  <c r="E70" i="9"/>
  <c r="D66" i="9"/>
  <c r="D67" i="9"/>
  <c r="E64" i="9"/>
  <c r="D68" i="9"/>
  <c r="E65" i="9"/>
  <c r="D70" i="9"/>
  <c r="E63" i="9"/>
  <c r="D59" i="9"/>
  <c r="D71" i="9"/>
  <c r="E68" i="9"/>
  <c r="D72" i="9"/>
  <c r="E69" i="9"/>
  <c r="D61" i="9"/>
  <c r="E62" i="9"/>
  <c r="E67" i="9"/>
  <c r="E72" i="9"/>
  <c r="D60" i="9"/>
  <c r="E73" i="9"/>
  <c r="D65" i="9"/>
  <c r="E66" i="9"/>
  <c r="D62" i="9"/>
  <c r="E59" i="9"/>
  <c r="E71" i="9"/>
  <c r="D63" i="9"/>
  <c r="E60" i="9"/>
  <c r="F56" i="9"/>
  <c r="G56" i="9" s="1"/>
  <c r="D88" i="9"/>
  <c r="C9" i="19"/>
  <c r="S81" i="6"/>
  <c r="T61" i="6"/>
  <c r="D11" i="9" l="1"/>
  <c r="D10" i="9"/>
  <c r="B11" i="9"/>
  <c r="D7" i="9"/>
  <c r="D8" i="9"/>
  <c r="B7" i="9"/>
  <c r="B9" i="9"/>
  <c r="C7" i="9"/>
  <c r="B10" i="9"/>
  <c r="C11" i="9"/>
  <c r="C10" i="9"/>
  <c r="C8" i="9"/>
  <c r="D9" i="9"/>
  <c r="B8" i="9"/>
  <c r="K15" i="9"/>
  <c r="E82" i="9"/>
  <c r="D82" i="9"/>
  <c r="F109" i="6"/>
  <c r="S83" i="6"/>
  <c r="P83" i="6"/>
  <c r="K14" i="9"/>
  <c r="C33" i="6"/>
  <c r="E8" i="9" l="1"/>
  <c r="E11" i="9"/>
  <c r="E7" i="9"/>
  <c r="E9" i="9"/>
  <c r="E10" i="9"/>
  <c r="B13" i="9"/>
  <c r="C13" i="9"/>
  <c r="D13" i="9"/>
  <c r="E13" i="9" l="1"/>
  <c r="E1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 authorId="0" shapeId="0" xr:uid="{E02A6CFF-5AB6-4491-B979-CC09011FA52A}">
      <text>
        <r>
          <rPr>
            <b/>
            <sz val="9"/>
            <color indexed="81"/>
            <rFont val="Tahoma"/>
            <family val="2"/>
          </rPr>
          <t>Author:</t>
        </r>
        <r>
          <rPr>
            <sz val="9"/>
            <color indexed="81"/>
            <rFont val="Tahoma"/>
            <family val="2"/>
          </rPr>
          <t xml:space="preserve">
No identifier, need to set up</t>
        </r>
      </text>
    </comment>
    <comment ref="A77" authorId="0" shapeId="0" xr:uid="{10D263D7-6080-4E9A-9C2C-E7658EBB2512}">
      <text>
        <r>
          <rPr>
            <b/>
            <sz val="9"/>
            <color indexed="81"/>
            <rFont val="Tahoma"/>
            <family val="2"/>
          </rPr>
          <t>Author:</t>
        </r>
        <r>
          <rPr>
            <sz val="9"/>
            <color indexed="81"/>
            <rFont val="Tahoma"/>
            <family val="2"/>
          </rPr>
          <t xml:space="preserve">
Identifier is not clear, review formula each time</t>
        </r>
      </text>
    </comment>
    <comment ref="A79" authorId="0" shapeId="0" xr:uid="{2CE75859-D604-4BD5-BD85-3ED51E7F5D9B}">
      <text>
        <r>
          <rPr>
            <b/>
            <sz val="9"/>
            <color indexed="81"/>
            <rFont val="Tahoma"/>
            <family val="2"/>
          </rPr>
          <t>Author:</t>
        </r>
        <r>
          <rPr>
            <sz val="9"/>
            <color indexed="81"/>
            <rFont val="Tahoma"/>
            <family val="2"/>
          </rPr>
          <t xml:space="preserve">
No identifier yet, formula yet to set 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7" authorId="0" shapeId="0" xr:uid="{6526B141-C32C-4E8A-9EAB-2969A2B4D4BF}">
      <text>
        <r>
          <rPr>
            <b/>
            <sz val="9"/>
            <color indexed="81"/>
            <rFont val="Tahoma"/>
            <family val="2"/>
          </rPr>
          <t>Author:</t>
        </r>
        <r>
          <rPr>
            <sz val="9"/>
            <color indexed="81"/>
            <rFont val="Tahoma"/>
            <family val="2"/>
          </rPr>
          <t xml:space="preserve">
manual sort and fill the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6" authorId="0" shapeId="0" xr:uid="{D8029D85-CB16-41B1-89A4-FD88A3BA073E}">
      <text>
        <r>
          <rPr>
            <b/>
            <sz val="9"/>
            <color indexed="81"/>
            <rFont val="Tahoma"/>
            <family val="2"/>
          </rPr>
          <t>Author:</t>
        </r>
        <r>
          <rPr>
            <sz val="9"/>
            <color indexed="81"/>
            <rFont val="Tahoma"/>
            <family val="2"/>
          </rPr>
          <t xml:space="preserve">
from last month file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1" authorId="0" shapeId="0" xr:uid="{40F0853C-D476-4071-BB55-FAAB1A086997}">
      <text>
        <r>
          <rPr>
            <b/>
            <sz val="9"/>
            <color indexed="81"/>
            <rFont val="Tahoma"/>
            <family val="2"/>
          </rPr>
          <t>Author:</t>
        </r>
        <r>
          <rPr>
            <sz val="9"/>
            <color indexed="81"/>
            <rFont val="Tahoma"/>
            <family val="2"/>
          </rPr>
          <t xml:space="preserve">
HKD</t>
        </r>
      </text>
    </comment>
    <comment ref="AB1" authorId="0" shapeId="0" xr:uid="{CF96472B-821D-425D-9BFB-2F99BEA8A73F}">
      <text>
        <r>
          <rPr>
            <b/>
            <sz val="9"/>
            <color indexed="81"/>
            <rFont val="Tahoma"/>
            <family val="2"/>
          </rPr>
          <t>Author:</t>
        </r>
        <r>
          <rPr>
            <sz val="9"/>
            <color indexed="81"/>
            <rFont val="Tahoma"/>
            <family val="2"/>
          </rPr>
          <t xml:space="preserve">
update FX Rates</t>
        </r>
      </text>
    </comment>
    <comment ref="AD1" authorId="0" shapeId="0" xr:uid="{12F717AD-BDDB-48E0-BE94-61D8ECEA0EB8}">
      <text>
        <r>
          <rPr>
            <b/>
            <sz val="9"/>
            <color indexed="81"/>
            <rFont val="Tahoma"/>
            <family val="2"/>
          </rPr>
          <t xml:space="preserve">Daphne Keung: if no data, </t>
        </r>
        <r>
          <rPr>
            <sz val="9"/>
            <color indexed="81"/>
            <rFont val="Tahoma"/>
            <family val="2"/>
          </rPr>
          <t xml:space="preserve">
ASK_WORKOUT_DT_YEARS_TDY</t>
        </r>
      </text>
    </comment>
    <comment ref="AK1" authorId="0" shapeId="0" xr:uid="{3D4EEE91-BE26-4510-B1F5-ACFD01619B62}">
      <text>
        <r>
          <rPr>
            <b/>
            <sz val="9"/>
            <color indexed="81"/>
            <rFont val="Tahoma"/>
            <family val="2"/>
          </rPr>
          <t>Author:</t>
        </r>
        <r>
          <rPr>
            <sz val="9"/>
            <color indexed="81"/>
            <rFont val="Tahoma"/>
            <family val="2"/>
          </rPr>
          <t xml:space="preserve">
Parameter Order :
S&amp;P (Col. AD)
Moody (Col. AE)
Fitch (Col. AF)</t>
        </r>
      </text>
    </comment>
    <comment ref="AW1" authorId="0" shapeId="0" xr:uid="{3122CB4C-BBB8-44C2-8704-14B5EC95D163}">
      <text>
        <r>
          <rPr>
            <b/>
            <sz val="9"/>
            <color indexed="81"/>
            <rFont val="Tahoma"/>
            <family val="2"/>
          </rPr>
          <t>Author:</t>
        </r>
        <r>
          <rPr>
            <sz val="9"/>
            <color indexed="81"/>
            <rFont val="Tahoma"/>
            <family val="2"/>
          </rPr>
          <t xml:space="preserve">
Parameter order :
BBG Liquidity Category (Col W)
Average Rating (Col AG)
Years to Maturity (Col. Z)
Amt O/S (Col. Y)</t>
        </r>
      </text>
    </comment>
    <comment ref="AX1" authorId="0" shapeId="0" xr:uid="{B160DB96-F6FF-4C5B-B378-E074603BF926}">
      <text>
        <r>
          <rPr>
            <b/>
            <sz val="9"/>
            <color indexed="81"/>
            <rFont val="Tahoma"/>
            <family val="2"/>
          </rPr>
          <t>Author:</t>
        </r>
        <r>
          <rPr>
            <sz val="9"/>
            <color indexed="81"/>
            <rFont val="Tahoma"/>
            <family val="2"/>
          </rPr>
          <t xml:space="preserve">
Parameter order :
BBG Liquidity Category (Col W)
Average Rating (Col AG)
Years to Maturity (Col. Z)
Amt O/S (Col. Y)</t>
        </r>
      </text>
    </comment>
    <comment ref="BN1" authorId="0" shapeId="0" xr:uid="{A6275CC5-7FCA-4290-ABDC-0670501C65A4}">
      <text>
        <r>
          <rPr>
            <b/>
            <sz val="9"/>
            <color indexed="81"/>
            <rFont val="Tahoma"/>
            <family val="2"/>
          </rPr>
          <t>Author:</t>
        </r>
        <r>
          <rPr>
            <sz val="9"/>
            <color indexed="81"/>
            <rFont val="Tahoma"/>
            <family val="2"/>
          </rPr>
          <t xml:space="preserve">
manual adj for derivatives positions e.g. futures</t>
        </r>
      </text>
    </comment>
    <comment ref="J4" authorId="0" shapeId="0" xr:uid="{31202B22-DD7B-450B-B868-4D5A3A5BD6FB}">
      <text>
        <r>
          <rPr>
            <b/>
            <sz val="9"/>
            <color indexed="81"/>
            <rFont val="Tahoma"/>
            <family val="2"/>
          </rPr>
          <t>Author:</t>
        </r>
        <r>
          <rPr>
            <sz val="9"/>
            <color indexed="81"/>
            <rFont val="Tahoma"/>
            <family val="2"/>
          </rPr>
          <t xml:space="preserve">
Re discrepancy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<sst xmlns="http://schemas.openxmlformats.org/spreadsheetml/2006/main" count="6318" uniqueCount="2035">
  <si>
    <t>ReportMode</t>
  </si>
  <si>
    <t>LongShortDescription</t>
  </si>
  <si>
    <t>SortKey</t>
  </si>
  <si>
    <t>LocalCurrency</t>
  </si>
  <si>
    <t>BasketInvestDescription</t>
  </si>
  <si>
    <t>Description</t>
  </si>
  <si>
    <t>InvestID</t>
  </si>
  <si>
    <t>Quantity</t>
  </si>
  <si>
    <t>LocalPrice</t>
  </si>
  <si>
    <t>CostLocal</t>
  </si>
  <si>
    <t>CostBook</t>
  </si>
  <si>
    <t>BookUnrealizedGainOrLoss</t>
  </si>
  <si>
    <t>AccruedInterest</t>
  </si>
  <si>
    <t>MarketValueBook</t>
  </si>
  <si>
    <t>Invest</t>
  </si>
  <si>
    <t>Investments</t>
  </si>
  <si>
    <t>Cash Long</t>
  </si>
  <si>
    <t>BOCHK Custody account</t>
  </si>
  <si>
    <t>Euro</t>
  </si>
  <si>
    <t>EUR</t>
  </si>
  <si>
    <t>Hong Kong Dollar</t>
  </si>
  <si>
    <t>HKD</t>
  </si>
  <si>
    <t>United States Dollar</t>
  </si>
  <si>
    <t>USD</t>
  </si>
  <si>
    <t>Morgan Stanley Future Account</t>
  </si>
  <si>
    <t>Investments Long</t>
  </si>
  <si>
    <t>AIA GROUP LTD</t>
  </si>
  <si>
    <t>1299 HK</t>
  </si>
  <si>
    <t>CHINA MOBILE LTD</t>
  </si>
  <si>
    <t>941 HK</t>
  </si>
  <si>
    <t>CLP HOLDINGS LTD</t>
  </si>
  <si>
    <t>2 HK</t>
  </si>
  <si>
    <t>GUANGDONG INVESTMENT LTD</t>
  </si>
  <si>
    <t>270 HK</t>
  </si>
  <si>
    <t>HKT TRUST AND HKT LTD-SS</t>
  </si>
  <si>
    <t>6823 HK</t>
  </si>
  <si>
    <t>IND &amp; COMM BK OF CHINA-H</t>
  </si>
  <si>
    <t>1398 HK</t>
  </si>
  <si>
    <t>LINK REIT</t>
  </si>
  <si>
    <t>823 HK</t>
  </si>
  <si>
    <t>MTR CORP</t>
  </si>
  <si>
    <t>66 HK</t>
  </si>
  <si>
    <t>PING AN INSURANCE GROUP CO-H</t>
  </si>
  <si>
    <t>2318 HK</t>
  </si>
  <si>
    <t>POWER ASSETS HOLDINGS LTD</t>
  </si>
  <si>
    <t>6 HK</t>
  </si>
  <si>
    <t>Avaliable for Trading</t>
  </si>
  <si>
    <t>NA</t>
  </si>
  <si>
    <t>ANHUII 4.875 10/18/21</t>
  </si>
  <si>
    <t>XS1891659358</t>
  </si>
  <si>
    <t>CAPG 7.95 09/07/21</t>
  </si>
  <si>
    <t>XS1876052025</t>
  </si>
  <si>
    <t>CAPG 8.5 01/23/22</t>
  </si>
  <si>
    <t>XS1937690128</t>
  </si>
  <si>
    <t>CERCG 5.55 04/14/21</t>
  </si>
  <si>
    <t>XS1376566714</t>
  </si>
  <si>
    <t>CHINSC 8.75 01/15/21</t>
  </si>
  <si>
    <t>XS1893648904</t>
  </si>
  <si>
    <t>CHSCOI V6 PERP</t>
  </si>
  <si>
    <t>XS1912494538</t>
  </si>
  <si>
    <t>CHUANT 4.625 09/26/21</t>
  </si>
  <si>
    <t>XS1852561031</t>
  </si>
  <si>
    <t>CIFIHG 7.625 03/02/21</t>
  </si>
  <si>
    <t>XS1924328807</t>
  </si>
  <si>
    <t>CINDBK V4.625 02/28/29 EMTN</t>
  </si>
  <si>
    <t>XS1897158892</t>
  </si>
  <si>
    <t>CMHI 4.375 08/06/23</t>
  </si>
  <si>
    <t>XS1856799421</t>
  </si>
  <si>
    <t>CMHI 5 08/06/28</t>
  </si>
  <si>
    <t>XS1856800450</t>
  </si>
  <si>
    <t>CNPFP 6 01/22/49</t>
  </si>
  <si>
    <t>FR0013101599</t>
  </si>
  <si>
    <t>COGO 4.875 06/01/21</t>
  </si>
  <si>
    <t>XS1823212904</t>
  </si>
  <si>
    <t>GRNCH V8.125 PERP</t>
  </si>
  <si>
    <t>XS1940394502</t>
  </si>
  <si>
    <t>GRWALL 4.375 05/25/23 EMTN</t>
  </si>
  <si>
    <t>XS1819966687</t>
  </si>
  <si>
    <t>JIAPRO 4.85 02/21/22</t>
  </si>
  <si>
    <t>XS1917106061</t>
  </si>
  <si>
    <t>LOGPH 7.5 08/25/22</t>
  </si>
  <si>
    <t>XS1954961295</t>
  </si>
  <si>
    <t>LOGPH 7.5 08/27/21</t>
  </si>
  <si>
    <t>XS1870205819</t>
  </si>
  <si>
    <t>MSINS V4.95 PERP REGS</t>
  </si>
  <si>
    <t>USJ4517MAA74</t>
  </si>
  <si>
    <t>MYLIFE V5.2 10/20/45 REGS</t>
  </si>
  <si>
    <t>USJ41838AA14</t>
  </si>
  <si>
    <t>OCTOWN V4.3 PERP</t>
  </si>
  <si>
    <t>XS1692254359</t>
  </si>
  <si>
    <t>PNSTTA 6.625 06/17/31 REGS</t>
  </si>
  <si>
    <t>USG7150PAA87</t>
  </si>
  <si>
    <t>POSABK V4.5 PERP</t>
  </si>
  <si>
    <t>XS1684793018 Perfshs</t>
  </si>
  <si>
    <t>PWCNPG 4.5 12/06/21</t>
  </si>
  <si>
    <t>XS1917764372</t>
  </si>
  <si>
    <t>RONXIN 10.5 03/01/22</t>
  </si>
  <si>
    <t>XS1957481440</t>
  </si>
  <si>
    <t>SHCMBK V5 01/17/29</t>
  </si>
  <si>
    <t>XS1892105823</t>
  </si>
  <si>
    <t>SHIMAO 6.125 02/21/24</t>
  </si>
  <si>
    <t>XS1953029284</t>
  </si>
  <si>
    <t>SHINFN V5.875 PERP</t>
  </si>
  <si>
    <t>XS1856024432</t>
  </si>
  <si>
    <t>SUNAC 7.875 02/15/22</t>
  </si>
  <si>
    <t>XS1953150197</t>
  </si>
  <si>
    <t>SUNAC 8.375 01/15/21</t>
  </si>
  <si>
    <t>XS1936202644</t>
  </si>
  <si>
    <t>SUNAC 8.625 07/27/20</t>
  </si>
  <si>
    <t>XS1861032628</t>
  </si>
  <si>
    <t>TPHL 7.625 02/21/22</t>
  </si>
  <si>
    <t>XS1945401674</t>
  </si>
  <si>
    <t>YZCOAL 4.75 11/30/20</t>
  </si>
  <si>
    <t>XS1728036952</t>
  </si>
  <si>
    <t>ZHPRHK 9.8 08/20/21</t>
  </si>
  <si>
    <t>XS1951935847</t>
  </si>
  <si>
    <t>Receivable Investments</t>
  </si>
  <si>
    <t>AccruedInterestReceivable</t>
  </si>
  <si>
    <t>NAV Adjustment</t>
  </si>
  <si>
    <t>Payable Investments</t>
  </si>
  <si>
    <t>Audit Fees Payable</t>
  </si>
  <si>
    <t>CapitalPayable</t>
  </si>
  <si>
    <t>Management Fee Payable</t>
  </si>
  <si>
    <t>Payable</t>
  </si>
  <si>
    <t>SFC Annual Fee Payable</t>
  </si>
  <si>
    <t>SubscriptionsInAdvance</t>
  </si>
  <si>
    <t>Trustee Directors and Officers Fees Payable</t>
  </si>
  <si>
    <t>START-OF-FILE</t>
  </si>
  <si>
    <t>PROGRAMFLAG=oneshot</t>
  </si>
  <si>
    <t>FIRMNAME=dl788986</t>
  </si>
  <si>
    <t>PROGRAMNAME=getdata</t>
  </si>
  <si>
    <t>OUTPUTFORMAT=variable</t>
  </si>
  <si>
    <t>DELIMITER=</t>
  </si>
  <si>
    <t>DATEFORMAT=mmddyyyy</t>
  </si>
  <si>
    <t>SPECIALCHAR=decimal</t>
  </si>
  <si>
    <t>HEADER=yes</t>
  </si>
  <si>
    <t>SECMASTER=yes</t>
  </si>
  <si>
    <t>REGLQA=yes</t>
  </si>
  <si>
    <t>COLUMNHEADER=yes</t>
  </si>
  <si>
    <t>START-OF-FIELDS</t>
  </si>
  <si>
    <t>LQA_POSITION_TAG_1</t>
  </si>
  <si>
    <t>ID_BB_GLOBAL</t>
  </si>
  <si>
    <t>ISSUER</t>
  </si>
  <si>
    <t>MARKET_SECTOR_DES</t>
  </si>
  <si>
    <t>CRNCY</t>
  </si>
  <si>
    <t>LQA_MARKET_PRICE_UNC_PRICE</t>
  </si>
  <si>
    <t>LQA_TGT_LIQUIDATION_VOLUME</t>
  </si>
  <si>
    <t>LQA_LIQUIDITY_SECTOR</t>
  </si>
  <si>
    <t>LQA_TGT_LIQUIDATION_HORIZON</t>
  </si>
  <si>
    <t>LQA_LIQUIDATION_COST</t>
  </si>
  <si>
    <t>LQA_TOTAL_LIQUIDATION_COST</t>
  </si>
  <si>
    <t>LQA_TGT_LIQUIDATION_COST</t>
  </si>
  <si>
    <t>LQA_LIQUIDATION_HORIZON</t>
  </si>
  <si>
    <t>LQA_TIME_TO_CASH</t>
  </si>
  <si>
    <t>END-OF-FIELDS</t>
  </si>
  <si>
    <t>START-OF-DATA</t>
  </si>
  <si>
    <t>SECURITIES</t>
  </si>
  <si>
    <t>ERROR CODE</t>
  </si>
  <si>
    <t>NUM FLDS</t>
  </si>
  <si>
    <t>19437-DIF</t>
  </si>
  <si>
    <t>Corp</t>
  </si>
  <si>
    <t>N.A.</t>
  </si>
  <si>
    <t>BBG00NG9J699</t>
  </si>
  <si>
    <t>RONSHINE CHINA</t>
  </si>
  <si>
    <t>CORP HY NA</t>
  </si>
  <si>
    <t>BBG00NDM7WZ0</t>
  </si>
  <si>
    <t>LOGAN PROPERTY HOLDINGS</t>
  </si>
  <si>
    <t>BBG00NB0B2N4</t>
  </si>
  <si>
    <t>SUNAC CHINA HOLDINGS LTD</t>
  </si>
  <si>
    <t>BBG00NB7HXS0</t>
  </si>
  <si>
    <t>SHIMAO PROPERTY HLDGS</t>
  </si>
  <si>
    <t>BBG00N9X3LW2</t>
  </si>
  <si>
    <t>ZHENRO PROPERTIES GROUP</t>
  </si>
  <si>
    <t>CORP IG NA</t>
  </si>
  <si>
    <t>BBG00NB7K829</t>
  </si>
  <si>
    <t>TIMES CHINA HLDG LTD</t>
  </si>
  <si>
    <t>BBG00N6M20C8</t>
  </si>
  <si>
    <t>CHAMPION SINCERITY HLDGS</t>
  </si>
  <si>
    <t>YUZHOU PROPERTIES CO LTD</t>
  </si>
  <si>
    <t>BBG00N2K8LG0</t>
  </si>
  <si>
    <t>CHINA AOYUAN GROUP LTD</t>
  </si>
  <si>
    <t>BBG00N14RT60</t>
  </si>
  <si>
    <t>BBG00MTKPX96</t>
  </si>
  <si>
    <t>CIFI HOLDINGS GROUP</t>
  </si>
  <si>
    <t>BBG00MNS44N6</t>
  </si>
  <si>
    <t>POWERCHINA REAL ESTATE</t>
  </si>
  <si>
    <t>BBG00NBG3YQ5</t>
  </si>
  <si>
    <t>JIANGXI RAILWAY INVSTMNT</t>
  </si>
  <si>
    <t>BBG00MKJ4690</t>
  </si>
  <si>
    <t>CHINA STATE CONS FINANCE</t>
  </si>
  <si>
    <t>KWG GROUP HOLDINGS</t>
  </si>
  <si>
    <t>BBG00NDMRLH2</t>
  </si>
  <si>
    <t>CHINA CITIC BANK INTL</t>
  </si>
  <si>
    <t>BBG00N0Q0RS1</t>
  </si>
  <si>
    <t>CHINA SCE GRP HLDGS LTD</t>
  </si>
  <si>
    <t>BBG00N14WRV0</t>
  </si>
  <si>
    <t>SHANGHAI COMMERCIAL BANK</t>
  </si>
  <si>
    <t>BBG00M5BYXF5</t>
  </si>
  <si>
    <t>ANHUI PROV INVESTMENT</t>
  </si>
  <si>
    <t>PRUDENTIAL PLC</t>
  </si>
  <si>
    <t>BBG00LVCWLT9</t>
  </si>
  <si>
    <t>BBG00LSRS878</t>
  </si>
  <si>
    <t>BBG00LJTVJR4</t>
  </si>
  <si>
    <t>BBG00LLFHRL5</t>
  </si>
  <si>
    <t>CMHI FINANCE BVI CO LTD</t>
  </si>
  <si>
    <t>BBG00LJTWWM9</t>
  </si>
  <si>
    <t>BBG00LNF6KZ5</t>
  </si>
  <si>
    <t>SHINHAN FINANCIAL GROUP</t>
  </si>
  <si>
    <t>BBG00M0MD1Z7</t>
  </si>
  <si>
    <t>BBG00L07ZBX8</t>
  </si>
  <si>
    <t>CH OVS GRAND OCE FINANCE</t>
  </si>
  <si>
    <t>BBG00KVGG4W4</t>
  </si>
  <si>
    <t>CHINA GRT WALL INTL III</t>
  </si>
  <si>
    <t>BBG00JC8V4T3</t>
  </si>
  <si>
    <t>YANKUANG GROUP CAYMAN</t>
  </si>
  <si>
    <t>BBG00HVHMY65</t>
  </si>
  <si>
    <t>BBG00HPPFXF4</t>
  </si>
  <si>
    <t>POSTAL SAVINGS BK CHINA</t>
  </si>
  <si>
    <t>21VIANET GROUP INC</t>
  </si>
  <si>
    <t>BBG00CNK44T9</t>
  </si>
  <si>
    <t>CN ENERGY RESERVE &amp; CHEM</t>
  </si>
  <si>
    <t>DEFAULTED</t>
  </si>
  <si>
    <t>BBG00NGF27D6</t>
  </si>
  <si>
    <t>MITSUI SUMITOMO INSURANC</t>
  </si>
  <si>
    <t>BBG00B6SDBV4</t>
  </si>
  <si>
    <t>MEIJI YASUDA LIFE INSURA</t>
  </si>
  <si>
    <t>BBG00D2WYB33</t>
  </si>
  <si>
    <t>POINSETTIA FINANCE LTD</t>
  </si>
  <si>
    <t>Govt</t>
  </si>
  <si>
    <t>Comdty</t>
  </si>
  <si>
    <t>BBG00BWQ0R57</t>
  </si>
  <si>
    <t>CNP ASSURANCES</t>
  </si>
  <si>
    <t>941 HK Equity</t>
  </si>
  <si>
    <t>BBG000BZWNT2</t>
  </si>
  <si>
    <t>China Mobile Ltd</t>
  </si>
  <si>
    <t>Equity</t>
  </si>
  <si>
    <t>Developed APAC</t>
  </si>
  <si>
    <t>823 HK Equity</t>
  </si>
  <si>
    <t>BBG000P9D267</t>
  </si>
  <si>
    <t>Link REIT</t>
  </si>
  <si>
    <t>6823 HK Equity</t>
  </si>
  <si>
    <t>BBG00226B1T3</t>
  </si>
  <si>
    <t>HKT Trust &amp; HKT Ltd</t>
  </si>
  <si>
    <t>66 HK Equity</t>
  </si>
  <si>
    <t>BBG000MKLJD1</t>
  </si>
  <si>
    <t>MTR Corp Ltd</t>
  </si>
  <si>
    <t>6 HK Equity</t>
  </si>
  <si>
    <t>BBG000BDWNL9</t>
  </si>
  <si>
    <t>Power Assets Holdings Ltd</t>
  </si>
  <si>
    <t>270 HK Equity</t>
  </si>
  <si>
    <t>BBG000BDW8M1</t>
  </si>
  <si>
    <t>Guangdong Investment Ltd</t>
  </si>
  <si>
    <t>2318 HK Equity</t>
  </si>
  <si>
    <t>BBG000GD4N44</t>
  </si>
  <si>
    <t>PING AN</t>
  </si>
  <si>
    <t>2 HK Equity</t>
  </si>
  <si>
    <t>BBG000BDV566</t>
  </si>
  <si>
    <t>CLP Holdings Ltd</t>
  </si>
  <si>
    <t>1398 HK Equity</t>
  </si>
  <si>
    <t>BBG000Q16VR4</t>
  </si>
  <si>
    <t>ICBC</t>
  </si>
  <si>
    <t>1299 HK Equity</t>
  </si>
  <si>
    <t>BBG0016XR1Q8</t>
  </si>
  <si>
    <t>AIA Group Ltd</t>
  </si>
  <si>
    <t>FX Rate</t>
  </si>
  <si>
    <t>USDHKD</t>
  </si>
  <si>
    <t>Valuation Date</t>
  </si>
  <si>
    <t>USDEUR</t>
  </si>
  <si>
    <t>PX_Last</t>
  </si>
  <si>
    <t>Liquidation Horizon</t>
  </si>
  <si>
    <t>Asset Class</t>
  </si>
  <si>
    <t>Classification</t>
  </si>
  <si>
    <t>High</t>
  </si>
  <si>
    <t>Medium</t>
  </si>
  <si>
    <t>Low</t>
  </si>
  <si>
    <t>Illiquid</t>
  </si>
  <si>
    <t>Not Covered</t>
  </si>
  <si>
    <t>Bonds</t>
  </si>
  <si>
    <t>Liquidation Cost</t>
  </si>
  <si>
    <t xml:space="preserve">Equity </t>
  </si>
  <si>
    <t>Liquidity Bucket</t>
  </si>
  <si>
    <t>Derivatives</t>
  </si>
  <si>
    <t>Remarks : Futures can be liquidated within 1 day</t>
  </si>
  <si>
    <t>Market Value (USD)</t>
  </si>
  <si>
    <t>Market Value (HKD)</t>
  </si>
  <si>
    <t>Total</t>
  </si>
  <si>
    <t>Market Value (%)</t>
  </si>
  <si>
    <t>Days to liquidate</t>
  </si>
  <si>
    <t>Liquidity Bucket (based SEC 22e4 Classification)</t>
  </si>
  <si>
    <t>Highly Liquid Investment. Convertible to Cash (sold and settled) in 3 or less business days.</t>
  </si>
  <si>
    <t>Moderately Liquid Investment. Convertible to cash (sold and settled) in 3- 7 calender days.</t>
  </si>
  <si>
    <t>Less liquid investment. Sold or disposed but not settled in 7 or less calendar days.</t>
  </si>
  <si>
    <t>Illiquid investment. Not reasonably expected to sold in 7 or less calendar days</t>
  </si>
  <si>
    <t>Bloomberg LQA model requires more than 5 days of pricing history to estimate the liquidity and thus new issues are not covered.</t>
  </si>
  <si>
    <t>Sub-Acct</t>
  </si>
  <si>
    <t>Fund Name :</t>
  </si>
  <si>
    <t>China Life Franklin Diversified Income Fund</t>
  </si>
  <si>
    <t>Fund Account :</t>
  </si>
  <si>
    <t>Valuation Date :</t>
  </si>
  <si>
    <t>AMT_OUTSTANDING</t>
  </si>
  <si>
    <t>DDIS_AVERAGE_YEARS_MATURITY</t>
  </si>
  <si>
    <t>Not covered bond (New Issue)</t>
  </si>
  <si>
    <t>Maturity</t>
  </si>
  <si>
    <t>less than 1 year</t>
  </si>
  <si>
    <t>1 - 3 years</t>
  </si>
  <si>
    <t>3 - 5 years</t>
  </si>
  <si>
    <t>&gt; 5 years</t>
  </si>
  <si>
    <t xml:space="preserve">Low </t>
  </si>
  <si>
    <t>Share of O/S Amount</t>
  </si>
  <si>
    <t>&gt; 20%</t>
  </si>
  <si>
    <t>Asset Allocation</t>
  </si>
  <si>
    <t>RTG_FITCH</t>
  </si>
  <si>
    <t>RTG_SP</t>
  </si>
  <si>
    <t>RTG_MOODY</t>
  </si>
  <si>
    <t>Averaage Rating</t>
  </si>
  <si>
    <t>MIFID_ASSET_CLASS</t>
  </si>
  <si>
    <t>CNTRY_OF_RISK</t>
  </si>
  <si>
    <t>INDUSTRY_SECTOR</t>
  </si>
  <si>
    <t>INDUSTRY_SUBGROUP</t>
  </si>
  <si>
    <t>CAPITAL_CONTINGENT_SECURITY</t>
  </si>
  <si>
    <t>CAPITAL_TYP_COCO_INITIAL_TRIGGER</t>
  </si>
  <si>
    <t>SFC Sector</t>
  </si>
  <si>
    <t>SFC Industry</t>
  </si>
  <si>
    <t>SFC Rating Type</t>
  </si>
  <si>
    <t>SFC Country</t>
  </si>
  <si>
    <t>S&amp;P</t>
  </si>
  <si>
    <t>Score</t>
  </si>
  <si>
    <t>Moody's</t>
  </si>
  <si>
    <t>Fitch</t>
  </si>
  <si>
    <t>AAA</t>
  </si>
  <si>
    <t>Aaa</t>
  </si>
  <si>
    <t>AA+</t>
  </si>
  <si>
    <t>Aa1</t>
  </si>
  <si>
    <t>AA</t>
  </si>
  <si>
    <t>Aa2</t>
  </si>
  <si>
    <t>AA-</t>
  </si>
  <si>
    <t>Aa3</t>
  </si>
  <si>
    <t>A+</t>
  </si>
  <si>
    <t>A1</t>
  </si>
  <si>
    <t>A</t>
  </si>
  <si>
    <t>A2</t>
  </si>
  <si>
    <t>A-</t>
  </si>
  <si>
    <t>A3</t>
  </si>
  <si>
    <t>BBB+</t>
  </si>
  <si>
    <t>Baa1</t>
  </si>
  <si>
    <t>BBB</t>
  </si>
  <si>
    <t>Baa2</t>
  </si>
  <si>
    <t>BBB-</t>
  </si>
  <si>
    <t>Baa3</t>
  </si>
  <si>
    <t>BB+</t>
  </si>
  <si>
    <t>Ba1</t>
  </si>
  <si>
    <t>BB</t>
  </si>
  <si>
    <t>Ba2</t>
  </si>
  <si>
    <t>BB-</t>
  </si>
  <si>
    <t>Ba3</t>
  </si>
  <si>
    <t>B+</t>
  </si>
  <si>
    <t>B1</t>
  </si>
  <si>
    <t>B</t>
  </si>
  <si>
    <t>B2</t>
  </si>
  <si>
    <t>B-</t>
  </si>
  <si>
    <t>B3</t>
  </si>
  <si>
    <t>CCC+</t>
  </si>
  <si>
    <t>Caa1</t>
  </si>
  <si>
    <t>CCC</t>
  </si>
  <si>
    <t>Caa2</t>
  </si>
  <si>
    <t>CCC-</t>
  </si>
  <si>
    <t>Caa3</t>
  </si>
  <si>
    <t>CC</t>
  </si>
  <si>
    <t>Ca</t>
  </si>
  <si>
    <t>C</t>
  </si>
  <si>
    <t>SD</t>
  </si>
  <si>
    <t>D</t>
  </si>
  <si>
    <t>NR</t>
  </si>
  <si>
    <t>Country of Risk</t>
  </si>
  <si>
    <t>BBG Country</t>
  </si>
  <si>
    <t>SFC Reporting Country</t>
  </si>
  <si>
    <t>CN</t>
  </si>
  <si>
    <t>China</t>
  </si>
  <si>
    <t>FR</t>
  </si>
  <si>
    <t>France</t>
  </si>
  <si>
    <t>GB</t>
  </si>
  <si>
    <t>United Kingdom</t>
  </si>
  <si>
    <t>HK</t>
  </si>
  <si>
    <t>Hong Kong</t>
  </si>
  <si>
    <t>ID</t>
  </si>
  <si>
    <t>Indonesia</t>
  </si>
  <si>
    <t>Asia - others (1)</t>
  </si>
  <si>
    <t>JP</t>
  </si>
  <si>
    <t>Japan</t>
  </si>
  <si>
    <t>KR</t>
  </si>
  <si>
    <t>Korea</t>
  </si>
  <si>
    <t>Asia - others (3)</t>
  </si>
  <si>
    <t>KY</t>
  </si>
  <si>
    <t>Cayman Islands</t>
  </si>
  <si>
    <t>America - others (2)</t>
  </si>
  <si>
    <t>SG</t>
  </si>
  <si>
    <t>Singapore</t>
  </si>
  <si>
    <t>TH</t>
  </si>
  <si>
    <t>Thailand</t>
  </si>
  <si>
    <t>US</t>
  </si>
  <si>
    <t>United States of America</t>
  </si>
  <si>
    <t>Liquidity Profile</t>
  </si>
  <si>
    <t>3 - 7 days</t>
  </si>
  <si>
    <t>7 - 10 days</t>
  </si>
  <si>
    <t>Fixed Income</t>
  </si>
  <si>
    <t>Cash</t>
  </si>
  <si>
    <t>Asset Type</t>
  </si>
  <si>
    <t>BBG Code</t>
  </si>
  <si>
    <t>SFC Reporting Asset Class 1</t>
  </si>
  <si>
    <t>SFC Reporting Asset Class 2</t>
  </si>
  <si>
    <t>SECURITY_TYP2</t>
  </si>
  <si>
    <t>Government</t>
  </si>
  <si>
    <t>ES</t>
  </si>
  <si>
    <t>Spain</t>
  </si>
  <si>
    <t>Cash Adjustments</t>
  </si>
  <si>
    <t>Check :</t>
  </si>
  <si>
    <t>Listed Equity</t>
  </si>
  <si>
    <t>Unlisted Equity</t>
  </si>
  <si>
    <t>AE</t>
  </si>
  <si>
    <t>NL</t>
  </si>
  <si>
    <t>QA</t>
  </si>
  <si>
    <t>MO</t>
  </si>
  <si>
    <t>IN</t>
  </si>
  <si>
    <t>AU</t>
  </si>
  <si>
    <t>United Arab Emirates</t>
  </si>
  <si>
    <t>Netherlands</t>
  </si>
  <si>
    <t>Qatar</t>
  </si>
  <si>
    <t>India</t>
  </si>
  <si>
    <t>Australia</t>
  </si>
  <si>
    <t>Macau</t>
  </si>
  <si>
    <t>EXCH_MARKET_STATUS</t>
  </si>
  <si>
    <t>3 days or less</t>
  </si>
  <si>
    <t>10 days or more</t>
  </si>
  <si>
    <t>Financial</t>
  </si>
  <si>
    <t>Non-Financial</t>
  </si>
  <si>
    <t>Government / Municipal</t>
  </si>
  <si>
    <t>Investment Grade</t>
  </si>
  <si>
    <t>Non-Investment Grade</t>
  </si>
  <si>
    <t>Corporate</t>
  </si>
  <si>
    <t>Additional Tier 1, Contingent Convertibles and similar instrucments</t>
  </si>
  <si>
    <t>Equity (in USD)</t>
  </si>
  <si>
    <t>Fixed Income (in USD)</t>
  </si>
  <si>
    <t>Country</t>
  </si>
  <si>
    <t>SP Rating Score</t>
  </si>
  <si>
    <t>Moody Rating Score</t>
  </si>
  <si>
    <t>Fitch Rating Score</t>
  </si>
  <si>
    <t>A-u</t>
  </si>
  <si>
    <t>WR</t>
  </si>
  <si>
    <t>A-e</t>
  </si>
  <si>
    <t>B+e</t>
  </si>
  <si>
    <t>WD</t>
  </si>
  <si>
    <t>Cash Equivalents</t>
  </si>
  <si>
    <t>Money Market Fund</t>
  </si>
  <si>
    <t>Industry Sector = Funds</t>
  </si>
  <si>
    <t>(including money market instruments)</t>
  </si>
  <si>
    <t xml:space="preserve">Additional Tier 1/ Contingent Convertibles </t>
  </si>
  <si>
    <t>Others</t>
  </si>
  <si>
    <t>Average Credit Rating</t>
  </si>
  <si>
    <t>BBG Liquidity Category</t>
  </si>
  <si>
    <t>SFC Liquidity Bucket</t>
  </si>
  <si>
    <t>B or below (6)</t>
  </si>
  <si>
    <t>B or above (6)</t>
  </si>
  <si>
    <t>BBB or above (12)</t>
  </si>
  <si>
    <t>A or above (15)</t>
  </si>
  <si>
    <t>Sector</t>
  </si>
  <si>
    <t>Non-Rated</t>
  </si>
  <si>
    <t>HY</t>
  </si>
  <si>
    <t>IG</t>
  </si>
  <si>
    <t>check</t>
  </si>
  <si>
    <t>Consumer Discretionary</t>
  </si>
  <si>
    <t>Consumer Staples</t>
  </si>
  <si>
    <t>Communication Services</t>
  </si>
  <si>
    <t>Energy</t>
  </si>
  <si>
    <t>Financials</t>
  </si>
  <si>
    <t>Real Estate</t>
  </si>
  <si>
    <t>Utilities</t>
  </si>
  <si>
    <t>Health Care</t>
  </si>
  <si>
    <t>Information Technology</t>
  </si>
  <si>
    <t>Materials</t>
  </si>
  <si>
    <t>Industrials</t>
  </si>
  <si>
    <t>GICS_SECTOR_NAME</t>
  </si>
  <si>
    <t>Check</t>
  </si>
  <si>
    <t>Seucurities</t>
  </si>
  <si>
    <t>Highest liquidation cost</t>
  </si>
  <si>
    <t>Most liquid Positions</t>
  </si>
  <si>
    <t>Top 10</t>
  </si>
  <si>
    <t>Least liquid Positions</t>
  </si>
  <si>
    <t>BB ID</t>
  </si>
  <si>
    <t>Remarks :</t>
  </si>
  <si>
    <t>Lowest liquidation cost</t>
  </si>
  <si>
    <t>Bottom 10</t>
  </si>
  <si>
    <t>Fixed Income ex Equity ex Cash</t>
  </si>
  <si>
    <t>Cash Equivalent</t>
  </si>
  <si>
    <t>Equity - GICS Sector</t>
  </si>
  <si>
    <t>Grand Total</t>
  </si>
  <si>
    <t>Sum of Market Value (USD)</t>
  </si>
  <si>
    <t>Basic Materials</t>
  </si>
  <si>
    <t>Communications</t>
  </si>
  <si>
    <t>Consumer, Cyclical</t>
  </si>
  <si>
    <t>Industrial</t>
  </si>
  <si>
    <t>ISSUER_INDUSTRY</t>
  </si>
  <si>
    <t>Coal</t>
  </si>
  <si>
    <t>Distribution/Wholesale</t>
  </si>
  <si>
    <t>Diversified Finan Serv</t>
  </si>
  <si>
    <t>Energy-Alternate Sources</t>
  </si>
  <si>
    <t>(All)</t>
  </si>
  <si>
    <t>INDUSTRY_GROUP</t>
  </si>
  <si>
    <t>Banks</t>
  </si>
  <si>
    <t>Insurance</t>
  </si>
  <si>
    <t>Industry Group</t>
  </si>
  <si>
    <t>Chemicals</t>
  </si>
  <si>
    <t>Electric</t>
  </si>
  <si>
    <t>Engineering&amp;Construction</t>
  </si>
  <si>
    <t>Internet</t>
  </si>
  <si>
    <t>Metal Fabricate/Hardware</t>
  </si>
  <si>
    <t>Oil&amp;Gas</t>
  </si>
  <si>
    <t>Oil&amp;Gas Services</t>
  </si>
  <si>
    <t>Retail</t>
  </si>
  <si>
    <t>BOND_CLASSIFICATION_NAME</t>
  </si>
  <si>
    <t>BOND</t>
  </si>
  <si>
    <t>Fixed Avg Rating</t>
  </si>
  <si>
    <t>Net Cash</t>
  </si>
  <si>
    <t>AGILE 6.7 03/07/22</t>
  </si>
  <si>
    <t>XS1959497782</t>
  </si>
  <si>
    <t>ORIEAS 4.5 03/20/29</t>
  </si>
  <si>
    <t>XS1964673435</t>
  </si>
  <si>
    <t>RONXIN 11.25 08/22/21</t>
  </si>
  <si>
    <t>XS1950819729</t>
  </si>
  <si>
    <t>ZHPRHK 9.15 03/08/22</t>
  </si>
  <si>
    <t>XS1960071303</t>
  </si>
  <si>
    <t>Diff</t>
  </si>
  <si>
    <t>BBG00NGWHP25</t>
  </si>
  <si>
    <t>AGILE GROUP HOLDINGS LTD</t>
  </si>
  <si>
    <t>JOY TRSR ASSETS HLD</t>
  </si>
  <si>
    <t>BBG00NL43H88</t>
  </si>
  <si>
    <t>BBG00NDFM319</t>
  </si>
  <si>
    <t>BBG00NHNXCH9</t>
  </si>
  <si>
    <t>BBB-e</t>
  </si>
  <si>
    <t>BB+e</t>
  </si>
  <si>
    <t>AAAu</t>
  </si>
  <si>
    <t>BBBe</t>
  </si>
  <si>
    <t>TW</t>
  </si>
  <si>
    <t>MN</t>
  </si>
  <si>
    <t>CH</t>
  </si>
  <si>
    <t>breakdown of sub-groups</t>
  </si>
  <si>
    <t>America - others (1)</t>
  </si>
  <si>
    <t>Europe - others (1)</t>
  </si>
  <si>
    <t>Middle East - others (1)</t>
  </si>
  <si>
    <t>Africa - others</t>
  </si>
  <si>
    <t xml:space="preserve">Argentina </t>
  </si>
  <si>
    <t xml:space="preserve">Denmark </t>
  </si>
  <si>
    <t xml:space="preserve">Bahrain </t>
  </si>
  <si>
    <t xml:space="preserve">Algeria </t>
  </si>
  <si>
    <t xml:space="preserve">Burma </t>
  </si>
  <si>
    <t xml:space="preserve">Brazil </t>
  </si>
  <si>
    <t xml:space="preserve">Finland </t>
  </si>
  <si>
    <t xml:space="preserve">Israel </t>
  </si>
  <si>
    <t xml:space="preserve">Angola </t>
  </si>
  <si>
    <t xml:space="preserve">Cambodia </t>
  </si>
  <si>
    <t xml:space="preserve">Chile </t>
  </si>
  <si>
    <t xml:space="preserve">Iceland </t>
  </si>
  <si>
    <t xml:space="preserve">Kuwait </t>
  </si>
  <si>
    <t xml:space="preserve">Benin </t>
  </si>
  <si>
    <t xml:space="preserve">East Timor </t>
  </si>
  <si>
    <t xml:space="preserve">Mexico </t>
  </si>
  <si>
    <t xml:space="preserve">Norway </t>
  </si>
  <si>
    <t xml:space="preserve">Botswana </t>
  </si>
  <si>
    <t xml:space="preserve">Indonesia </t>
  </si>
  <si>
    <t xml:space="preserve">Sweden </t>
  </si>
  <si>
    <t>Middle East - others (2)</t>
  </si>
  <si>
    <t xml:space="preserve">Bouvet Island </t>
  </si>
  <si>
    <t xml:space="preserve">Laos </t>
  </si>
  <si>
    <t xml:space="preserve">Iran </t>
  </si>
  <si>
    <t xml:space="preserve">Burkina Faso </t>
  </si>
  <si>
    <t xml:space="preserve">Malaysia </t>
  </si>
  <si>
    <t xml:space="preserve">Antigua &amp; Barbuda </t>
  </si>
  <si>
    <t>Europe - others (2)</t>
  </si>
  <si>
    <t xml:space="preserve">Iraq </t>
  </si>
  <si>
    <t xml:space="preserve">Burundi </t>
  </si>
  <si>
    <t xml:space="preserve">Philippines </t>
  </si>
  <si>
    <t xml:space="preserve">Aruba </t>
  </si>
  <si>
    <t xml:space="preserve">Andorra </t>
  </si>
  <si>
    <t xml:space="preserve">Jordan </t>
  </si>
  <si>
    <t xml:space="preserve">Cameroon </t>
  </si>
  <si>
    <t xml:space="preserve">Thailand </t>
  </si>
  <si>
    <t xml:space="preserve">Bahamas </t>
  </si>
  <si>
    <t xml:space="preserve">Austria </t>
  </si>
  <si>
    <t xml:space="preserve">Lebanon </t>
  </si>
  <si>
    <t xml:space="preserve">Cape Verde </t>
  </si>
  <si>
    <t xml:space="preserve">Vietnam </t>
  </si>
  <si>
    <t xml:space="preserve">Barbados </t>
  </si>
  <si>
    <t xml:space="preserve">Cyprus </t>
  </si>
  <si>
    <t xml:space="preserve">Oman </t>
  </si>
  <si>
    <t xml:space="preserve">Central African Rep. </t>
  </si>
  <si>
    <t xml:space="preserve">Bermuda </t>
  </si>
  <si>
    <t xml:space="preserve">Faroe Islands </t>
  </si>
  <si>
    <t xml:space="preserve">Syria </t>
  </si>
  <si>
    <t xml:space="preserve">Chad </t>
  </si>
  <si>
    <t>Asia - others (2)</t>
  </si>
  <si>
    <t xml:space="preserve">Cayman Islands </t>
  </si>
  <si>
    <t xml:space="preserve">Greenland </t>
  </si>
  <si>
    <t xml:space="preserve">West Bank and Gaza </t>
  </si>
  <si>
    <t xml:space="preserve">Comoros </t>
  </si>
  <si>
    <t xml:space="preserve">Brunei </t>
  </si>
  <si>
    <t xml:space="preserve">Netherlands Antilles </t>
  </si>
  <si>
    <t xml:space="preserve">Guernsey </t>
  </si>
  <si>
    <t xml:space="preserve">Yemen </t>
  </si>
  <si>
    <t xml:space="preserve">Congo </t>
  </si>
  <si>
    <t xml:space="preserve">French Polynesia </t>
  </si>
  <si>
    <t xml:space="preserve">Puerto Rico </t>
  </si>
  <si>
    <t xml:space="preserve">Isle of Man </t>
  </si>
  <si>
    <t xml:space="preserve">Cote d'lovire </t>
  </si>
  <si>
    <t xml:space="preserve">Guam </t>
  </si>
  <si>
    <t xml:space="preserve">US Virgin Islands </t>
  </si>
  <si>
    <t xml:space="preserve">Jersey </t>
  </si>
  <si>
    <t xml:space="preserve">Dem. Rep. of Congo </t>
  </si>
  <si>
    <t xml:space="preserve">New Caledonia </t>
  </si>
  <si>
    <t xml:space="preserve">Liechtenstein </t>
  </si>
  <si>
    <t xml:space="preserve">Djibouti </t>
  </si>
  <si>
    <t>America - others (3)</t>
  </si>
  <si>
    <t xml:space="preserve">Malta </t>
  </si>
  <si>
    <t xml:space="preserve">Egypt </t>
  </si>
  <si>
    <t xml:space="preserve">Anguilla </t>
  </si>
  <si>
    <t xml:space="preserve">Monaco </t>
  </si>
  <si>
    <t xml:space="preserve">Equatorial Guinea </t>
  </si>
  <si>
    <t xml:space="preserve">Afghanistan </t>
  </si>
  <si>
    <t xml:space="preserve">Belize </t>
  </si>
  <si>
    <t xml:space="preserve">San Marino </t>
  </si>
  <si>
    <t xml:space="preserve">Eritrea </t>
  </si>
  <si>
    <t xml:space="preserve">American Samoa </t>
  </si>
  <si>
    <t xml:space="preserve">Bolivia </t>
  </si>
  <si>
    <t xml:space="preserve">Slovenia </t>
  </si>
  <si>
    <t xml:space="preserve">Ethiopia </t>
  </si>
  <si>
    <t xml:space="preserve">Armenia </t>
  </si>
  <si>
    <t xml:space="preserve">Bonaire </t>
  </si>
  <si>
    <t xml:space="preserve">Gabon </t>
  </si>
  <si>
    <t xml:space="preserve">Azerbaijan </t>
  </si>
  <si>
    <t xml:space="preserve">British Virgin Islands </t>
  </si>
  <si>
    <t>Europe - others (3)</t>
  </si>
  <si>
    <t xml:space="preserve">Gambia </t>
  </si>
  <si>
    <t xml:space="preserve">Bangladesh </t>
  </si>
  <si>
    <t xml:space="preserve">Colombia </t>
  </si>
  <si>
    <t xml:space="preserve">Albania </t>
  </si>
  <si>
    <t xml:space="preserve">Ghana </t>
  </si>
  <si>
    <t xml:space="preserve">Bhutan </t>
  </si>
  <si>
    <t xml:space="preserve">Costa Rica </t>
  </si>
  <si>
    <t xml:space="preserve">Belarus </t>
  </si>
  <si>
    <t xml:space="preserve">Guinea </t>
  </si>
  <si>
    <t xml:space="preserve">Christmas Island </t>
  </si>
  <si>
    <t xml:space="preserve">Cuba </t>
  </si>
  <si>
    <t xml:space="preserve">Bosnia &amp; Herzegovina </t>
  </si>
  <si>
    <t xml:space="preserve">Guinea-Bissau </t>
  </si>
  <si>
    <t xml:space="preserve">Cocos Islands </t>
  </si>
  <si>
    <t xml:space="preserve">Curacao </t>
  </si>
  <si>
    <t xml:space="preserve">Bulgaria </t>
  </si>
  <si>
    <t xml:space="preserve">Kenya </t>
  </si>
  <si>
    <t xml:space="preserve">Cook Islands </t>
  </si>
  <si>
    <t xml:space="preserve">Dominica </t>
  </si>
  <si>
    <t xml:space="preserve">Estonia </t>
  </si>
  <si>
    <t xml:space="preserve">Lesotho </t>
  </si>
  <si>
    <t xml:space="preserve">Fiji </t>
  </si>
  <si>
    <t xml:space="preserve">Dominican Republic </t>
  </si>
  <si>
    <t xml:space="preserve">Gibraltar </t>
  </si>
  <si>
    <t xml:space="preserve">Liberia </t>
  </si>
  <si>
    <t xml:space="preserve">Georgia </t>
  </si>
  <si>
    <t xml:space="preserve">Ecuador </t>
  </si>
  <si>
    <t xml:space="preserve">Hungary </t>
  </si>
  <si>
    <t xml:space="preserve">Libya </t>
  </si>
  <si>
    <t xml:space="preserve">Heard &amp; McDonald </t>
  </si>
  <si>
    <t xml:space="preserve">El Salvador </t>
  </si>
  <si>
    <t xml:space="preserve">Latvia </t>
  </si>
  <si>
    <t xml:space="preserve">Madagascar </t>
  </si>
  <si>
    <t xml:space="preserve">Kazakhstan </t>
  </si>
  <si>
    <t xml:space="preserve">Falkland Islands </t>
  </si>
  <si>
    <t xml:space="preserve">Lithuania </t>
  </si>
  <si>
    <t xml:space="preserve">Malawi </t>
  </si>
  <si>
    <t xml:space="preserve">Kiribati </t>
  </si>
  <si>
    <t xml:space="preserve">French Antilles </t>
  </si>
  <si>
    <t xml:space="preserve">Macedonia </t>
  </si>
  <si>
    <t xml:space="preserve">Mali </t>
  </si>
  <si>
    <t xml:space="preserve">Kyrgyzstan </t>
  </si>
  <si>
    <t xml:space="preserve">French Guiana </t>
  </si>
  <si>
    <t xml:space="preserve">Moldova </t>
  </si>
  <si>
    <t xml:space="preserve">Mauritania </t>
  </si>
  <si>
    <t xml:space="preserve">Maldives </t>
  </si>
  <si>
    <t xml:space="preserve">Grenada </t>
  </si>
  <si>
    <t xml:space="preserve">Romania </t>
  </si>
  <si>
    <t xml:space="preserve">Mauritius </t>
  </si>
  <si>
    <t xml:space="preserve">Marshall Islands </t>
  </si>
  <si>
    <t xml:space="preserve">Guadeloupe </t>
  </si>
  <si>
    <t xml:space="preserve">Serbia &amp; Montenegro </t>
  </si>
  <si>
    <t xml:space="preserve">Mayotte </t>
  </si>
  <si>
    <t xml:space="preserve">Micronesia </t>
  </si>
  <si>
    <t xml:space="preserve">Guatemala </t>
  </si>
  <si>
    <t xml:space="preserve">Slovakia </t>
  </si>
  <si>
    <t xml:space="preserve">Morocco </t>
  </si>
  <si>
    <t xml:space="preserve">Mongolia </t>
  </si>
  <si>
    <t xml:space="preserve">Guyana </t>
  </si>
  <si>
    <t xml:space="preserve">Svalbard </t>
  </si>
  <si>
    <t xml:space="preserve">Mozambique </t>
  </si>
  <si>
    <t xml:space="preserve">Nauru </t>
  </si>
  <si>
    <t xml:space="preserve">Haiti </t>
  </si>
  <si>
    <t xml:space="preserve">Ukraine </t>
  </si>
  <si>
    <t xml:space="preserve">Namibia </t>
  </si>
  <si>
    <t xml:space="preserve">Nepal </t>
  </si>
  <si>
    <t xml:space="preserve">Honduras </t>
  </si>
  <si>
    <t xml:space="preserve">Vatican City </t>
  </si>
  <si>
    <t xml:space="preserve">Niger </t>
  </si>
  <si>
    <t xml:space="preserve">Niue </t>
  </si>
  <si>
    <t xml:space="preserve">Jamaica </t>
  </si>
  <si>
    <t xml:space="preserve">Nigeria </t>
  </si>
  <si>
    <t xml:space="preserve">Norfolk Island </t>
  </si>
  <si>
    <t xml:space="preserve">Martinique </t>
  </si>
  <si>
    <t xml:space="preserve">Reunion Island </t>
  </si>
  <si>
    <t xml:space="preserve">North Korea </t>
  </si>
  <si>
    <t xml:space="preserve">Montserrat </t>
  </si>
  <si>
    <t xml:space="preserve">Rwanda </t>
  </si>
  <si>
    <t xml:space="preserve">Northern Mariana Isl. </t>
  </si>
  <si>
    <t xml:space="preserve">Nicaragua </t>
  </si>
  <si>
    <t xml:space="preserve">Sao Tome &amp; Principe </t>
  </si>
  <si>
    <t xml:space="preserve">Pakistan </t>
  </si>
  <si>
    <t xml:space="preserve">Panama </t>
  </si>
  <si>
    <t xml:space="preserve">Senegal </t>
  </si>
  <si>
    <t xml:space="preserve">Palau </t>
  </si>
  <si>
    <t xml:space="preserve">Paraguay </t>
  </si>
  <si>
    <t xml:space="preserve">Seychelles </t>
  </si>
  <si>
    <t xml:space="preserve">Papua New Guinea </t>
  </si>
  <si>
    <t xml:space="preserve">Peru </t>
  </si>
  <si>
    <t xml:space="preserve">Sierra Leone </t>
  </si>
  <si>
    <t xml:space="preserve">Pitcairn Islands </t>
  </si>
  <si>
    <t xml:space="preserve">St. Kitts &amp; Nevis </t>
  </si>
  <si>
    <t xml:space="preserve">Somalia </t>
  </si>
  <si>
    <t xml:space="preserve">Samoa </t>
  </si>
  <si>
    <t xml:space="preserve">St. Lucia </t>
  </si>
  <si>
    <t xml:space="preserve">St. Helena </t>
  </si>
  <si>
    <t xml:space="preserve">Solomon Islands </t>
  </si>
  <si>
    <t xml:space="preserve">St. Vincent &amp;  the Grenadines </t>
  </si>
  <si>
    <t xml:space="preserve">Sudan </t>
  </si>
  <si>
    <t xml:space="preserve">Sri Lanka </t>
  </si>
  <si>
    <t xml:space="preserve">Suriname </t>
  </si>
  <si>
    <t xml:space="preserve">Swaziland </t>
  </si>
  <si>
    <t xml:space="preserve">Tajikistan </t>
  </si>
  <si>
    <t xml:space="preserve">Trinidad &amp; Tobago </t>
  </si>
  <si>
    <t xml:space="preserve">Tanzania </t>
  </si>
  <si>
    <t xml:space="preserve">Tokelau </t>
  </si>
  <si>
    <t xml:space="preserve">Turks &amp; Caicos </t>
  </si>
  <si>
    <t xml:space="preserve">Togo </t>
  </si>
  <si>
    <t xml:space="preserve">Tonga </t>
  </si>
  <si>
    <t xml:space="preserve">Uruguay </t>
  </si>
  <si>
    <t xml:space="preserve">Tunisia </t>
  </si>
  <si>
    <t xml:space="preserve">Turkmenistan </t>
  </si>
  <si>
    <t xml:space="preserve">Venezuela </t>
  </si>
  <si>
    <t xml:space="preserve">Uganda </t>
  </si>
  <si>
    <t xml:space="preserve">Tuvalu </t>
  </si>
  <si>
    <t xml:space="preserve">Western Sahara </t>
  </si>
  <si>
    <t xml:space="preserve">Uzbekistan </t>
  </si>
  <si>
    <t xml:space="preserve">Zambia </t>
  </si>
  <si>
    <t xml:space="preserve">Vanuatu </t>
  </si>
  <si>
    <t xml:space="preserve">Zimbabwe </t>
  </si>
  <si>
    <t xml:space="preserve">Wallis &amp; Futuna Isl. </t>
  </si>
  <si>
    <t>Taiwan</t>
  </si>
  <si>
    <t>Mexico</t>
  </si>
  <si>
    <t>Switzerland</t>
  </si>
  <si>
    <t>Row Labels</t>
  </si>
  <si>
    <t>Count</t>
  </si>
  <si>
    <t>1. Others refer to cash, cash adjustment and derivatives.</t>
  </si>
  <si>
    <t>2. New issues are not covered in Bloomberg LQA liquidity risk module due to lack of pricing history. In this case, liquidity is determined by the share of outstanding amount, credit rating and years to maturity.</t>
  </si>
  <si>
    <t>Ba1u</t>
  </si>
  <si>
    <t>XS1976766045</t>
  </si>
  <si>
    <t>BBG00NV0G541</t>
  </si>
  <si>
    <t>XS1958219922</t>
  </si>
  <si>
    <t>BBG00NV899R9</t>
  </si>
  <si>
    <t>XIHUI HAIWAI I INVST</t>
  </si>
  <si>
    <t>END-OF-FILE</t>
  </si>
  <si>
    <t>VNET 7.875 10/15/21</t>
  </si>
  <si>
    <t>XIHUI 4.5 04/17/22</t>
  </si>
  <si>
    <t>M-MKt</t>
  </si>
  <si>
    <t>1. to handle money market instrument</t>
  </si>
  <si>
    <t>B-e</t>
  </si>
  <si>
    <t>SA</t>
  </si>
  <si>
    <t>Saudi Arabia</t>
  </si>
  <si>
    <t>CALC_MATURITY</t>
  </si>
  <si>
    <t>Years to Maturity</t>
  </si>
  <si>
    <r>
      <t>Maturity B</t>
    </r>
    <r>
      <rPr>
        <sz val="11"/>
        <color theme="1"/>
        <rFont val="Calibri"/>
        <family val="2"/>
        <scheme val="minor"/>
      </rPr>
      <t>ucket</t>
    </r>
  </si>
  <si>
    <t>Weighted Maturity</t>
  </si>
  <si>
    <t>DUR_ADJ_MID</t>
  </si>
  <si>
    <t>Weighted Duration</t>
  </si>
  <si>
    <t>YLD_YTM_MID</t>
  </si>
  <si>
    <t>Weighted Yield</t>
  </si>
  <si>
    <t>Liquidation Horizon (Stress)</t>
  </si>
  <si>
    <t>Liquidation Cost (Stress)</t>
  </si>
  <si>
    <t>BBG Liquidity Category (Stress)</t>
  </si>
  <si>
    <t>TENCENT HOLDINGS LTD</t>
  </si>
  <si>
    <t>700 HK</t>
  </si>
  <si>
    <t>YWSOAO 4.5 05/30/22</t>
  </si>
  <si>
    <t>XS1831038143</t>
  </si>
  <si>
    <t>Average YTM 
(Ex Cash and Derivatives) :</t>
  </si>
  <si>
    <t>Average Maturity 
(Ex Cash and Derivatives) :</t>
  </si>
  <si>
    <t>700 HK Equity</t>
  </si>
  <si>
    <t>BBG00P7N38J5</t>
  </si>
  <si>
    <t>CHOUZHOU INTL INV LTD</t>
  </si>
  <si>
    <t>BBG000BJ35N5</t>
  </si>
  <si>
    <t>Tencent Holdings Ltd</t>
  </si>
  <si>
    <t>Alibaba Group Holding Ltd</t>
  </si>
  <si>
    <t>SE</t>
  </si>
  <si>
    <t>Sweden</t>
  </si>
  <si>
    <t>Mining</t>
  </si>
  <si>
    <t>Average Credit Rating 
(Fixed Income ex Cash) :</t>
  </si>
  <si>
    <t>Summary</t>
  </si>
  <si>
    <t>User Name</t>
  </si>
  <si>
    <t>DAPHNE KEUNG</t>
  </si>
  <si>
    <t>Portfolio</t>
  </si>
  <si>
    <t>19437</t>
  </si>
  <si>
    <t>As-of Date</t>
  </si>
  <si>
    <t>Currency</t>
  </si>
  <si>
    <t>Risk Model</t>
  </si>
  <si>
    <t>Bloomberg Risk Model (Regional)</t>
  </si>
  <si>
    <t>Horizon</t>
  </si>
  <si>
    <t>1 month (22 days) (Scaled 1D)</t>
  </si>
  <si>
    <t>Confidence Level</t>
  </si>
  <si>
    <t>Reporting Units</t>
  </si>
  <si>
    <t>Detail</t>
  </si>
  <si>
    <t/>
  </si>
  <si>
    <t>CVaR (MC)</t>
  </si>
  <si>
    <t>Marginal VaR (MC)</t>
  </si>
  <si>
    <t>Mkt Val</t>
  </si>
  <si>
    <t>Pos</t>
  </si>
  <si>
    <t>% Wgt</t>
  </si>
  <si>
    <t>ANHUII 4 ⅞ 10/18/21</t>
  </si>
  <si>
    <t>CAPG 8 ½ 01/23/22</t>
  </si>
  <si>
    <t>CHINSC 8 ¾ 01/15/21</t>
  </si>
  <si>
    <t>CHPWCN 4.3 PERP</t>
  </si>
  <si>
    <t>CHSCOI 6 PERP</t>
  </si>
  <si>
    <t>CHUANT 4 ⅝ 09/26/21</t>
  </si>
  <si>
    <t>CIFIHG 7 ⅝ 03/02/21</t>
  </si>
  <si>
    <t>CINDBK 4 ⅝ 02/28/29</t>
  </si>
  <si>
    <t>CMHI 4 ⅜ 08/06/23</t>
  </si>
  <si>
    <t>COGO 4 ⅞ 06/01/21</t>
  </si>
  <si>
    <t>EURO</t>
  </si>
  <si>
    <t>Future Margin of 19437-A</t>
  </si>
  <si>
    <t>Future Margin of 19437-B</t>
  </si>
  <si>
    <t>GRNCH 8 ⅛ PERP</t>
  </si>
  <si>
    <t>GRWALL 4 ⅜ 05/25/23</t>
  </si>
  <si>
    <t>HONG KONG DOLLAR</t>
  </si>
  <si>
    <t>HPDLF 7 ½ 06/27/22</t>
  </si>
  <si>
    <t>JINKE 8 ⅜ 06/20/21</t>
  </si>
  <si>
    <t>LOGPH 7 ½ 08/25/22</t>
  </si>
  <si>
    <t>LOGPH 7 ½ 08/27/21</t>
  </si>
  <si>
    <t>MSINS 4.95 PERP</t>
  </si>
  <si>
    <t>MYLIFE 5.2 10/20/45</t>
  </si>
  <si>
    <t>ORIEAS 4 ½ 03/20/29</t>
  </si>
  <si>
    <t>PNSTTA 6 ⅝ 06/17/31</t>
  </si>
  <si>
    <t>POSABK 4 ½ PERP</t>
  </si>
  <si>
    <t>PWCNPG 4 ½ 12/06/21</t>
  </si>
  <si>
    <t>RONXIN 10 ½ 03/01/22</t>
  </si>
  <si>
    <t>RONXIN 11 ¼ 08/22/21</t>
  </si>
  <si>
    <t>SHCMBK 5 01/17/29</t>
  </si>
  <si>
    <t>SHIMAO 6 ⅛ 02/21/24</t>
  </si>
  <si>
    <t>SHINFN 5 ⅞ PERP</t>
  </si>
  <si>
    <t>SIB 5 PERP</t>
  </si>
  <si>
    <t>SUNAC 7 ⅞ 02/15/22</t>
  </si>
  <si>
    <t>SUNAC 8 ⅜ 01/15/21</t>
  </si>
  <si>
    <t>SUNAC 8 ⅝ 07/27/20</t>
  </si>
  <si>
    <t>TPHL 7 ⅝ 02/21/22</t>
  </si>
  <si>
    <t>US DOLLAR</t>
  </si>
  <si>
    <t>VNET 7 ⅞ 10/15/21</t>
  </si>
  <si>
    <t>WUXIMU 4 ½ 04/17/22</t>
  </si>
  <si>
    <t>YGCZCH 4 ¾ 11/30/20</t>
  </si>
  <si>
    <t>YWSOAO 4 ½ 05/30/22</t>
  </si>
  <si>
    <t>ISIN</t>
  </si>
  <si>
    <t>VaR % (MC)</t>
  </si>
  <si>
    <t>VaR % (Hist2Y)</t>
  </si>
  <si>
    <t>CVaR (Hist2Y)</t>
  </si>
  <si>
    <t>Marginal VaR (Hist2Y)</t>
  </si>
  <si>
    <t>BBG - 95% VAR (Historical 2 Yr)</t>
  </si>
  <si>
    <t>HK0000069689</t>
  </si>
  <si>
    <t>HK0941009539</t>
  </si>
  <si>
    <t>XS2008565116</t>
  </si>
  <si>
    <t>HK0002007356</t>
  </si>
  <si>
    <t>HK0270001396</t>
  </si>
  <si>
    <t>HK0000093390</t>
  </si>
  <si>
    <t>XS1813551584</t>
  </si>
  <si>
    <t>CNE1000003G1</t>
  </si>
  <si>
    <t>XS2010988074</t>
  </si>
  <si>
    <t>HK0823032773</t>
  </si>
  <si>
    <t>HK0066009694</t>
  </si>
  <si>
    <t>CNE1000003X6</t>
  </si>
  <si>
    <t>XS1684793018</t>
  </si>
  <si>
    <t>HK0006000050</t>
  </si>
  <si>
    <t>XS2010323009</t>
  </si>
  <si>
    <t>KYG875721634</t>
  </si>
  <si>
    <t>ID_ISIN</t>
  </si>
  <si>
    <t>95% 1-month VaR (Hist 2Y) :</t>
  </si>
  <si>
    <t>Stress Test - Lehman Default 2008 :</t>
  </si>
  <si>
    <t>P&amp;L% (Equity Markets Rebound in 2009)</t>
  </si>
  <si>
    <t>P&amp;L% (Greece Financial Crisis - 2015)</t>
  </si>
  <si>
    <t>P&amp;L% (Russian Financial Crisis - 2008)</t>
  </si>
  <si>
    <t>P&amp;L% (Oil prices Drop - May 2010)</t>
  </si>
  <si>
    <t>P&amp;L% (Japan Earthquake in Mar 2011)</t>
  </si>
  <si>
    <t>P&amp;L% (Debt Ceiling Crisis &amp; Downgrade in 2011)</t>
  </si>
  <si>
    <t>P&amp;L% (Equities down 10%)</t>
  </si>
  <si>
    <t>P&amp;L% (Lehman Default - 2008)</t>
  </si>
  <si>
    <t>CHPWCN V4.3 PERP EMTN</t>
  </si>
  <si>
    <t>HPDLF 7.5 06/27/22</t>
  </si>
  <si>
    <t>JINKE 8.375 06/20/21</t>
  </si>
  <si>
    <t>SIB V5 PERP</t>
  </si>
  <si>
    <t>BBG00PDL9DV1</t>
  </si>
  <si>
    <t>DIANJIAN HAIYU LTD</t>
  </si>
  <si>
    <t>BBG00PGHK257</t>
  </si>
  <si>
    <t>HOPSON DEVELOPMENT HLDGS</t>
  </si>
  <si>
    <t>BBG00PDL9DC2</t>
  </si>
  <si>
    <t>JINKE PROPERTIES GROUP</t>
  </si>
  <si>
    <t>BBG00PKD4F69</t>
  </si>
  <si>
    <t>SIB TIER 1 SUKUK CO</t>
  </si>
  <si>
    <t>REPLYFILENAME=LQA_DIF_Stress.csv</t>
  </si>
  <si>
    <t>Philippines</t>
  </si>
  <si>
    <t>PH</t>
  </si>
  <si>
    <t>HR</t>
  </si>
  <si>
    <t>Croatia</t>
  </si>
  <si>
    <t>Under Normal Scenario</t>
  </si>
  <si>
    <t>Under Stress Scenario</t>
  </si>
  <si>
    <t>AuM (USD m) :</t>
  </si>
  <si>
    <t>Gross Market Value (USD)</t>
  </si>
  <si>
    <t>Gross MV (%)</t>
  </si>
  <si>
    <t>3. Bloomberg LQA Model Assumption for Normal Scenario: Redemption size 100%, Participation Rate 20% for equity, 20-day Trading Volume, Bid-Ask Spread 1X, Expected Daily Volume 1X, Volatility 1X, Confidence Level 95%.</t>
  </si>
  <si>
    <t>5. When issue has split rating, credit rating is determined based on the middle rating of S&amp;P, Moody's and Fitch. If only two ratings are available, the lowest rating will be applied.</t>
  </si>
  <si>
    <t>6. Total may not add up due to rounding.</t>
  </si>
  <si>
    <t>Ex. Derivatives</t>
  </si>
  <si>
    <t>Rating Bucket (ex Cash, Cash Adjustments, Derivatives, Equity)</t>
  </si>
  <si>
    <t>SFC Liquidity Bucket (Stress)</t>
  </si>
  <si>
    <t>BB *-</t>
  </si>
  <si>
    <t>BB- *-</t>
  </si>
  <si>
    <t>CHOHIN V5.7 PERP EMTN</t>
  </si>
  <si>
    <t>XS2020061326</t>
  </si>
  <si>
    <t>HONGQI 7.125 07/22/22</t>
  </si>
  <si>
    <t>XS2024786035</t>
  </si>
  <si>
    <t>HONHUA 6.375 08/01/22</t>
  </si>
  <si>
    <t>XS2034868047</t>
  </si>
  <si>
    <t>CHOHIN 5.7 PERP</t>
  </si>
  <si>
    <t>HONGQI 7 ⅛ 07/22/22</t>
  </si>
  <si>
    <t>HONHUA 6 ⅜ 08/01/22</t>
  </si>
  <si>
    <t>BBG00PMFP1T5</t>
  </si>
  <si>
    <t>CHONG HING BANK LTD</t>
  </si>
  <si>
    <t>SCIG INTL CAYMAN LTD</t>
  </si>
  <si>
    <t>BBG00PQ3PWZ3</t>
  </si>
  <si>
    <t>CHINA HONGQIAO GROUP LTD</t>
  </si>
  <si>
    <t>BBG00PV1L0V9</t>
  </si>
  <si>
    <t>HONGHUA GROUP LTD</t>
  </si>
  <si>
    <t>(P)Ba3</t>
  </si>
  <si>
    <t>DE</t>
  </si>
  <si>
    <t>Germany</t>
  </si>
  <si>
    <t>P&amp;L% (EUR down 10% vs. USD)</t>
  </si>
  <si>
    <t>P&amp;L% (Equities up 10%)</t>
  </si>
  <si>
    <t>P&amp;L% (IG - IR Shock +50bps , OAS +30bps)</t>
  </si>
  <si>
    <t>Vietnam</t>
  </si>
  <si>
    <t>VN</t>
  </si>
  <si>
    <t>Average Duration 
(Ex Cash) :</t>
  </si>
  <si>
    <t>CHINA MERCHANTS BANK-H</t>
  </si>
  <si>
    <t>3968 HK</t>
  </si>
  <si>
    <t>HONG KONG EXCHANGES &amp; CLEAR</t>
  </si>
  <si>
    <t>388 HK</t>
  </si>
  <si>
    <t>CHINSC 7.45 04/17/21</t>
  </si>
  <si>
    <t>XS1795479291</t>
  </si>
  <si>
    <t>CIFIHG 6.875 04/23/21</t>
  </si>
  <si>
    <t>XS1801151371</t>
  </si>
  <si>
    <t>CISIFG 5 08/28/20</t>
  </si>
  <si>
    <t>XS2042630355</t>
  </si>
  <si>
    <t>LOGPH 6.375 03/07/21</t>
  </si>
  <si>
    <t>XS1772325210</t>
  </si>
  <si>
    <t>Trustee Figure</t>
  </si>
  <si>
    <t>Remark</t>
  </si>
  <si>
    <t>CNE1000002M1</t>
  </si>
  <si>
    <t>CIFIHG 6 ⅞ 04/23/21</t>
  </si>
  <si>
    <t>HK0388045442</t>
  </si>
  <si>
    <t>LOGPH 6 ⅜ 03/07/21</t>
  </si>
  <si>
    <t>Port</t>
  </si>
  <si>
    <t>VaR % Contrib (Hist2Y)</t>
  </si>
  <si>
    <t>VaR % Contrib (MC)</t>
  </si>
  <si>
    <t>BBG00KDP8LC7</t>
  </si>
  <si>
    <t>BBG00KKDSP44</t>
  </si>
  <si>
    <t>BBG00Q3NXL14</t>
  </si>
  <si>
    <t>CISI FINANCIAL GROUP LTD</t>
  </si>
  <si>
    <t>BBG00K6FDF25</t>
  </si>
  <si>
    <t>3968 HK Equity</t>
  </si>
  <si>
    <t>BBG000DVPPK1</t>
  </si>
  <si>
    <t>China Merchants Bank Co Ltd</t>
  </si>
  <si>
    <t>388 HK Equity</t>
  </si>
  <si>
    <t>BBG000BGW354</t>
  </si>
  <si>
    <t>HKEX</t>
  </si>
  <si>
    <t>END-OF-DATA</t>
  </si>
  <si>
    <t>BBG - Stress Test (Lehman)</t>
  </si>
  <si>
    <t>4. Bloomberg LQA Model Assumption for Stress Scenario (Lehman Crisis 2008) : Redemption size 100%, Participation Rate 10% for equity, 20-day Trading Volume, Bid-Ask Spread 0.9X, Expected Daily Volume 1.2X for bond (1.7X for Equity), Volatility 2X for bond (1.3X for Equity), Confidence Level 99%.</t>
  </si>
  <si>
    <t>BBe</t>
  </si>
  <si>
    <t>Legal Fee Payable</t>
  </si>
  <si>
    <t>COUNTRY GARDEN HLDGS</t>
  </si>
  <si>
    <t>Baa3u</t>
  </si>
  <si>
    <t>B1 *+</t>
  </si>
  <si>
    <t>Ba3 *-</t>
  </si>
  <si>
    <t>95% 1-month CVaR (Hist 2Y) :</t>
  </si>
  <si>
    <r>
      <t>Duration B</t>
    </r>
    <r>
      <rPr>
        <sz val="11"/>
        <color theme="1"/>
        <rFont val="Calibri"/>
        <family val="2"/>
        <scheme val="minor"/>
      </rPr>
      <t>ucket</t>
    </r>
  </si>
  <si>
    <t>Ex. Cash</t>
  </si>
  <si>
    <t>Fixed Income ex Cash</t>
  </si>
  <si>
    <t>Duration Contribution</t>
  </si>
  <si>
    <t>0 - 1 yr</t>
  </si>
  <si>
    <t>10 yrs or Above</t>
  </si>
  <si>
    <t>7 - 10 yrs</t>
  </si>
  <si>
    <t>2 - 3 yrs</t>
  </si>
  <si>
    <t>5 - 7 yrs</t>
  </si>
  <si>
    <t>3 - 5 yrs</t>
  </si>
  <si>
    <t>1 - 2 yrs</t>
  </si>
  <si>
    <t>Duration Bucket</t>
  </si>
  <si>
    <t>Stress Test</t>
  </si>
  <si>
    <t>Total Risk</t>
  </si>
  <si>
    <t>Securities</t>
  </si>
  <si>
    <t>Weight</t>
  </si>
  <si>
    <t>Yield Curve</t>
  </si>
  <si>
    <t>Industry</t>
  </si>
  <si>
    <t>Style</t>
  </si>
  <si>
    <t>Spread</t>
  </si>
  <si>
    <t>% Contribution to Risk</t>
  </si>
  <si>
    <t>Risk Decomposition</t>
  </si>
  <si>
    <t>Factor Type</t>
  </si>
  <si>
    <t>Bmk</t>
  </si>
  <si>
    <t>Factor</t>
  </si>
  <si>
    <t>Non-Factor</t>
  </si>
  <si>
    <t>VaR</t>
  </si>
  <si>
    <t>Not Classified</t>
  </si>
  <si>
    <t>Diversified Banks</t>
  </si>
  <si>
    <t>Retail - Discretionary</t>
  </si>
  <si>
    <t>Distributors - Consumer Discretionary</t>
  </si>
  <si>
    <t>Wireless Telecommunications Services</t>
  </si>
  <si>
    <t>Exploration &amp; Production</t>
  </si>
  <si>
    <t>Metals &amp; Mining</t>
  </si>
  <si>
    <t>Banking</t>
  </si>
  <si>
    <t>Telecom</t>
  </si>
  <si>
    <t>Industrial Other</t>
  </si>
  <si>
    <t>Financial Services</t>
  </si>
  <si>
    <t>Consumer Finance</t>
  </si>
  <si>
    <t>Transportation &amp; Logistics</t>
  </si>
  <si>
    <t>Life Insurance</t>
  </si>
  <si>
    <t>Oil &amp; Gas Services &amp; Equipment</t>
  </si>
  <si>
    <t>Institutional Financial Svcs</t>
  </si>
  <si>
    <t>Manufactured Goods</t>
  </si>
  <si>
    <t>Power Generation</t>
  </si>
  <si>
    <t>Property &amp; Casualty Insurance</t>
  </si>
  <si>
    <t>Passenger Transportation</t>
  </si>
  <si>
    <t>Integrated Oils</t>
  </si>
  <si>
    <t>Travel &amp; Lodging</t>
  </si>
  <si>
    <t>Sovereigns</t>
  </si>
  <si>
    <t>Media</t>
  </si>
  <si>
    <t>Wireline Telecommunications Services</t>
  </si>
  <si>
    <t>Coal Operations</t>
  </si>
  <si>
    <t>Sum of VaR % Contrib (Hist2Y)</t>
  </si>
  <si>
    <t>Remarks : Total may not add up due to rounding</t>
  </si>
  <si>
    <t>CHINA MENGNIU DAIRY CO</t>
  </si>
  <si>
    <t>KYG210961051</t>
  </si>
  <si>
    <t>2319 HK</t>
  </si>
  <si>
    <t>Returns (%)</t>
  </si>
  <si>
    <t>2319 HK Equity</t>
  </si>
  <si>
    <t>BBG000PXTGY5</t>
  </si>
  <si>
    <t>China Mengniu Dairy Co Ltd</t>
  </si>
  <si>
    <t>BR</t>
  </si>
  <si>
    <t>Brazil</t>
  </si>
  <si>
    <t>Bottom 10 Risk Contributors</t>
  </si>
  <si>
    <t>Top 10 Risk Contributors</t>
  </si>
  <si>
    <t>ALIBABA GROUP HOLDING LTD</t>
  </si>
  <si>
    <t>9988 HK</t>
  </si>
  <si>
    <t>CHALUM V5 PERP</t>
  </si>
  <si>
    <t>XS2079799024</t>
  </si>
  <si>
    <t>DALWAN 6.95 12/05/22</t>
  </si>
  <si>
    <t>XS2078814147</t>
  </si>
  <si>
    <t>PWRLNG 7.125 11/08/22</t>
  </si>
  <si>
    <t>XS2078556342</t>
  </si>
  <si>
    <t>PWRLNG 9.125 01/14/21</t>
  </si>
  <si>
    <t>XS1932406314</t>
  </si>
  <si>
    <t>SUNSHI 10 02/12/23</t>
  </si>
  <si>
    <t>XS2056435246</t>
  </si>
  <si>
    <t>SUNSHI 10.25 03/18/22</t>
  </si>
  <si>
    <t>XS2008157856</t>
  </si>
  <si>
    <t>SUNSHI 9.5 04/03/21</t>
  </si>
  <si>
    <t>XS1973241125</t>
  </si>
  <si>
    <t>System Fee Payable</t>
  </si>
  <si>
    <t>Bond Interest - (XS1728036952) YANKUANG GROUP CAYMAN 4.75% received on 29 Nov in advance at Trustee record and Geneva scheduled to be received on 2 Dec. No NAV impact ass whole</t>
  </si>
  <si>
    <t>KYG017191142</t>
  </si>
  <si>
    <t>PWRLNG 7 ⅛ 11/08/22</t>
  </si>
  <si>
    <t>PWRLNG 9 ⅛ 01/14/21</t>
  </si>
  <si>
    <t>SUNSHI 10 ¼ 03/18/22</t>
  </si>
  <si>
    <t>SUNSHI 9 ½ 04/03/21</t>
  </si>
  <si>
    <t>CHALUM 5 PERP</t>
  </si>
  <si>
    <t>BBG00QT8QWY7</t>
  </si>
  <si>
    <t>CHALIECO HONG KONG CORP</t>
  </si>
  <si>
    <t>BBG00QYPDPC6</t>
  </si>
  <si>
    <t>WANDA PROPERTIES OVERSEA</t>
  </si>
  <si>
    <t>NANYANG COMMERCIAL BANK</t>
  </si>
  <si>
    <t>BBG00QRVV8P5</t>
  </si>
  <si>
    <t>POWERLONG REAL ESTATE</t>
  </si>
  <si>
    <t>BBG00N0J9QB8</t>
  </si>
  <si>
    <t>BBG00QRVV6Z8</t>
  </si>
  <si>
    <t>YANGO JUSTICE INTL</t>
  </si>
  <si>
    <t>BBG00PDYXN26</t>
  </si>
  <si>
    <t>BBG00NQF0SC2</t>
  </si>
  <si>
    <t>9988 HK Equity</t>
  </si>
  <si>
    <t>BBG00QV37ZP9</t>
  </si>
  <si>
    <t>Consumer, Non-cyclical</t>
  </si>
  <si>
    <t>CCAMCL 4.45 PERP</t>
  </si>
  <si>
    <t>XS1496760239</t>
  </si>
  <si>
    <t>FTHDGR 11 ¾ 04/17/22</t>
  </si>
  <si>
    <t>XS1982124239</t>
  </si>
  <si>
    <t>FTHDGR 12 ¼ 10/18/22</t>
  </si>
  <si>
    <t>XS2030329358</t>
  </si>
  <si>
    <t>FTHDGR 15 12/18/21</t>
  </si>
  <si>
    <t>XS1924249680</t>
  </si>
  <si>
    <t>FTHDGR 8 ⅜ 03/08/21</t>
  </si>
  <si>
    <t>XS1784286327</t>
  </si>
  <si>
    <t>MDLNIJ 6.95 04/13/24</t>
  </si>
  <si>
    <t>XS1592893546</t>
  </si>
  <si>
    <t>NANYAN 5 PERP</t>
  </si>
  <si>
    <t>XS1618163452</t>
  </si>
  <si>
    <t>REDSUN 11 ½ 03/04/21</t>
  </si>
  <si>
    <t>XS1958110089</t>
  </si>
  <si>
    <t>REDSUN 13 ½ 12/03/20</t>
  </si>
  <si>
    <t>XS1908223545</t>
  </si>
  <si>
    <t>CCAMCL V4.45 PERP</t>
  </si>
  <si>
    <t>FTHDGR 11.75 04/17/22</t>
  </si>
  <si>
    <t>FTHDGR 12.25 10/18/22</t>
  </si>
  <si>
    <t>FTHDGR 8.375 03/08/21</t>
  </si>
  <si>
    <t>NANYAN V5 PERP</t>
  </si>
  <si>
    <t>REDSUN 11.5 03/04/21</t>
  </si>
  <si>
    <t>REDSUN 13.5 12/03/20</t>
  </si>
  <si>
    <t>BBG00DVX5HS1</t>
  </si>
  <si>
    <t>CHINA CINDA ASSET MGMT</t>
  </si>
  <si>
    <t>BBG00NV886P8</t>
  </si>
  <si>
    <t>FANTASIA HOLDINGS GROUP</t>
  </si>
  <si>
    <t>BBG00PQ3QH67</t>
  </si>
  <si>
    <t>BBG00MSJ57C5</t>
  </si>
  <si>
    <t>BBG00K7D75S0</t>
  </si>
  <si>
    <t>BBG00GDDS1Y1</t>
  </si>
  <si>
    <t>MODERNLAND OVERSEAS PTE</t>
  </si>
  <si>
    <t>BBG00GSCY4N6</t>
  </si>
  <si>
    <t>BBG00NG9L0S8</t>
  </si>
  <si>
    <t>RED SUN PROPERTIES GRP</t>
  </si>
  <si>
    <t>BBG00MNWHQT8</t>
  </si>
  <si>
    <t>MEITUAN DIANPING-CLASS B</t>
  </si>
  <si>
    <t>3690 HK</t>
  </si>
  <si>
    <t>BBTNIJ 4.2 01/23/25</t>
  </si>
  <si>
    <t>XS2099372802</t>
  </si>
  <si>
    <t>BYANIJ 6.125 01/24/23 REGS</t>
  </si>
  <si>
    <t>USY711AJAA00</t>
  </si>
  <si>
    <t>COGARD 5.125 01/14/27</t>
  </si>
  <si>
    <t>XS2100725949</t>
  </si>
  <si>
    <t>COGARD 5.625 01/14/30</t>
  </si>
  <si>
    <t>XS2100726160</t>
  </si>
  <si>
    <t>DALWAN 6.875 07/23/23</t>
  </si>
  <si>
    <t>XS2100658066</t>
  </si>
  <si>
    <t>KIJAIJ 6.5 10/05/23 REGS</t>
  </si>
  <si>
    <t>USN4717BAD84</t>
  </si>
  <si>
    <t>LPKRIJ 8.125 01/22/25</t>
  </si>
  <si>
    <t>XS2099273737</t>
  </si>
  <si>
    <t>REDSUN 9.95 04/11/22</t>
  </si>
  <si>
    <t>XS1976473618</t>
  </si>
  <si>
    <t>SUNAC 7.95 08/08/22</t>
  </si>
  <si>
    <t>XS1594400449</t>
  </si>
  <si>
    <t>SUNSHI 9.25 04/15/23</t>
  </si>
  <si>
    <t>XS2100664544</t>
  </si>
  <si>
    <t>Receivable</t>
  </si>
  <si>
    <t>SoldAI</t>
  </si>
  <si>
    <t>BYANIJ 6 ⅛ 01/24/23</t>
  </si>
  <si>
    <t>DALWAN 6 ⅞ 07/23/23</t>
  </si>
  <si>
    <t>KIJAIJ 6 ½ 10/05/23</t>
  </si>
  <si>
    <t>LPKRIJ 8 ⅛ 01/22/25</t>
  </si>
  <si>
    <t>KYG596691041</t>
  </si>
  <si>
    <t>SUNSHI 9 ¼ 04/15/23</t>
  </si>
  <si>
    <t>P&amp;L% (2003 SARS)</t>
  </si>
  <si>
    <t>Net Derivative Exposure :</t>
  </si>
  <si>
    <t>BBG00RDBJ3B2</t>
  </si>
  <si>
    <t>PT BANK TABUNGAN NEGARA</t>
  </si>
  <si>
    <t>BBG00RCY5V08</t>
  </si>
  <si>
    <t>BAYAN RESOURCES TBK PT</t>
  </si>
  <si>
    <t>BBG00R9SN7F2</t>
  </si>
  <si>
    <t>BBG00R9SNB81</t>
  </si>
  <si>
    <t>BBG00RH7GJ34</t>
  </si>
  <si>
    <t>BBG00DXBXRD0</t>
  </si>
  <si>
    <t>JABABEKA INTERNATIONAL</t>
  </si>
  <si>
    <t>BBG00RD4VH41</t>
  </si>
  <si>
    <t>THETA CAPITAL PTE LTD</t>
  </si>
  <si>
    <t>BBG00NTXM180</t>
  </si>
  <si>
    <t xml:space="preserve"> </t>
  </si>
  <si>
    <t>BBG00HC2ZDQ9</t>
  </si>
  <si>
    <t>BBG00RB30509</t>
  </si>
  <si>
    <t>3690 HK Equity</t>
  </si>
  <si>
    <t>BBG00LLV9WW6</t>
  </si>
  <si>
    <t>Meituan Dianping</t>
  </si>
  <si>
    <t>CL</t>
  </si>
  <si>
    <t>Chile</t>
  </si>
  <si>
    <t>Commercial Services</t>
  </si>
  <si>
    <t>HK ELECTRIC INVESTMENTS -SS</t>
  </si>
  <si>
    <t>2638 HK</t>
  </si>
  <si>
    <t>T V2.875 PERP B</t>
  </si>
  <si>
    <t>XS2114413565</t>
  </si>
  <si>
    <t>BABA 4.4 12/06/57</t>
  </si>
  <si>
    <t>US01609WAW29</t>
  </si>
  <si>
    <t>BCHINA V3.6 PERP</t>
  </si>
  <si>
    <t>XS2125922349</t>
  </si>
  <si>
    <t>CAPG 4.8 02/18/21</t>
  </si>
  <si>
    <t>XS2123967452</t>
  </si>
  <si>
    <t>CHIOLI 3.125 03/02/35 EMTN</t>
  </si>
  <si>
    <t>XS2125715800</t>
  </si>
  <si>
    <t>DBSSP V3.3 PERP GMTN</t>
  </si>
  <si>
    <t>XS2122408854</t>
  </si>
  <si>
    <t>HONGSL 9.875 08/27/22</t>
  </si>
  <si>
    <t>XS2125118971</t>
  </si>
  <si>
    <t>HYSAN V4.1 PERP</t>
  </si>
  <si>
    <t>XS2123115029</t>
  </si>
  <si>
    <t>ICBCAS 1.77 05/20/20 FXCD</t>
  </si>
  <si>
    <t>XS2122176113</t>
  </si>
  <si>
    <t>KWGPRO 6 01/11/22</t>
  </si>
  <si>
    <t>XS1545506401</t>
  </si>
  <si>
    <t>LGUANG 9 03/04/21</t>
  </si>
  <si>
    <t>XS2127887169</t>
  </si>
  <si>
    <t>MINMET V3.375 PERP</t>
  </si>
  <si>
    <t>XS2115053626</t>
  </si>
  <si>
    <t>RIBL V3.174 02/25/30</t>
  </si>
  <si>
    <t>XS2120069047</t>
  </si>
  <si>
    <t>RONXIN 8.75 10/25/22</t>
  </si>
  <si>
    <t>XS1976760782</t>
  </si>
  <si>
    <t>SUNAC 6.5 01/10/25</t>
  </si>
  <si>
    <t>XS2100444772</t>
  </si>
  <si>
    <t>YUZHOU 6.375 03/06/21</t>
  </si>
  <si>
    <t>XS1788498167</t>
  </si>
  <si>
    <t>YUZHOU 8.625 01/23/22</t>
  </si>
  <si>
    <t>XS1938265474</t>
  </si>
  <si>
    <t>ZHPRHK 5.6 02/28/21</t>
  </si>
  <si>
    <t>XS2122877330</t>
  </si>
  <si>
    <t>ZHPRHK 8.65 01/21/23</t>
  </si>
  <si>
    <t>XS1973630889</t>
  </si>
  <si>
    <t>BBG00RPJBQ56</t>
  </si>
  <si>
    <t>AT&amp;T INC</t>
  </si>
  <si>
    <t>BBG00JCQ6Y42</t>
  </si>
  <si>
    <t>ALIBABA GROUP HOLDING</t>
  </si>
  <si>
    <t>BBG00RYF5CJ7</t>
  </si>
  <si>
    <t>BANK OF CHINA</t>
  </si>
  <si>
    <t>NETWORK I2I LTD</t>
  </si>
  <si>
    <t>BBG00RRMFK74</t>
  </si>
  <si>
    <t>CN OVERSEAS FIN KY VIII</t>
  </si>
  <si>
    <t>BBG00RYGHZS1</t>
  </si>
  <si>
    <t>BBG00RTNXBH9</t>
  </si>
  <si>
    <t>DBS GROUP HOLDINGS LTD</t>
  </si>
  <si>
    <t>BBG00RYDWX24</t>
  </si>
  <si>
    <t>HONG SENG LTD</t>
  </si>
  <si>
    <t>BBG00RYDYKF6</t>
  </si>
  <si>
    <t>ELECT GLOBAL INV LTD</t>
  </si>
  <si>
    <t>BBG00RPXTZN6</t>
  </si>
  <si>
    <t>IND &amp; COMM BK CHN MACAU</t>
  </si>
  <si>
    <t>BBG00FP0FP88</t>
  </si>
  <si>
    <t>BBG00S0GV953</t>
  </si>
  <si>
    <t>HEJUN SHUNZE INVESTMENT</t>
  </si>
  <si>
    <t>BBG00RZ2MZZ7</t>
  </si>
  <si>
    <t>MINMETALS BOUNTEOUS FIN</t>
  </si>
  <si>
    <t>BBG00RPXTTD1</t>
  </si>
  <si>
    <t>RIYAD SUKUK LIMITED</t>
  </si>
  <si>
    <t>BBG00NWVJPB7</t>
  </si>
  <si>
    <t>BBG00R9SLKK9</t>
  </si>
  <si>
    <t>BBG00K67R1J1</t>
  </si>
  <si>
    <t>BBG00N2KDB12</t>
  </si>
  <si>
    <t>BBG00RT2L457</t>
  </si>
  <si>
    <t>BBG00NQDZNG6</t>
  </si>
  <si>
    <t>2638 HK Equity</t>
  </si>
  <si>
    <t>BBG005Q0XWK0</t>
  </si>
  <si>
    <t>HKELECTRIC-SS</t>
  </si>
  <si>
    <t>P&amp;L% (Libya Oil Shock - Feb 2011)</t>
  </si>
  <si>
    <t>BCHINA 3.6 PERP</t>
  </si>
  <si>
    <t>CHIOLI 3 ⅛ 03/02/35</t>
  </si>
  <si>
    <t>DBSSP 3.3 PERP</t>
  </si>
  <si>
    <t>HK0000179108</t>
  </si>
  <si>
    <t>HONGSL 9 ⅞ 08/27/22</t>
  </si>
  <si>
    <t>HYSAN 4.1 PERP</t>
  </si>
  <si>
    <t>ICBCAS 1.77 05/20/20</t>
  </si>
  <si>
    <t>MINMET 3 ⅜ PERP</t>
  </si>
  <si>
    <t>RIBL 3.174 02/25/30</t>
  </si>
  <si>
    <t>RONXIN 8 ¾ 10/25/22</t>
  </si>
  <si>
    <t>T 2 ⅞ PERP</t>
  </si>
  <si>
    <t>YUZHOU 6 ⅜ 03/06/21</t>
  </si>
  <si>
    <t>YUZHOU 8 ⅝ 01/23/22</t>
  </si>
  <si>
    <t>(P)Baa3</t>
  </si>
  <si>
    <t>Telecommunications</t>
  </si>
  <si>
    <t>CHINA TOWER CORP LTD-H</t>
  </si>
  <si>
    <t>788 HK</t>
  </si>
  <si>
    <t>ISHARES FTSE A50 CHINA INDEX</t>
  </si>
  <si>
    <t>2823 HK</t>
  </si>
  <si>
    <t>WUXI BIOLOGICS CAYMAN INC</t>
  </si>
  <si>
    <t>2269 HK</t>
  </si>
  <si>
    <t>ADROIJ 4.25 10/31/24 REGS</t>
  </si>
  <si>
    <t>USY70902AB04</t>
  </si>
  <si>
    <t>BEICAP 2.8 03/18/23 EMTN</t>
  </si>
  <si>
    <t>XS2127809528</t>
  </si>
  <si>
    <t>BHARTI V5.65 PERP REGS</t>
  </si>
  <si>
    <t>USV6703DAA29</t>
  </si>
  <si>
    <t>CHCOMU V3.425 PERP</t>
  </si>
  <si>
    <t>XS2102904864</t>
  </si>
  <si>
    <t>CHFOTN 8.05 01/13/25</t>
  </si>
  <si>
    <t>XS2100597330</t>
  </si>
  <si>
    <t>COGARD 7.25 04/04/21 REGS</t>
  </si>
  <si>
    <t>USG24524AH67</t>
  </si>
  <si>
    <t>GEMDAL 5.6 06/14/22</t>
  </si>
  <si>
    <t>XS2009869897</t>
  </si>
  <si>
    <t>GEMDAL 6 09/06/21</t>
  </si>
  <si>
    <t>XS1820761556</t>
  </si>
  <si>
    <t>GRENKO 4.875 08/16/23 REGS</t>
  </si>
  <si>
    <t>USV3854PAA94</t>
  </si>
  <si>
    <t>GRNKEN 5.25 07/24/24 REGS</t>
  </si>
  <si>
    <t>USN3700LAB10</t>
  </si>
  <si>
    <t>GRNKEN 5.95 07/29/26 REGS</t>
  </si>
  <si>
    <t>USV3855GAB69</t>
  </si>
  <si>
    <t>HUAFAI 4.4 03/16/21</t>
  </si>
  <si>
    <t>XS2131434099</t>
  </si>
  <si>
    <t>KWGPRO 7.4 03/05/24 EMTN</t>
  </si>
  <si>
    <t>XS2034561584</t>
  </si>
  <si>
    <t>LOGPH 5.25 02/23/23</t>
  </si>
  <si>
    <t>XS1618597535</t>
  </si>
  <si>
    <t>LOGPH 5.75 01/14/25</t>
  </si>
  <si>
    <t>XS2099677747</t>
  </si>
  <si>
    <t>LOGPH 6.875 04/24/21</t>
  </si>
  <si>
    <t>XS1808311424</t>
  </si>
  <si>
    <t>LPKRIJ 6.75 10/31/26</t>
  </si>
  <si>
    <t>XS1506085114</t>
  </si>
  <si>
    <t>MDLNIJ 10.75 08/30/21</t>
  </si>
  <si>
    <t>XS1871087133</t>
  </si>
  <si>
    <t>MEDCIJ 6.75 01/30/25 REGS</t>
  </si>
  <si>
    <t>USY59505AA82</t>
  </si>
  <si>
    <t>MEDCIJ 8.5 08/17/22 REGS</t>
  </si>
  <si>
    <t>USY59515AA72</t>
  </si>
  <si>
    <t>MGMCHI 5.875 05/15/26 REGS</t>
  </si>
  <si>
    <t>USG60744AB87</t>
  </si>
  <si>
    <t>NIPLIF V3.4 01/23/50 REGS</t>
  </si>
  <si>
    <t>USJ54675AZ63</t>
  </si>
  <si>
    <t>ORCL 2.5 04/01/25</t>
  </si>
  <si>
    <t>US68389XBT19</t>
  </si>
  <si>
    <t>PWRLNG 5.95 07/19/20</t>
  </si>
  <si>
    <t>XS1645451565</t>
  </si>
  <si>
    <t>ROADKG 6.7 09/30/24</t>
  </si>
  <si>
    <t>XS2057076387</t>
  </si>
  <si>
    <t>SRILAN 7.55 03/28/30 REGS</t>
  </si>
  <si>
    <t>USY8137FAR92</t>
  </si>
  <si>
    <t>SUNAC 7.5 02/01/24</t>
  </si>
  <si>
    <t>XS2075937297</t>
  </si>
  <si>
    <t>SUNAC 8.35 04/19/23</t>
  </si>
  <si>
    <t>XS1810024338</t>
  </si>
  <si>
    <t>SUNSHI 12 07/02/20</t>
  </si>
  <si>
    <t>XS1923588096</t>
  </si>
  <si>
    <t>SUNSHI 6.8 03/11/21 EMTN</t>
  </si>
  <si>
    <t>XS2133059480</t>
  </si>
  <si>
    <t>TPHL 6.75 07/16/23</t>
  </si>
  <si>
    <t>XS2027426027</t>
  </si>
  <si>
    <t>TPHL 7.85 06/04/21</t>
  </si>
  <si>
    <t>XS1831884702</t>
  </si>
  <si>
    <t>WB 3.5 07/05/24</t>
  </si>
  <si>
    <t>US948596AD39</t>
  </si>
  <si>
    <t>YLLGSP 6.75 04/23/23</t>
  </si>
  <si>
    <t>XS1809258210</t>
  </si>
  <si>
    <t>YLLGSP 6.8 02/27/24</t>
  </si>
  <si>
    <t>XS2030531938</t>
  </si>
  <si>
    <t>YUZHOU 7.375 01/13/26</t>
  </si>
  <si>
    <t>XS2100653778</t>
  </si>
  <si>
    <t>YUZHOU 7.7 02/20/25</t>
  </si>
  <si>
    <t>XS2121187962</t>
  </si>
  <si>
    <t>ZHPRHK V10.25 PERP</t>
  </si>
  <si>
    <t>XS2013512608</t>
  </si>
  <si>
    <t>0.95</t>
  </si>
  <si>
    <t>ADROIJ 4 ¼ 10/31/24</t>
  </si>
  <si>
    <t>AIA 3 ⅜ 04/07/30</t>
  </si>
  <si>
    <t>US00131MAJ27</t>
  </si>
  <si>
    <t>BEICAP 2.8 03/18/23</t>
  </si>
  <si>
    <t>BHARTI 5.65 PERP</t>
  </si>
  <si>
    <t>CHCOMU 3.425 PERP</t>
  </si>
  <si>
    <t>CNE100003688</t>
  </si>
  <si>
    <t>COGARD 5 ⅛ 01/14/27</t>
  </si>
  <si>
    <t>COGARD 5 ⅝ 01/14/30</t>
  </si>
  <si>
    <t>COGARD 7 ¼ 04/04/21</t>
  </si>
  <si>
    <t>GRNKEN 4 ⅞ 08/16/23</t>
  </si>
  <si>
    <t>GRNKEN 5 ¼ 07/24/24</t>
  </si>
  <si>
    <t>GRNKEN 5.95 07/29/26</t>
  </si>
  <si>
    <t>HK2823028546</t>
  </si>
  <si>
    <t>KWGPRO 7.4 03/05/24</t>
  </si>
  <si>
    <t>LOGPH 5 ¼ 02/23/23</t>
  </si>
  <si>
    <t>LOGPH 5 ¾ 01/14/25</t>
  </si>
  <si>
    <t>LOGPH 6 ⅞ 04/24/21</t>
  </si>
  <si>
    <t>LPKRIJ 6 ¾ 10/31/26</t>
  </si>
  <si>
    <t>MDLNIJ 10 ¾ 08/30/21</t>
  </si>
  <si>
    <t>MEDCIJ 6 ¾ 01/30/25</t>
  </si>
  <si>
    <t>MEDCIJ 8 ½ 08/17/22</t>
  </si>
  <si>
    <t>MGMCHI 5 ⅞ 05/15/26</t>
  </si>
  <si>
    <t>NIPLIF 3.4 01/23/50</t>
  </si>
  <si>
    <t>OCTOWN 4.3 PERP</t>
  </si>
  <si>
    <t>ORCL 2 ½ 04/01/25</t>
  </si>
  <si>
    <t>SRILAN 7.55 03/28/30</t>
  </si>
  <si>
    <t>SUNAC 6 ½ 01/10/25</t>
  </si>
  <si>
    <t>SUNAC 7 ½ 02/01/24</t>
  </si>
  <si>
    <t>SUNSHI 6.8 03/11/21</t>
  </si>
  <si>
    <t>WB 3 ½ 07/05/24</t>
  </si>
  <si>
    <t>KYG970081090</t>
  </si>
  <si>
    <t>YLLGSP 6 ¾ 04/23/23</t>
  </si>
  <si>
    <t>YUZHOU 7 ⅜ 01/13/26</t>
  </si>
  <si>
    <t>ZHPRHK 10 ¼ PERP</t>
  </si>
  <si>
    <t>P&amp;L% (1987 Black Monday - current correlations)</t>
  </si>
  <si>
    <t>P&amp;L% (Bear Market - SPX Down 20%, Oil down 20% and VIX Up 150%)</t>
  </si>
  <si>
    <t>CORP HY EUR</t>
  </si>
  <si>
    <t>BBG00QN3F2R0</t>
  </si>
  <si>
    <t>PT ADARO INDONESIA</t>
  </si>
  <si>
    <t>BBG00S9HKR72</t>
  </si>
  <si>
    <t>BEIJING CAPITAL POLARIS</t>
  </si>
  <si>
    <t>BBG00QJ3FR72</t>
  </si>
  <si>
    <t>BBG00RPNYQB5</t>
  </si>
  <si>
    <t>CCCI TREASURE LTD</t>
  </si>
  <si>
    <t>BBG00RB35JZ6</t>
  </si>
  <si>
    <t>CFLD CAYMAN INVESTMENT</t>
  </si>
  <si>
    <t>BBG005BTJ9P5</t>
  </si>
  <si>
    <t>BBG00PCCVDV7</t>
  </si>
  <si>
    <t>GEMDALE EVER PROSPERITY</t>
  </si>
  <si>
    <t>BBG00LVCGFZ3</t>
  </si>
  <si>
    <t>BBG00DKQ0MQ4</t>
  </si>
  <si>
    <t>GREENKO INVESTMENT CO</t>
  </si>
  <si>
    <t>BBG00H5KNJZ7</t>
  </si>
  <si>
    <t>GREENKO DUTCH BV</t>
  </si>
  <si>
    <t>BBG00PSJPXV8</t>
  </si>
  <si>
    <t>GREENKO SOLAR MAURITIUS</t>
  </si>
  <si>
    <t>BBG00SBW5S62</t>
  </si>
  <si>
    <t>GUANG TAO INVESTMENT</t>
  </si>
  <si>
    <t>BBG00PSJ40G0</t>
  </si>
  <si>
    <t>BBG00GQ752P3</t>
  </si>
  <si>
    <t>BBG00RB0MG61</t>
  </si>
  <si>
    <t>BBG00KNCMN62</t>
  </si>
  <si>
    <t>BBG00F2W1SP3</t>
  </si>
  <si>
    <t>BBG00LSR9049</t>
  </si>
  <si>
    <t>JGC VENTURES PTE LTD</t>
  </si>
  <si>
    <t>BBG00JVKTCJ1</t>
  </si>
  <si>
    <t>MEDCO PLATINUM ROAD PTE</t>
  </si>
  <si>
    <t>BBG00HDTX5P9</t>
  </si>
  <si>
    <t>MEDCO STRAITS SERV PTD</t>
  </si>
  <si>
    <t>BBG00P1GZFC2</t>
  </si>
  <si>
    <t>MGM CHINA HOLDINGS LTD</t>
  </si>
  <si>
    <t>BBG00RD35MV1</t>
  </si>
  <si>
    <t>NIPPON LIFE INSURANCE</t>
  </si>
  <si>
    <t>OVERSEAS CHINESE TOWN AS</t>
  </si>
  <si>
    <t>BBG00SXGDG60</t>
  </si>
  <si>
    <t>ORACLE CORP</t>
  </si>
  <si>
    <t>BBG00H4BZMF0</t>
  </si>
  <si>
    <t>BBG00QDN9PZ4</t>
  </si>
  <si>
    <t>RKPF OVERSEAS 2019 A LTD</t>
  </si>
  <si>
    <t>BBG00PK1ZYS6</t>
  </si>
  <si>
    <t>REPUBLIC OF SRI LANKA</t>
  </si>
  <si>
    <t>SOV ASIA</t>
  </si>
  <si>
    <t>BBG00QQ1W050</t>
  </si>
  <si>
    <t>BBG00KMRGS75</t>
  </si>
  <si>
    <t>BBG00MTS9QX5</t>
  </si>
  <si>
    <t>BBG00S6SWBM6</t>
  </si>
  <si>
    <t>BBG00PNSNLZ7</t>
  </si>
  <si>
    <t>BBG00L1B1VB5</t>
  </si>
  <si>
    <t>BBG00PKGT0Y7</t>
  </si>
  <si>
    <t>WEIBO CORP</t>
  </si>
  <si>
    <t>BBG00KMQKL04</t>
  </si>
  <si>
    <t>YANLORD LAND HK CO LTD</t>
  </si>
  <si>
    <t>BBG00Q2B8JR6</t>
  </si>
  <si>
    <t>BBG00R9LVRX4</t>
  </si>
  <si>
    <t>BBG00RPXWXD8</t>
  </si>
  <si>
    <t>BBG00PF578H3</t>
  </si>
  <si>
    <t>788 HK Equity</t>
  </si>
  <si>
    <t>BBG00LD1QR26</t>
  </si>
  <si>
    <t>China Tower Corp Ltd</t>
  </si>
  <si>
    <t>2823 HK Equity</t>
  </si>
  <si>
    <t>BBG000P9FRH8</t>
  </si>
  <si>
    <t>2269 HK Equity</t>
  </si>
  <si>
    <t>BBG00GTY47H0</t>
  </si>
  <si>
    <t>Wuxi Biologics Cayman Inc</t>
  </si>
  <si>
    <t>#N/A</t>
  </si>
  <si>
    <t>BB-u</t>
  </si>
  <si>
    <t>Funds</t>
  </si>
  <si>
    <t>Technology</t>
  </si>
  <si>
    <t>LK</t>
  </si>
  <si>
    <t xml:space="preserve">Country Code </t>
  </si>
  <si>
    <t>Country Name</t>
  </si>
  <si>
    <t>AD</t>
  </si>
  <si>
    <t>Andorra</t>
  </si>
  <si>
    <t>AG</t>
  </si>
  <si>
    <t>Antigua and Barbuda</t>
  </si>
  <si>
    <t>AI</t>
  </si>
  <si>
    <t>Anguilla</t>
  </si>
  <si>
    <t>AL</t>
  </si>
  <si>
    <t>Albania</t>
  </si>
  <si>
    <t>AM</t>
  </si>
  <si>
    <t>Armenia</t>
  </si>
  <si>
    <t>AN</t>
  </si>
  <si>
    <t>Netherlands Antilles</t>
  </si>
  <si>
    <t>AO</t>
  </si>
  <si>
    <t>Angola</t>
  </si>
  <si>
    <t>AR</t>
  </si>
  <si>
    <t>Argentina</t>
  </si>
  <si>
    <t>AS</t>
  </si>
  <si>
    <t>American Samoa</t>
  </si>
  <si>
    <t>AT</t>
  </si>
  <si>
    <t>Austria</t>
  </si>
  <si>
    <t>AW</t>
  </si>
  <si>
    <t>Aruba</t>
  </si>
  <si>
    <t>AZ</t>
  </si>
  <si>
    <t>Azerbaijan</t>
  </si>
  <si>
    <t>BA</t>
  </si>
  <si>
    <t>Bosnia and Herzegovina</t>
  </si>
  <si>
    <t>Barbados</t>
  </si>
  <si>
    <t>BD</t>
  </si>
  <si>
    <t>Bangladesh</t>
  </si>
  <si>
    <t>BE</t>
  </si>
  <si>
    <t>Belgium</t>
  </si>
  <si>
    <t>BF</t>
  </si>
  <si>
    <t>Burkina Faso</t>
  </si>
  <si>
    <t>BG</t>
  </si>
  <si>
    <t>Bulgaria</t>
  </si>
  <si>
    <t>BH</t>
  </si>
  <si>
    <t>Bahrain</t>
  </si>
  <si>
    <t>BI</t>
  </si>
  <si>
    <t>Burundi</t>
  </si>
  <si>
    <t>BJ</t>
  </si>
  <si>
    <t>Benin</t>
  </si>
  <si>
    <t>BL</t>
  </si>
  <si>
    <t>Saint-Barth?lemy</t>
  </si>
  <si>
    <t>BM</t>
  </si>
  <si>
    <t>Bermuda</t>
  </si>
  <si>
    <t>BN</t>
  </si>
  <si>
    <t>Brunei Darussalam</t>
  </si>
  <si>
    <t>BO</t>
  </si>
  <si>
    <t>Bolivia</t>
  </si>
  <si>
    <t>BS</t>
  </si>
  <si>
    <t>Bahamas</t>
  </si>
  <si>
    <t>BT</t>
  </si>
  <si>
    <t>Bhutan</t>
  </si>
  <si>
    <t>BV</t>
  </si>
  <si>
    <t>Bouvet Island</t>
  </si>
  <si>
    <t>BW</t>
  </si>
  <si>
    <t>Botswana</t>
  </si>
  <si>
    <t>BY</t>
  </si>
  <si>
    <t>Belarus</t>
  </si>
  <si>
    <t>BZ</t>
  </si>
  <si>
    <t>Belize</t>
  </si>
  <si>
    <t>CA</t>
  </si>
  <si>
    <t>Canada</t>
  </si>
  <si>
    <t>Cocos (Keeling) Islands</t>
  </si>
  <si>
    <t>CD</t>
  </si>
  <si>
    <t>Congo, Democratic Republic of the</t>
  </si>
  <si>
    <t>CF</t>
  </si>
  <si>
    <t>Central African Republic</t>
  </si>
  <si>
    <t>CG</t>
  </si>
  <si>
    <t>Congo (Brazzaville)</t>
  </si>
  <si>
    <t>CI</t>
  </si>
  <si>
    <t>Ivory Coast</t>
  </si>
  <si>
    <t>CK</t>
  </si>
  <si>
    <t>Cook Islands</t>
  </si>
  <si>
    <t>CM</t>
  </si>
  <si>
    <t>Cameroon</t>
  </si>
  <si>
    <t>CO</t>
  </si>
  <si>
    <t>Colombia</t>
  </si>
  <si>
    <t>CR</t>
  </si>
  <si>
    <t>Costa Rica</t>
  </si>
  <si>
    <t>CU</t>
  </si>
  <si>
    <t>Cuba</t>
  </si>
  <si>
    <t>CV</t>
  </si>
  <si>
    <t>Cape Verde</t>
  </si>
  <si>
    <t>CX</t>
  </si>
  <si>
    <t>Christmas Island</t>
  </si>
  <si>
    <t>CY</t>
  </si>
  <si>
    <t>Cyprus</t>
  </si>
  <si>
    <t>CZ</t>
  </si>
  <si>
    <t>Czech Republic</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</si>
  <si>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</si>
  <si>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</si>
  <si>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</si>
  <si>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</si>
  <si>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</si>
  <si>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</si>
  <si>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</si>
  <si>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</si>
  <si>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</si>
  <si>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</si>
  <si>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</si>
  <si>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</si>
  <si>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</si>
  <si>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</si>
  <si>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</si>
  <si>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</si>
  <si>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</si>
  <si>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</si>
  <si>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</si>
  <si>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</si>
  <si>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ET</t>
  </si>
  <si>
    <t>Ethiopia</t>
  </si>
  <si>
    <t>FI</t>
  </si>
  <si>
    <t>Finland</t>
  </si>
  <si>
    <t>FJ</t>
  </si>
  <si>
    <t>Fiji</t>
  </si>
  <si>
    <t>FK</t>
  </si>
  <si>
    <t>Falkland Islands (Malvinas)</t>
  </si>
  <si>
    <t>FM</t>
  </si>
  <si>
    <t>Micronesia, Federated States of</t>
  </si>
  <si>
    <t>FO</t>
  </si>
  <si>
    <t>Faroe Islands</t>
  </si>
  <si>
    <t>GA</t>
  </si>
  <si>
    <t>Gabon</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</si>
  <si>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</si>
  <si>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</si>
  <si>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</si>
  <si>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</si>
  <si>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</si>
  <si>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</si>
  <si>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</si>
  <si>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</si>
  <si>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</si>
  <si>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</si>
  <si>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</si>
  <si>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</si>
  <si>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</si>
  <si>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</si>
  <si>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</si>
  <si>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</si>
  <si>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</si>
  <si>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</si>
  <si>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</si>
  <si>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</si>
  <si>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</si>
  <si>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</si>
  <si>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</si>
  <si>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</si>
  <si>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</si>
  <si>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</si>
  <si>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</si>
  <si>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</si>
  <si>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</si>
  <si>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</si>
  <si>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</si>
  <si>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</si>
  <si>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</si>
  <si>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</si>
  <si>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HM</t>
  </si>
  <si>
    <t>Heard Island and Mcdonald Islands</t>
  </si>
  <si>
    <t>HN</t>
  </si>
  <si>
    <t>Honduras</t>
  </si>
  <si>
    <t>HT</t>
  </si>
  <si>
    <t>Haiti</t>
  </si>
  <si>
    <t>HU</t>
  </si>
  <si>
    <t>Hungary</t>
  </si>
  <si>
    <t>IE</t>
  </si>
  <si>
    <t>Ireland</t>
  </si>
  <si>
    <t>IL</t>
  </si>
  <si>
    <t>Israel</t>
  </si>
  <si>
    <t>IM</t>
  </si>
  <si>
    <t>Isle of Man</t>
  </si>
  <si>
    <t>IO</t>
  </si>
  <si>
    <t>British Indian Ocean Territory</t>
  </si>
  <si>
    <t>IQ</t>
  </si>
  <si>
    <t>Iraq</t>
  </si>
  <si>
    <t>IR</t>
  </si>
  <si>
    <t>Iran, Islamic Republic of</t>
  </si>
  <si>
    <t>IS</t>
  </si>
  <si>
    <t>Iceland</t>
  </si>
  <si>
    <t>IT</t>
  </si>
  <si>
    <t>Italy</t>
  </si>
  <si>
    <t>JE</t>
  </si>
  <si>
    <t>Jersey</t>
  </si>
  <si>
    <t>JM</t>
  </si>
  <si>
    <t>Jamaica</t>
  </si>
  <si>
    <t>JO</t>
  </si>
  <si>
    <t>Jordan</t>
  </si>
  <si>
    <t>KE</t>
  </si>
  <si>
    <t>Kenya</t>
  </si>
  <si>
    <t>KG</t>
  </si>
  <si>
    <t>Kyrgyzstan</t>
  </si>
  <si>
    <t>KH</t>
  </si>
  <si>
    <t>Cambodia</t>
  </si>
  <si>
    <t>KI</t>
  </si>
  <si>
    <t>Kiribati</t>
  </si>
  <si>
    <t>KM</t>
  </si>
  <si>
    <t>Comoros</t>
  </si>
  <si>
    <t>KN</t>
  </si>
  <si>
    <t>Saint Kitts and Nevis</t>
  </si>
  <si>
    <t>KP</t>
  </si>
  <si>
    <t>Korea, Democratic People's Republic of</t>
  </si>
  <si>
    <t>Korea, Republic of</t>
  </si>
  <si>
    <t>KW</t>
  </si>
  <si>
    <t>Kuwait</t>
  </si>
  <si>
    <t>KZ</t>
  </si>
  <si>
    <t>Kazakhstan</t>
  </si>
  <si>
    <t>LA</t>
  </si>
  <si>
    <t>Lao PDR</t>
  </si>
  <si>
    <t>LB</t>
  </si>
  <si>
    <t>Lebanon</t>
  </si>
  <si>
    <t>LC</t>
  </si>
  <si>
    <t>Saint Lucia</t>
  </si>
  <si>
    <t>LI</t>
  </si>
  <si>
    <t>Liechtenstein</t>
  </si>
  <si>
    <t>Sri Lanka</t>
  </si>
  <si>
    <t>LR</t>
  </si>
  <si>
    <t>Liberia</t>
  </si>
  <si>
    <t>LS</t>
  </si>
  <si>
    <t>Lesotho</t>
  </si>
  <si>
    <t>LT</t>
  </si>
  <si>
    <t>Lithuania</t>
  </si>
  <si>
    <t>LU</t>
  </si>
  <si>
    <t>Luxembourg</t>
  </si>
  <si>
    <t>LV</t>
  </si>
  <si>
    <t>Latvia</t>
  </si>
  <si>
    <t>LY</t>
  </si>
  <si>
    <t>Libya</t>
  </si>
  <si>
    <t>MA</t>
  </si>
  <si>
    <t>Morocco</t>
  </si>
  <si>
    <t>MC</t>
  </si>
  <si>
    <t>Monaco</t>
  </si>
  <si>
    <t>MD</t>
  </si>
  <si>
    <t>Moldova</t>
  </si>
  <si>
    <t>ME</t>
  </si>
  <si>
    <t>Montenegro</t>
  </si>
  <si>
    <t>MF</t>
  </si>
  <si>
    <t>Saint-Martin (French part)</t>
  </si>
  <si>
    <t>MG</t>
  </si>
  <si>
    <t>Madagascar</t>
  </si>
  <si>
    <t>MH</t>
  </si>
  <si>
    <t>Marshall Islands</t>
  </si>
  <si>
    <t>MK</t>
  </si>
  <si>
    <t>Macedonia, Republic of</t>
  </si>
  <si>
    <t>ML</t>
  </si>
  <si>
    <t>Mali</t>
  </si>
  <si>
    <t>MM</t>
  </si>
  <si>
    <t>Myanmar</t>
  </si>
  <si>
    <t>Mongolia</t>
  </si>
  <si>
    <t>Macao</t>
  </si>
  <si>
    <t>MP</t>
  </si>
  <si>
    <t>Northern Mariana Islands</t>
  </si>
  <si>
    <t>MQ</t>
  </si>
  <si>
    <t>Martinique</t>
  </si>
  <si>
    <t>MR</t>
  </si>
  <si>
    <t>Mauritania</t>
  </si>
  <si>
    <t>MS</t>
  </si>
  <si>
    <t>Montserrat</t>
  </si>
  <si>
    <t>MT</t>
  </si>
  <si>
    <t>Malta</t>
  </si>
  <si>
    <t>MU</t>
  </si>
  <si>
    <t>Mauritius</t>
  </si>
  <si>
    <t>MV</t>
  </si>
  <si>
    <t>Maldives</t>
  </si>
  <si>
    <t>MW</t>
  </si>
  <si>
    <t>Malawi</t>
  </si>
  <si>
    <t>MX</t>
  </si>
  <si>
    <t>MY</t>
  </si>
  <si>
    <t>Malaysia</t>
  </si>
  <si>
    <t>MZ</t>
  </si>
  <si>
    <t>Mozambique</t>
  </si>
  <si>
    <t>Namibia</t>
  </si>
  <si>
    <t>NC</t>
  </si>
  <si>
    <t>New Caledonia</t>
  </si>
  <si>
    <t>NE</t>
  </si>
  <si>
    <t>Niger</t>
  </si>
  <si>
    <t>NF</t>
  </si>
  <si>
    <t>Norfolk Island</t>
  </si>
  <si>
    <t>NG</t>
  </si>
  <si>
    <t>Nigeria</t>
  </si>
  <si>
    <t>NI</t>
  </si>
  <si>
    <t>Nicaragua</t>
  </si>
  <si>
    <t>NO</t>
  </si>
  <si>
    <t>Norway</t>
  </si>
  <si>
    <t>NP</t>
  </si>
  <si>
    <t>Nepal</t>
  </si>
  <si>
    <t>Nauru</t>
  </si>
  <si>
    <t>NU</t>
  </si>
  <si>
    <t>Niue</t>
  </si>
  <si>
    <t>NZ</t>
  </si>
  <si>
    <t>New Zealand</t>
  </si>
  <si>
    <t>OM</t>
  </si>
  <si>
    <t>Oman</t>
  </si>
  <si>
    <t>PA</t>
  </si>
  <si>
    <t>Panama</t>
  </si>
  <si>
    <t>PE</t>
  </si>
  <si>
    <t>Peru</t>
  </si>
  <si>
    <t>PF</t>
  </si>
  <si>
    <t>French Polynesia</t>
  </si>
  <si>
    <t>PG</t>
  </si>
  <si>
    <t>Papua New Guinea</t>
  </si>
  <si>
    <t>PK</t>
  </si>
  <si>
    <t>Pakistan</t>
  </si>
  <si>
    <t>PL</t>
  </si>
  <si>
    <t>Poland</t>
  </si>
  <si>
    <t>PM</t>
  </si>
  <si>
    <t>Saint Pierre and Miquelon</t>
  </si>
  <si>
    <t>PN</t>
  </si>
  <si>
    <t>Pitcairn</t>
  </si>
  <si>
    <t>PR</t>
  </si>
  <si>
    <t>Puerto Rico</t>
  </si>
  <si>
    <t>PS</t>
  </si>
  <si>
    <t>Palestinian Territory, Occupied</t>
  </si>
  <si>
    <t>PT</t>
  </si>
  <si>
    <t>Portugal</t>
  </si>
  <si>
    <t>PW</t>
  </si>
  <si>
    <t>Palau</t>
  </si>
  <si>
    <t>PY</t>
  </si>
  <si>
    <t>Paraguay</t>
  </si>
  <si>
    <t>RE</t>
  </si>
  <si>
    <t>R?union</t>
  </si>
  <si>
    <t>RO</t>
  </si>
  <si>
    <t>Romania</t>
  </si>
  <si>
    <t>RS</t>
  </si>
  <si>
    <t>Serbia</t>
  </si>
  <si>
    <t>RU</t>
  </si>
  <si>
    <t>Russian Federation</t>
  </si>
  <si>
    <t>RW</t>
  </si>
  <si>
    <t>Rwanda</t>
  </si>
  <si>
    <t>SB</t>
  </si>
  <si>
    <t>Solomon Islands</t>
  </si>
  <si>
    <t>SC</t>
  </si>
  <si>
    <t>Seychelles</t>
  </si>
  <si>
    <t>Sudan</t>
  </si>
  <si>
    <t>SH</t>
  </si>
  <si>
    <t>Saint Helena</t>
  </si>
  <si>
    <t>SI</t>
  </si>
  <si>
    <t>Slovenia</t>
  </si>
  <si>
    <t>SJ</t>
  </si>
  <si>
    <t>Svalbard and Jan Mayen Islands</t>
  </si>
  <si>
    <t>SK</t>
  </si>
  <si>
    <t>Slovakia</t>
  </si>
  <si>
    <t>SL</t>
  </si>
  <si>
    <t>Sierra Leone</t>
  </si>
  <si>
    <t>SM</t>
  </si>
  <si>
    <t>San Marino</t>
  </si>
  <si>
    <t>SN</t>
  </si>
  <si>
    <t>Senegal</t>
  </si>
  <si>
    <t>SO</t>
  </si>
  <si>
    <t>Somalia</t>
  </si>
  <si>
    <t>SR</t>
  </si>
  <si>
    <t>Suriname *</t>
  </si>
  <si>
    <t>SS</t>
  </si>
  <si>
    <t>South Sudan</t>
  </si>
  <si>
    <t>ST</t>
  </si>
  <si>
    <t>Sao Tome and Principe</t>
  </si>
  <si>
    <t>SV</t>
  </si>
  <si>
    <t>El Salvador</t>
  </si>
  <si>
    <t>SY</t>
  </si>
  <si>
    <t>Syrian Arab Republic (Syria)</t>
  </si>
  <si>
    <t>SZ</t>
  </si>
  <si>
    <t>Swaziland</t>
  </si>
  <si>
    <t>TC</t>
  </si>
  <si>
    <t>Turks and Caicos Islands</t>
  </si>
  <si>
    <t>TD</t>
  </si>
  <si>
    <t>Chad</t>
  </si>
  <si>
    <t>TF</t>
  </si>
  <si>
    <t>French Southern Territories</t>
  </si>
  <si>
    <t>TG</t>
  </si>
  <si>
    <t>Togo</t>
  </si>
  <si>
    <t>TJ</t>
  </si>
  <si>
    <t>Tajikistan</t>
  </si>
  <si>
    <t>TK</t>
  </si>
  <si>
    <t>Tokelau</t>
  </si>
  <si>
    <t>TL</t>
  </si>
  <si>
    <t>Timor-Leste</t>
  </si>
  <si>
    <t>TM</t>
  </si>
  <si>
    <t>Turkmenistan</t>
  </si>
  <si>
    <t>TN</t>
  </si>
  <si>
    <t>Tunisia</t>
  </si>
  <si>
    <t>TO</t>
  </si>
  <si>
    <t>Tonga</t>
  </si>
  <si>
    <t>TR</t>
  </si>
  <si>
    <t>Turkey</t>
  </si>
  <si>
    <t>TT</t>
  </si>
  <si>
    <t>Trinidad and Tobago</t>
  </si>
  <si>
    <t>TV</t>
  </si>
  <si>
    <t>Tuvalu</t>
  </si>
  <si>
    <t>Taiwan, Republic of China</t>
  </si>
  <si>
    <t>TZ</t>
  </si>
  <si>
    <t>Tanzania *, United Republic of</t>
  </si>
  <si>
    <t>UA</t>
  </si>
  <si>
    <t>Ukraine</t>
  </si>
  <si>
    <t>UG</t>
  </si>
  <si>
    <t>Uganda</t>
  </si>
  <si>
    <t>UM</t>
  </si>
  <si>
    <t>United States Minor Outlying Islands</t>
  </si>
  <si>
    <t>United States</t>
  </si>
  <si>
    <t>UY</t>
  </si>
  <si>
    <t>Uruguay</t>
  </si>
  <si>
    <t>UZ</t>
  </si>
  <si>
    <t>Uzbekistan</t>
  </si>
  <si>
    <t>VA</t>
  </si>
  <si>
    <t>Holy See (Vatican City State)</t>
  </si>
  <si>
    <t>VC</t>
  </si>
  <si>
    <t>Saint Vincent and Grenadines</t>
  </si>
  <si>
    <t>VE</t>
  </si>
  <si>
    <t>Venezuela (Bolivarian Republic of)</t>
  </si>
  <si>
    <t>VG</t>
  </si>
  <si>
    <t>British Virgin Islands</t>
  </si>
  <si>
    <t>VI</t>
  </si>
  <si>
    <t>Virgin Islands, US</t>
  </si>
  <si>
    <t>Viet Nam</t>
  </si>
  <si>
    <t>VU</t>
  </si>
  <si>
    <t>Vanuatu</t>
  </si>
  <si>
    <t>WF</t>
  </si>
  <si>
    <t>Wallis and Futuna Islands</t>
  </si>
  <si>
    <t>WS</t>
  </si>
  <si>
    <t>Samoa</t>
  </si>
  <si>
    <t>YE</t>
  </si>
  <si>
    <t>Yemen</t>
  </si>
  <si>
    <t>YT</t>
  </si>
  <si>
    <t>Mayotte</t>
  </si>
  <si>
    <t>ZA</t>
  </si>
  <si>
    <t>South Africa</t>
  </si>
  <si>
    <t>ZM</t>
  </si>
  <si>
    <t>Zambia</t>
  </si>
  <si>
    <t>ZW</t>
  </si>
  <si>
    <t>Zimbabwe</t>
  </si>
  <si>
    <t>SP_EFF_DT</t>
  </si>
  <si>
    <t>MOODY_EFF_DT</t>
  </si>
  <si>
    <t>FITCH_EFF_DT</t>
  </si>
  <si>
    <t>Equity Fund</t>
  </si>
  <si>
    <t>Software</t>
  </si>
  <si>
    <t>Lodging</t>
  </si>
  <si>
    <t>South Korea</t>
  </si>
  <si>
    <t>(Multiple Items)</t>
  </si>
  <si>
    <t>ANTA SPORTS PRODUCTS LTD</t>
  </si>
  <si>
    <t>2020 HK</t>
  </si>
  <si>
    <t>AGILE V7.875 PERP</t>
  </si>
  <si>
    <t>XS2071413483</t>
  </si>
  <si>
    <t>AIA 3.375 04/07/30 REGS</t>
  </si>
  <si>
    <t>BOCAVI 3.25 04/29/25 REGS</t>
  </si>
  <si>
    <t>US09681MAM01</t>
  </si>
  <si>
    <t>C V3.106 04/08/26</t>
  </si>
  <si>
    <t>US172967MQ12</t>
  </si>
  <si>
    <t>F 8.5 04/21/23</t>
  </si>
  <si>
    <t>US345370CV02</t>
  </si>
  <si>
    <t>F 9 04/22/25</t>
  </si>
  <si>
    <t>US345370CW84</t>
  </si>
  <si>
    <t>GRNKEN 5.55 01/29/25 REGS</t>
  </si>
  <si>
    <t>USV3855GAA86</t>
  </si>
  <si>
    <t>KSA 3.25 10/22/30 REGS</t>
  </si>
  <si>
    <t>XS2159975700</t>
  </si>
  <si>
    <t>KSA 4.5 04/22/60 REGS</t>
  </si>
  <si>
    <t>XS2159975882</t>
  </si>
  <si>
    <t>MAYMK V3.905 10/29/26</t>
  </si>
  <si>
    <t>XS1402194952</t>
  </si>
  <si>
    <t>NDAQ 3.25 04/28/50</t>
  </si>
  <si>
    <t>US63111XAB73</t>
  </si>
  <si>
    <t>PEMEX 5.95 01/28/31 REGS</t>
  </si>
  <si>
    <t>USP78625EA73</t>
  </si>
  <si>
    <t>PETMK 3.5 04/21/30 REGS</t>
  </si>
  <si>
    <t>USY68856AT38</t>
  </si>
  <si>
    <t>PETMK 4.55 04/21/50 REGS</t>
  </si>
  <si>
    <t>USY68856AV83</t>
  </si>
  <si>
    <t>PHILIP 2.457 05/05/30</t>
  </si>
  <si>
    <t>US718286CJ41</t>
  </si>
  <si>
    <t>PRUFIN 3.125 04/14/30</t>
  </si>
  <si>
    <t>US74435KAA34</t>
  </si>
  <si>
    <t>QATAR 3.75 04/16/30 REGS</t>
  </si>
  <si>
    <t>XS2155352664</t>
  </si>
  <si>
    <t>STESP 1.5 04/29/25 EMTN</t>
  </si>
  <si>
    <t>XS2163022739</t>
  </si>
  <si>
    <t>TSIGTF 6.8 01/10/22</t>
  </si>
  <si>
    <t>XS2021226985</t>
  </si>
  <si>
    <t>WREICL 2.875 05/07/30 EMTN</t>
  </si>
  <si>
    <t>XS2161921338</t>
  </si>
  <si>
    <t>P&amp;L% (Greece Financial Crisis in 2010)</t>
  </si>
  <si>
    <t>P&amp;L% (September 11th 2001)</t>
  </si>
  <si>
    <t>P&amp;L% (US 10yr treasury +100bps with propagation)</t>
  </si>
  <si>
    <t>P&amp;L% (Global Equity -15%)</t>
  </si>
  <si>
    <t>P&amp;L% (OAS widens 600bps)</t>
  </si>
  <si>
    <t>AGILE 7 ⅞ PERP</t>
  </si>
  <si>
    <t>KYG040111059</t>
  </si>
  <si>
    <t>C 3.106 04/08/26</t>
  </si>
  <si>
    <t>F 8 ½ 04/21/23</t>
  </si>
  <si>
    <t>GRNKEN 5.55 01/29/25</t>
  </si>
  <si>
    <t>MAYMK 3.905 10/29/26</t>
  </si>
  <si>
    <t>PEMEX 5.95 01/28/31</t>
  </si>
  <si>
    <t>PETMK 0 04/21/50</t>
  </si>
  <si>
    <t>PETMK 3 ½ 04/21/30</t>
  </si>
  <si>
    <t>PRUFIN 3 ⅛ 04/14/30</t>
  </si>
  <si>
    <t>WREICL 2 ⅞ 05/07/30</t>
  </si>
  <si>
    <r>
      <t>PORT Scenarios Report: Scenarios</t>
    </r>
    <r>
      <rPr>
        <sz val="10"/>
        <rFont val="Arial Unicode MS"/>
      </rPr>
      <t xml:space="preserve"> (05/05/2020 13:55:32)</t>
    </r>
  </si>
  <si>
    <t>4/30/2020</t>
  </si>
  <si>
    <t>BOCAVI 0 04/29/25</t>
  </si>
  <si>
    <t>KSA 3 ¼ 10/22/30</t>
  </si>
  <si>
    <t>KSA 4 ½ 04/22/60</t>
  </si>
  <si>
    <t>NDAQ 3 ¼ 04/28/50</t>
  </si>
  <si>
    <t>QATAR 3 ¾ 04/16/30</t>
  </si>
  <si>
    <r>
      <t>PORT VaR Report: VaR</t>
    </r>
    <r>
      <rPr>
        <sz val="10"/>
        <rFont val="Arial Unicode MS"/>
      </rPr>
      <t xml:space="preserve"> (05/05/2020 13:59:37)</t>
    </r>
  </si>
  <si>
    <t>RUNDATE=20200505</t>
  </si>
  <si>
    <t>REPLYFILENAME=LQA_DIF_20200430.csv</t>
  </si>
  <si>
    <t>TIMESTARTED=Tue May  5 15:02:32 JST 2020</t>
  </si>
  <si>
    <t>BBG00QNT5B76</t>
  </si>
  <si>
    <t>BBG00SY1QXH9</t>
  </si>
  <si>
    <t>BBG00TDCM8F7</t>
  </si>
  <si>
    <t>BOC AVIATION LTD</t>
  </si>
  <si>
    <t>BBG00SYNG075</t>
  </si>
  <si>
    <t>CITIGROUP INC</t>
  </si>
  <si>
    <t>BBG00T8645P1</t>
  </si>
  <si>
    <t>FORD MOTOR COMPANY</t>
  </si>
  <si>
    <t>BBG00T8646V2</t>
  </si>
  <si>
    <t>BBG00PSJD0B5</t>
  </si>
  <si>
    <t>BBG00T6LY8D4</t>
  </si>
  <si>
    <t>SAUDI INTERNATIONAL BOND</t>
  </si>
  <si>
    <t>BBG00T6LYC72</t>
  </si>
  <si>
    <t>BBG00CP5W6B3</t>
  </si>
  <si>
    <t>MALAYAN BANKING BHD</t>
  </si>
  <si>
    <t>BBG00TFTG847</t>
  </si>
  <si>
    <t>NASDAQ INC</t>
  </si>
  <si>
    <t>BBG00RHHSFZ2</t>
  </si>
  <si>
    <t>PETROLEOS MEXICANOS</t>
  </si>
  <si>
    <t>BBG00T5WB7F6</t>
  </si>
  <si>
    <t>PETRONAS CAPITAL LTD</t>
  </si>
  <si>
    <t>BBG00T5WB757</t>
  </si>
  <si>
    <t>BBG00THTNZZ3</t>
  </si>
  <si>
    <t>REPUBLIC OF PHILIPPINES</t>
  </si>
  <si>
    <t>BBG00T2MWMJ1</t>
  </si>
  <si>
    <t>BBG00T21B8F5</t>
  </si>
  <si>
    <t>STATE OF QATAR</t>
  </si>
  <si>
    <t>BBG00TDCM2R7</t>
  </si>
  <si>
    <t>ST ENGINEERING RHQ LTD</t>
  </si>
  <si>
    <t>BBG00PKGTF65</t>
  </si>
  <si>
    <t>TONGFANG AQUA LTD</t>
  </si>
  <si>
    <t>BBG00TJ8VS75</t>
  </si>
  <si>
    <t>WHARF REIC FINANCE BVI</t>
  </si>
  <si>
    <t>2020 HK Equity</t>
  </si>
  <si>
    <t>BBG000QWR4M8</t>
  </si>
  <si>
    <t>ANTA Sports Products Ltd</t>
  </si>
  <si>
    <t>iShares FTSE A50 China ETF</t>
  </si>
  <si>
    <t>TIMEFINISHED=Tue May  5 15:02:47 JST 2020</t>
  </si>
  <si>
    <t>TIMESTARTED=Tue May  5 15:03:14 JST 2020</t>
  </si>
  <si>
    <t>TIMEFINISHED=Tue May  5 15:03:26 JST 2020</t>
  </si>
  <si>
    <t>BBB+ *-</t>
  </si>
  <si>
    <t>BB+ *-</t>
  </si>
  <si>
    <t>Ba2 *-</t>
  </si>
  <si>
    <t>B- *-</t>
  </si>
  <si>
    <t>B *-</t>
  </si>
  <si>
    <t>B1 *-</t>
  </si>
  <si>
    <t>B2 *-</t>
  </si>
  <si>
    <t>Auto Manufacturers</t>
  </si>
  <si>
    <t>Computers</t>
  </si>
  <si>
    <t>Aerospace/Defense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</si>
</sst>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
    <numFmt numFmtId="165" formatCode="[$-10409]dd\-mmm\-yy;@"/>
    <numFmt numFmtId="166" formatCode="0.0%"/>
    <numFmt numFmtId="167" formatCode="0.0"/>
    <numFmt numFmtId="168" formatCode="0.000000%"/>
    <numFmt numFmtId="169" formatCode="0.00000%"/>
    <numFmt numFmtId="170" formatCode="[$-409]mmm\-yy;@"/>
  </numFmts>
  <fonts count="33">
    <font>
      <sz val="11"/>
      <color theme="1"/>
      <name val="Calibri"/>
      <family val="2"/>
      <scheme val="minor"/>
    </font>
    <font>
      <sz val="11"/>
      <color theme="1"/>
      <name val="Calibri"/>
      <family val="2"/>
      <scheme val="minor"/>
    </font>
    <font>
      <sz val="9"/>
      <name val="Calibri"/>
      <family val="3"/>
      <charset val="136"/>
      <scheme val="minor"/>
    </font>
    <font>
      <b/>
      <sz val="11"/>
      <color theme="1"/>
      <name val="Calibri"/>
      <family val="1"/>
      <charset val="136"/>
      <scheme val="minor"/>
    </font>
    <font>
      <sz val="9"/>
      <color indexed="81"/>
      <name val="Tahoma"/>
      <family val="2"/>
    </font>
    <font>
      <b/>
      <sz val="9"/>
      <color indexed="81"/>
      <name val="Tahoma"/>
      <family val="2"/>
    </font>
    <font>
      <sz val="10"/>
      <name val="Arial"/>
      <family val="2"/>
    </font>
    <font>
      <sz val="12"/>
      <name val="新細明體"/>
      <family val="1"/>
      <charset val="136"/>
    </font>
    <font>
      <sz val="10"/>
      <color theme="1"/>
      <name val="Arial"/>
      <family val="2"/>
    </font>
    <font>
      <b/>
      <sz val="11"/>
      <color theme="1"/>
      <name val="Calibri"/>
      <family val="2"/>
      <scheme val="minor"/>
    </font>
    <font>
      <i/>
      <sz val="11"/>
      <color theme="1"/>
      <name val="Calibri"/>
      <family val="2"/>
      <scheme val="minor"/>
    </font>
    <font>
      <b/>
      <sz val="12"/>
      <color theme="1"/>
      <name val="Calibri"/>
      <family val="2"/>
      <scheme val="minor"/>
    </font>
    <font>
      <sz val="11"/>
      <name val="Calibri"/>
      <family val="2"/>
      <scheme val="minor"/>
    </font>
    <font>
      <sz val="11"/>
      <color theme="0"/>
      <name val="Calibri"/>
      <family val="2"/>
      <scheme val="minor"/>
    </font>
    <font>
      <b/>
      <i/>
      <sz val="11"/>
      <color theme="1"/>
      <name val="Calibri"/>
      <family val="2"/>
      <scheme val="minor"/>
    </font>
    <font>
      <b/>
      <i/>
      <sz val="14"/>
      <color theme="1"/>
      <name val="Calibri"/>
      <family val="2"/>
      <scheme val="minor"/>
    </font>
    <font>
      <b/>
      <sz val="14"/>
      <color theme="0"/>
      <name val="Calibri"/>
      <family val="2"/>
      <scheme val="minor"/>
    </font>
    <font>
      <b/>
      <sz val="11"/>
      <color theme="0"/>
      <name val="Calibri"/>
      <family val="2"/>
      <scheme val="minor"/>
    </font>
    <font>
      <sz val="11"/>
      <color rgb="FFFF0000"/>
      <name val="Calibri"/>
      <family val="2"/>
      <scheme val="minor"/>
    </font>
    <font>
      <sz val="18"/>
      <name val="Arial Unicode MS"/>
    </font>
    <font>
      <sz val="10"/>
      <name val="Arial Unicode MS"/>
    </font>
    <font>
      <sz val="9"/>
      <name val="Arial Unicode MS"/>
    </font>
    <font>
      <b/>
      <sz val="12"/>
      <color indexed="9"/>
      <name val="Arial Unicode MS"/>
    </font>
    <font>
      <b/>
      <sz val="9"/>
      <color indexed="8"/>
      <name val="Arial Unicode MS"/>
    </font>
    <font>
      <b/>
      <i/>
      <sz val="14"/>
      <color theme="8" tint="-0.499984740745262"/>
      <name val="Calibri"/>
      <family val="2"/>
      <scheme val="minor"/>
    </font>
    <font>
      <b/>
      <i/>
      <sz val="16"/>
      <color theme="8" tint="-0.499984740745262"/>
      <name val="Calibri"/>
      <family val="2"/>
      <scheme val="minor"/>
    </font>
    <font>
      <b/>
      <sz val="12"/>
      <name val="Calibri"/>
      <family val="2"/>
      <scheme val="minor"/>
    </font>
    <font>
      <b/>
      <sz val="10"/>
      <name val="Arial"/>
      <family val="2"/>
    </font>
    <font>
      <i/>
      <sz val="10"/>
      <name val="Arial"/>
      <family val="2"/>
    </font>
    <font>
      <b/>
      <i/>
      <sz val="10"/>
      <name val="Arial"/>
      <family val="2"/>
    </font>
    <font>
      <b/>
      <sz val="11"/>
      <name val="Calibri"/>
      <family val="2"/>
      <scheme val="minor"/>
    </font>
    <font>
      <sz val="12"/>
      <color theme="1"/>
      <name val="Calibri"/>
      <family val="2"/>
      <scheme val="minor"/>
    </font>
    <font>
      <sz val="11"/>
      <color theme="1"/>
      <name val="Calibri"/>
      <family val="2"/>
      <charset val="136"/>
      <scheme val="minor"/>
    </font>
  </fonts>
  <fills count="1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indexed="64"/>
      </patternFill>
    </fill>
    <fill>
      <patternFill patternType="solid">
        <fgColor theme="2"/>
        <bgColor indexed="64"/>
      </patternFill>
    </fill>
    <fill>
      <patternFill patternType="solid">
        <fgColor theme="8" tint="-0.499984740745262"/>
        <bgColor indexed="64"/>
      </patternFill>
    </fill>
    <fill>
      <patternFill patternType="solid">
        <fgColor rgb="FF92D050"/>
        <bgColor indexed="64"/>
      </patternFill>
    </fill>
    <fill>
      <patternFill patternType="solid">
        <fgColor rgb="FF002060"/>
        <bgColor indexed="64"/>
      </patternFill>
    </fill>
    <fill>
      <patternFill patternType="solid">
        <fgColor indexed="58"/>
        <bgColor indexed="64"/>
      </patternFill>
    </fill>
    <fill>
      <patternFill patternType="solid">
        <fgColor indexed="17"/>
        <bgColor indexed="64"/>
      </patternFill>
    </fill>
  </fills>
  <borders count="20">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9"/>
      </left>
      <right/>
      <top style="thin">
        <color indexed="9"/>
      </top>
      <bottom style="thin">
        <color indexed="9"/>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s>
  <cellStyleXfs count="6">
    <xf numFmtId="0" fontId="0" fillId="0" borderId="0"/>
    <xf numFmtId="43" fontId="1" fillId="0" borderId="0" applyFont="0" applyFill="0" applyBorder="0" applyAlignment="0" applyProtection="0">
      <alignment vertical="center"/>
    </xf>
    <xf numFmtId="0" fontId="7" fillId="0" borderId="0"/>
    <xf numFmtId="0" fontId="6" fillId="0" borderId="0"/>
    <xf numFmtId="0" fontId="1" fillId="0" borderId="0"/>
    <xf numFmtId="0" fontId="32" fillId="0" borderId="0">
      <alignment vertical="center"/>
    </xf>
  </cellStyleXfs>
  <cellXfs count="284">
    <xf numFmtId="0" fontId="0" fillId="0" borderId="0" xfId="0"/>
    <xf numFmtId="10" fontId="0" fillId="0" borderId="0" xfId="0" applyNumberFormat="1"/>
    <xf numFmtId="22" fontId="0" fillId="0" borderId="0" xfId="0" applyNumberFormat="1"/>
    <xf numFmtId="0" fontId="3" fillId="0" borderId="0" xfId="0" applyFont="1"/>
    <xf numFmtId="43" fontId="3" fillId="0" borderId="0" xfId="1" applyFont="1" applyAlignment="1"/>
    <xf numFmtId="43" fontId="0" fillId="0" borderId="0" xfId="1" applyFont="1" applyAlignment="1"/>
    <xf numFmtId="0" fontId="0" fillId="2" borderId="0" xfId="0" applyFill="1"/>
    <xf numFmtId="43" fontId="3" fillId="2" borderId="0" xfId="1" applyFont="1" applyFill="1" applyAlignment="1"/>
    <xf numFmtId="15" fontId="0" fillId="0" borderId="0" xfId="0" applyNumberFormat="1"/>
    <xf numFmtId="10" fontId="0" fillId="3" borderId="0" xfId="0" applyNumberFormat="1" applyFill="1"/>
    <xf numFmtId="2" fontId="0" fillId="0" borderId="0" xfId="0" quotePrefix="1" applyNumberFormat="1" applyAlignment="1">
      <alignment horizontal="right"/>
    </xf>
    <xf numFmtId="0" fontId="0" fillId="0" borderId="0" xfId="0" applyAlignment="1">
      <alignment horizontal="right"/>
    </xf>
    <xf numFmtId="0" fontId="3" fillId="4" borderId="0" xfId="0" applyFont="1" applyFill="1"/>
    <xf numFmtId="10" fontId="0" fillId="0" borderId="0" xfId="0" applyNumberFormat="1" applyAlignment="1">
      <alignment horizontal="center"/>
    </xf>
    <xf numFmtId="4" fontId="0" fillId="0" borderId="0" xfId="0" applyNumberFormat="1"/>
    <xf numFmtId="166" fontId="0" fillId="0" borderId="0" xfId="0" applyNumberFormat="1"/>
    <xf numFmtId="164" fontId="0" fillId="0" borderId="0" xfId="0" applyNumberFormat="1"/>
    <xf numFmtId="9" fontId="0" fillId="0" borderId="0" xfId="0" applyNumberFormat="1" applyAlignment="1">
      <alignment horizontal="center"/>
    </xf>
    <xf numFmtId="0" fontId="0" fillId="0" borderId="0" xfId="0" applyAlignment="1">
      <alignment horizontal="center"/>
    </xf>
    <xf numFmtId="0" fontId="6" fillId="0" borderId="0" xfId="0" applyFont="1"/>
    <xf numFmtId="0" fontId="8" fillId="0" borderId="0" xfId="2" applyFont="1" applyAlignment="1">
      <alignment vertical="top"/>
    </xf>
    <xf numFmtId="0" fontId="8" fillId="0" borderId="0" xfId="0" applyFont="1"/>
    <xf numFmtId="10" fontId="0" fillId="0" borderId="0" xfId="0" quotePrefix="1" applyNumberFormat="1"/>
    <xf numFmtId="0" fontId="9" fillId="5" borderId="0" xfId="0" applyFont="1" applyFill="1" applyAlignment="1">
      <alignment horizontal="left"/>
    </xf>
    <xf numFmtId="0" fontId="9" fillId="5" borderId="0" xfId="0" applyFont="1" applyFill="1" applyAlignment="1">
      <alignment horizontal="right"/>
    </xf>
    <xf numFmtId="0" fontId="11" fillId="5" borderId="0" xfId="0" applyFont="1" applyFill="1" applyAlignment="1">
      <alignment horizontal="left" vertical="center"/>
    </xf>
    <xf numFmtId="0" fontId="0" fillId="6" borderId="0" xfId="0" applyFill="1"/>
    <xf numFmtId="0" fontId="0" fillId="7" borderId="0" xfId="0" applyFill="1"/>
    <xf numFmtId="0" fontId="9" fillId="7" borderId="0" xfId="0" applyFont="1" applyFill="1"/>
    <xf numFmtId="164" fontId="9" fillId="7" borderId="0" xfId="0" applyNumberFormat="1" applyFont="1" applyFill="1"/>
    <xf numFmtId="166" fontId="9" fillId="7" borderId="0" xfId="0" applyNumberFormat="1" applyFont="1" applyFill="1"/>
    <xf numFmtId="0" fontId="10" fillId="7" borderId="0" xfId="0" applyFont="1" applyFill="1" applyAlignment="1">
      <alignment horizontal="left" indent="1"/>
    </xf>
    <xf numFmtId="164" fontId="10" fillId="7" borderId="0" xfId="0" applyNumberFormat="1" applyFont="1" applyFill="1"/>
    <xf numFmtId="166" fontId="10" fillId="7" borderId="0" xfId="0" applyNumberFormat="1" applyFont="1" applyFill="1"/>
    <xf numFmtId="164" fontId="0" fillId="7" borderId="0" xfId="0" applyNumberFormat="1" applyFill="1"/>
    <xf numFmtId="166" fontId="0" fillId="7" borderId="0" xfId="0" applyNumberFormat="1" applyFill="1"/>
    <xf numFmtId="43" fontId="0" fillId="7" borderId="0" xfId="1" applyFont="1" applyFill="1" applyAlignment="1"/>
    <xf numFmtId="0" fontId="11" fillId="7" borderId="0" xfId="0" applyFont="1" applyFill="1" applyAlignment="1">
      <alignment horizontal="left" vertical="center"/>
    </xf>
    <xf numFmtId="0" fontId="11" fillId="7" borderId="0" xfId="0" applyFont="1" applyFill="1" applyAlignment="1">
      <alignment horizontal="center" vertical="center"/>
    </xf>
    <xf numFmtId="0" fontId="11" fillId="7" borderId="0" xfId="0" applyFont="1" applyFill="1" applyAlignment="1">
      <alignment horizontal="center" wrapText="1"/>
    </xf>
    <xf numFmtId="0" fontId="11" fillId="7" borderId="0" xfId="0" applyFont="1" applyFill="1"/>
    <xf numFmtId="0" fontId="10" fillId="7" borderId="0" xfId="0" applyFont="1" applyFill="1" applyAlignment="1">
      <alignment horizontal="right"/>
    </xf>
    <xf numFmtId="0" fontId="12" fillId="0" borderId="0" xfId="0" applyFont="1"/>
    <xf numFmtId="3" fontId="10" fillId="7" borderId="0" xfId="0" applyNumberFormat="1" applyFont="1" applyFill="1"/>
    <xf numFmtId="3" fontId="0" fillId="7" borderId="0" xfId="0" applyNumberFormat="1" applyFill="1"/>
    <xf numFmtId="3" fontId="0" fillId="0" borderId="0" xfId="0" applyNumberFormat="1"/>
    <xf numFmtId="164" fontId="11" fillId="7" borderId="0" xfId="0" applyNumberFormat="1" applyFont="1" applyFill="1" applyAlignment="1">
      <alignment horizontal="center" vertical="center"/>
    </xf>
    <xf numFmtId="164" fontId="11" fillId="7" borderId="0" xfId="0" applyNumberFormat="1" applyFont="1" applyFill="1" applyAlignment="1">
      <alignment horizontal="center" vertical="center" wrapText="1"/>
    </xf>
    <xf numFmtId="0" fontId="10" fillId="7" borderId="0" xfId="0" applyFont="1" applyFill="1" applyAlignment="1">
      <alignment horizontal="left" wrapText="1"/>
    </xf>
    <xf numFmtId="0" fontId="11" fillId="5" borderId="0" xfId="0" applyFont="1" applyFill="1" applyAlignment="1">
      <alignment horizontal="right" vertical="center"/>
    </xf>
    <xf numFmtId="0" fontId="11" fillId="5" borderId="0" xfId="0" applyFont="1" applyFill="1" applyAlignment="1">
      <alignment horizontal="right" vertical="center" wrapText="1"/>
    </xf>
    <xf numFmtId="4" fontId="0" fillId="7" borderId="0" xfId="0" applyNumberFormat="1" applyFill="1"/>
    <xf numFmtId="0" fontId="10" fillId="7" borderId="0" xfId="0" applyFont="1" applyFill="1"/>
    <xf numFmtId="0" fontId="15" fillId="7" borderId="0" xfId="0" applyFont="1" applyFill="1" applyAlignment="1">
      <alignment horizontal="right"/>
    </xf>
    <xf numFmtId="0" fontId="9" fillId="5" borderId="0" xfId="0" applyFont="1" applyFill="1" applyAlignment="1">
      <alignment vertical="center"/>
    </xf>
    <xf numFmtId="0" fontId="9" fillId="5" borderId="0" xfId="0" applyFont="1" applyFill="1" applyAlignment="1">
      <alignment horizontal="right" vertical="center"/>
    </xf>
    <xf numFmtId="0" fontId="9" fillId="5" borderId="0" xfId="0" applyFont="1" applyFill="1" applyAlignment="1">
      <alignment horizontal="left" vertical="center"/>
    </xf>
    <xf numFmtId="164" fontId="13" fillId="7" borderId="0" xfId="0" applyNumberFormat="1" applyFont="1" applyFill="1"/>
    <xf numFmtId="0" fontId="9" fillId="8" borderId="0" xfId="0" applyFont="1" applyFill="1"/>
    <xf numFmtId="3" fontId="9" fillId="8" borderId="0" xfId="0" applyNumberFormat="1" applyFont="1" applyFill="1"/>
    <xf numFmtId="0" fontId="10" fillId="9" borderId="0" xfId="0" applyFont="1" applyFill="1" applyAlignment="1">
      <alignment horizontal="right"/>
    </xf>
    <xf numFmtId="3" fontId="9" fillId="9" borderId="0" xfId="0" applyNumberFormat="1" applyFont="1" applyFill="1"/>
    <xf numFmtId="0" fontId="14" fillId="8" borderId="0" xfId="0" applyFont="1" applyFill="1" applyAlignment="1">
      <alignment horizontal="left" wrapText="1"/>
    </xf>
    <xf numFmtId="0" fontId="14" fillId="8" borderId="0" xfId="0" applyFont="1" applyFill="1" applyAlignment="1">
      <alignment horizontal="left"/>
    </xf>
    <xf numFmtId="0" fontId="11" fillId="5" borderId="0" xfId="0" applyFont="1" applyFill="1" applyAlignment="1">
      <alignment horizontal="right" wrapText="1"/>
    </xf>
    <xf numFmtId="0" fontId="9" fillId="8" borderId="0" xfId="0" applyFont="1" applyFill="1" applyAlignment="1">
      <alignment horizontal="left"/>
    </xf>
    <xf numFmtId="0" fontId="11" fillId="5" borderId="0" xfId="0" applyFont="1" applyFill="1" applyAlignment="1">
      <alignment horizontal="right"/>
    </xf>
    <xf numFmtId="0" fontId="14" fillId="8" borderId="0" xfId="0" applyFont="1" applyFill="1" applyAlignment="1">
      <alignment horizontal="right"/>
    </xf>
    <xf numFmtId="0" fontId="0" fillId="0" borderId="1" xfId="0" applyBorder="1"/>
    <xf numFmtId="0" fontId="0" fillId="0" borderId="2" xfId="0" applyBorder="1"/>
    <xf numFmtId="3" fontId="0" fillId="0" borderId="2" xfId="0" applyNumberFormat="1" applyBorder="1"/>
    <xf numFmtId="0" fontId="0" fillId="0" borderId="3" xfId="0" applyBorder="1"/>
    <xf numFmtId="0" fontId="0" fillId="0" borderId="1" xfId="0" applyBorder="1" applyAlignment="1">
      <alignment horizontal="center"/>
    </xf>
    <xf numFmtId="0" fontId="16" fillId="6" borderId="0" xfId="0" applyFont="1" applyFill="1"/>
    <xf numFmtId="0" fontId="13" fillId="6" borderId="0" xfId="0" applyFont="1" applyFill="1"/>
    <xf numFmtId="10" fontId="0" fillId="0" borderId="0" xfId="0" applyNumberFormat="1" applyAlignment="1">
      <alignment horizontal="right"/>
    </xf>
    <xf numFmtId="10" fontId="0" fillId="0" borderId="0" xfId="0" quotePrefix="1" applyNumberFormat="1" applyAlignment="1">
      <alignment horizontal="right"/>
    </xf>
    <xf numFmtId="3" fontId="10" fillId="7" borderId="0" xfId="0" quotePrefix="1" applyNumberFormat="1" applyFont="1" applyFill="1"/>
    <xf numFmtId="0" fontId="0" fillId="0" borderId="2" xfId="0" applyBorder="1" applyAlignment="1">
      <alignment horizontal="left"/>
    </xf>
    <xf numFmtId="0" fontId="0" fillId="0" borderId="2" xfId="0" applyBorder="1" applyAlignment="1">
      <alignment horizontal="left" wrapText="1"/>
    </xf>
    <xf numFmtId="0" fontId="0" fillId="0" borderId="0" xfId="0" pivotButton="1"/>
    <xf numFmtId="0" fontId="0" fillId="0" borderId="0" xfId="0" applyAlignment="1">
      <alignment horizontal="left"/>
    </xf>
    <xf numFmtId="43" fontId="0" fillId="0" borderId="0" xfId="1" applyFont="1" applyAlignment="1">
      <alignment horizontal="right"/>
    </xf>
    <xf numFmtId="0" fontId="3" fillId="4" borderId="0" xfId="0" applyFont="1" applyFill="1" applyAlignment="1">
      <alignment horizontal="right"/>
    </xf>
    <xf numFmtId="43" fontId="0" fillId="0" borderId="0" xfId="0" applyNumberFormat="1"/>
    <xf numFmtId="0" fontId="9" fillId="7" borderId="0" xfId="0" applyFont="1" applyFill="1" applyAlignment="1">
      <alignment horizontal="left"/>
    </xf>
    <xf numFmtId="3" fontId="9" fillId="7" borderId="0" xfId="0" applyNumberFormat="1" applyFont="1" applyFill="1"/>
    <xf numFmtId="0" fontId="8" fillId="0" borderId="0" xfId="2" applyFont="1"/>
    <xf numFmtId="0" fontId="8" fillId="0" borderId="7" xfId="2" applyFont="1" applyBorder="1" applyAlignment="1">
      <alignment vertical="top"/>
    </xf>
    <xf numFmtId="0" fontId="8" fillId="0" borderId="7" xfId="2" applyFont="1" applyBorder="1" applyAlignment="1">
      <alignment horizontal="left" vertical="top"/>
    </xf>
    <xf numFmtId="0" fontId="8" fillId="0" borderId="8" xfId="2" applyFont="1" applyBorder="1" applyAlignment="1">
      <alignment vertical="top"/>
    </xf>
    <xf numFmtId="0" fontId="8" fillId="0" borderId="9" xfId="2" applyFont="1" applyBorder="1" applyAlignment="1">
      <alignment vertical="top"/>
    </xf>
    <xf numFmtId="0" fontId="17" fillId="10" borderId="1" xfId="0" applyFont="1" applyFill="1" applyBorder="1"/>
    <xf numFmtId="0" fontId="17" fillId="10" borderId="1" xfId="0" applyFont="1" applyFill="1" applyBorder="1" applyAlignment="1">
      <alignment horizontal="right"/>
    </xf>
    <xf numFmtId="0" fontId="0" fillId="7" borderId="2" xfId="0" applyFill="1" applyBorder="1"/>
    <xf numFmtId="4" fontId="0" fillId="7" borderId="2" xfId="0" applyNumberFormat="1" applyFill="1" applyBorder="1"/>
    <xf numFmtId="10" fontId="0" fillId="7" borderId="2" xfId="0" applyNumberFormat="1" applyFill="1" applyBorder="1"/>
    <xf numFmtId="3" fontId="0" fillId="7" borderId="2" xfId="0" applyNumberFormat="1" applyFill="1" applyBorder="1"/>
    <xf numFmtId="0" fontId="0" fillId="7" borderId="3" xfId="0" applyFill="1" applyBorder="1"/>
    <xf numFmtId="0" fontId="18" fillId="7" borderId="2" xfId="0" applyFont="1" applyFill="1" applyBorder="1"/>
    <xf numFmtId="3" fontId="18" fillId="7" borderId="2" xfId="0" applyNumberFormat="1" applyFont="1" applyFill="1" applyBorder="1"/>
    <xf numFmtId="0" fontId="18" fillId="7" borderId="3" xfId="0" applyFont="1" applyFill="1" applyBorder="1"/>
    <xf numFmtId="3" fontId="18" fillId="7" borderId="3" xfId="0" applyNumberFormat="1" applyFont="1" applyFill="1" applyBorder="1"/>
    <xf numFmtId="0" fontId="0" fillId="11" borderId="2" xfId="0" applyFill="1" applyBorder="1"/>
    <xf numFmtId="3" fontId="0" fillId="11" borderId="2" xfId="0" applyNumberFormat="1" applyFill="1" applyBorder="1"/>
    <xf numFmtId="10" fontId="0" fillId="11" borderId="2" xfId="0" applyNumberFormat="1" applyFill="1" applyBorder="1"/>
    <xf numFmtId="0" fontId="0" fillId="11" borderId="0" xfId="0" applyFill="1"/>
    <xf numFmtId="0" fontId="9" fillId="7" borderId="2" xfId="0" applyFont="1" applyFill="1" applyBorder="1"/>
    <xf numFmtId="0" fontId="9" fillId="11" borderId="2" xfId="0" applyFont="1" applyFill="1" applyBorder="1"/>
    <xf numFmtId="3" fontId="0" fillId="0" borderId="3" xfId="0" applyNumberFormat="1" applyBorder="1"/>
    <xf numFmtId="0" fontId="17" fillId="12" borderId="0" xfId="0" applyFont="1" applyFill="1"/>
    <xf numFmtId="9" fontId="0" fillId="7" borderId="0" xfId="0" applyNumberFormat="1" applyFill="1"/>
    <xf numFmtId="9" fontId="9" fillId="7" borderId="0" xfId="0" applyNumberFormat="1" applyFont="1" applyFill="1"/>
    <xf numFmtId="0" fontId="17" fillId="12" borderId="1" xfId="0" applyFont="1" applyFill="1" applyBorder="1"/>
    <xf numFmtId="0" fontId="17" fillId="12" borderId="1" xfId="0" applyFont="1" applyFill="1" applyBorder="1" applyAlignment="1">
      <alignment horizontal="center"/>
    </xf>
    <xf numFmtId="0" fontId="0" fillId="7" borderId="2" xfId="0" applyFill="1" applyBorder="1" applyAlignment="1">
      <alignment horizontal="center"/>
    </xf>
    <xf numFmtId="9" fontId="0" fillId="7" borderId="2" xfId="0" applyNumberFormat="1" applyFill="1" applyBorder="1"/>
    <xf numFmtId="0" fontId="0" fillId="7" borderId="2" xfId="0" applyFill="1" applyBorder="1" applyAlignment="1">
      <alignment horizontal="left"/>
    </xf>
    <xf numFmtId="0" fontId="0" fillId="7" borderId="2" xfId="0" applyFill="1" applyBorder="1" applyAlignment="1">
      <alignment horizontal="left" wrapText="1"/>
    </xf>
    <xf numFmtId="9" fontId="0" fillId="7" borderId="3" xfId="0" applyNumberFormat="1" applyFill="1" applyBorder="1"/>
    <xf numFmtId="0" fontId="0" fillId="7" borderId="0" xfId="0" applyFill="1" applyAlignment="1">
      <alignment vertical="top" wrapText="1"/>
    </xf>
    <xf numFmtId="0" fontId="0" fillId="7" borderId="0" xfId="0" applyFill="1" applyAlignment="1">
      <alignment vertical="top"/>
    </xf>
    <xf numFmtId="167" fontId="0" fillId="7" borderId="0" xfId="0" applyNumberFormat="1" applyFill="1"/>
    <xf numFmtId="9" fontId="0" fillId="0" borderId="0" xfId="0" applyNumberFormat="1"/>
    <xf numFmtId="166" fontId="0" fillId="7" borderId="2" xfId="0" applyNumberFormat="1" applyFill="1" applyBorder="1"/>
    <xf numFmtId="0" fontId="0" fillId="0" borderId="0" xfId="0" applyFill="1"/>
    <xf numFmtId="10" fontId="0" fillId="0" borderId="0" xfId="0" applyNumberFormat="1" applyFill="1"/>
    <xf numFmtId="4" fontId="0" fillId="0" borderId="0" xfId="0" applyNumberFormat="1" applyFill="1"/>
    <xf numFmtId="0" fontId="0" fillId="0" borderId="0" xfId="0" applyFill="1" applyAlignment="1">
      <alignment horizontal="left"/>
    </xf>
    <xf numFmtId="168" fontId="0" fillId="7" borderId="0" xfId="0" applyNumberFormat="1" applyFill="1"/>
    <xf numFmtId="2" fontId="0" fillId="7" borderId="0" xfId="0" applyNumberFormat="1" applyFill="1"/>
    <xf numFmtId="9" fontId="0" fillId="7" borderId="0" xfId="0" applyNumberFormat="1" applyFill="1" applyAlignment="1">
      <alignment horizontal="left"/>
    </xf>
    <xf numFmtId="17" fontId="0" fillId="0" borderId="0" xfId="0" applyNumberFormat="1" applyAlignment="1">
      <alignment horizontal="left"/>
    </xf>
    <xf numFmtId="10" fontId="0" fillId="8" borderId="0" xfId="0" applyNumberFormat="1" applyFill="1"/>
    <xf numFmtId="165" fontId="17" fillId="10" borderId="1" xfId="0" applyNumberFormat="1" applyFont="1" applyFill="1" applyBorder="1" applyAlignment="1">
      <alignment horizontal="right"/>
    </xf>
    <xf numFmtId="165" fontId="17" fillId="10" borderId="0" xfId="0" applyNumberFormat="1" applyFont="1" applyFill="1" applyBorder="1" applyAlignment="1">
      <alignment horizontal="right"/>
    </xf>
    <xf numFmtId="165" fontId="17" fillId="12" borderId="1" xfId="0" applyNumberFormat="1" applyFont="1" applyFill="1" applyBorder="1" applyAlignment="1">
      <alignment horizontal="center"/>
    </xf>
    <xf numFmtId="165" fontId="17" fillId="12" borderId="1" xfId="0" applyNumberFormat="1" applyFont="1" applyFill="1" applyBorder="1" applyAlignment="1">
      <alignment horizontal="right"/>
    </xf>
    <xf numFmtId="165" fontId="9" fillId="0" borderId="0" xfId="0" applyNumberFormat="1" applyFont="1"/>
    <xf numFmtId="43" fontId="3" fillId="4" borderId="0" xfId="1" applyFont="1" applyFill="1" applyAlignment="1"/>
    <xf numFmtId="2" fontId="0" fillId="0" borderId="0" xfId="0" applyNumberFormat="1"/>
    <xf numFmtId="0" fontId="18" fillId="0" borderId="0" xfId="0" applyFont="1" applyFill="1"/>
    <xf numFmtId="10" fontId="18" fillId="0" borderId="0" xfId="0" applyNumberFormat="1" applyFont="1" applyFill="1"/>
    <xf numFmtId="17" fontId="0" fillId="0" borderId="0" xfId="0" applyNumberFormat="1"/>
    <xf numFmtId="17" fontId="17" fillId="12" borderId="0" xfId="0" applyNumberFormat="1" applyFont="1" applyFill="1" applyAlignment="1">
      <alignment horizontal="right"/>
    </xf>
    <xf numFmtId="0" fontId="11" fillId="7" borderId="0" xfId="0" applyFont="1" applyFill="1" applyAlignment="1">
      <alignment horizontal="left"/>
    </xf>
    <xf numFmtId="164" fontId="11" fillId="7" borderId="0" xfId="0" applyNumberFormat="1" applyFont="1" applyFill="1" applyAlignment="1">
      <alignment horizontal="left"/>
    </xf>
    <xf numFmtId="0" fontId="11" fillId="7" borderId="0" xfId="0" applyFont="1" applyFill="1" applyAlignment="1">
      <alignment wrapText="1"/>
    </xf>
    <xf numFmtId="164" fontId="11" fillId="7" borderId="0" xfId="0" applyNumberFormat="1" applyFont="1" applyFill="1" applyAlignment="1">
      <alignment horizontal="left" vertical="top"/>
    </xf>
    <xf numFmtId="0" fontId="11" fillId="7" borderId="0" xfId="0" applyFont="1" applyFill="1" applyAlignment="1">
      <alignment vertical="top" wrapText="1"/>
    </xf>
    <xf numFmtId="165" fontId="11" fillId="7" borderId="0" xfId="0" applyNumberFormat="1" applyFont="1" applyFill="1" applyAlignment="1">
      <alignment horizontal="left"/>
    </xf>
    <xf numFmtId="169" fontId="0" fillId="7" borderId="0" xfId="0" applyNumberFormat="1" applyFill="1"/>
    <xf numFmtId="0" fontId="21" fillId="0" borderId="0" xfId="0" applyFont="1" applyAlignment="1">
      <alignment horizontal="center"/>
    </xf>
    <xf numFmtId="2" fontId="0" fillId="0" borderId="0" xfId="0" applyNumberFormat="1" applyAlignment="1">
      <alignment horizontal="right"/>
    </xf>
    <xf numFmtId="2" fontId="0" fillId="0" borderId="0" xfId="0" quotePrefix="1" applyNumberFormat="1" applyFont="1" applyFill="1" applyAlignment="1">
      <alignment horizontal="right"/>
    </xf>
    <xf numFmtId="10" fontId="0" fillId="0" borderId="0" xfId="0" quotePrefix="1" applyNumberFormat="1" applyFont="1" applyFill="1" applyAlignment="1">
      <alignment horizontal="right"/>
    </xf>
    <xf numFmtId="10" fontId="0" fillId="0" borderId="0" xfId="0" applyNumberFormat="1" applyFont="1" applyFill="1" applyAlignment="1">
      <alignment horizontal="center"/>
    </xf>
    <xf numFmtId="4" fontId="0" fillId="0" borderId="0" xfId="0" applyNumberFormat="1" applyFont="1" applyFill="1"/>
    <xf numFmtId="166" fontId="0" fillId="0" borderId="0" xfId="0" applyNumberFormat="1" applyFont="1" applyFill="1"/>
    <xf numFmtId="164" fontId="0" fillId="0" borderId="0" xfId="0" applyNumberFormat="1" applyFont="1" applyFill="1"/>
    <xf numFmtId="10" fontId="0" fillId="0" borderId="0" xfId="0" applyNumberFormat="1" applyFont="1" applyFill="1"/>
    <xf numFmtId="0" fontId="0" fillId="0" borderId="0" xfId="0" applyFont="1" applyFill="1"/>
    <xf numFmtId="10" fontId="0" fillId="0" borderId="0" xfId="0" quotePrefix="1" applyNumberFormat="1" applyFont="1" applyFill="1"/>
    <xf numFmtId="3" fontId="0" fillId="0" borderId="0" xfId="0" applyNumberFormat="1" applyFont="1" applyFill="1"/>
    <xf numFmtId="15" fontId="0" fillId="2" borderId="0" xfId="0" applyNumberFormat="1" applyFill="1"/>
    <xf numFmtId="3" fontId="0" fillId="0" borderId="0" xfId="0" applyNumberFormat="1" applyFill="1"/>
    <xf numFmtId="0" fontId="24" fillId="7" borderId="0" xfId="0" applyFont="1" applyFill="1"/>
    <xf numFmtId="0" fontId="12" fillId="0" borderId="0" xfId="0" applyFont="1" applyFill="1"/>
    <xf numFmtId="10" fontId="12" fillId="0" borderId="0" xfId="0" applyNumberFormat="1" applyFont="1" applyFill="1"/>
    <xf numFmtId="0" fontId="25" fillId="7" borderId="0" xfId="0" applyFont="1" applyFill="1"/>
    <xf numFmtId="0" fontId="14" fillId="7" borderId="0" xfId="0" applyFont="1" applyFill="1" applyAlignment="1">
      <alignment horizontal="right"/>
    </xf>
    <xf numFmtId="0" fontId="21" fillId="0" borderId="0" xfId="0" applyFont="1"/>
    <xf numFmtId="43" fontId="0" fillId="0" borderId="0" xfId="1" applyFont="1" applyFill="1">
      <alignment vertical="center"/>
    </xf>
    <xf numFmtId="0" fontId="0" fillId="0" borderId="0" xfId="0" applyFill="1" applyAlignment="1">
      <alignment vertical="center"/>
    </xf>
    <xf numFmtId="3" fontId="0" fillId="0" borderId="0" xfId="0" applyNumberFormat="1" applyFill="1" applyAlignment="1">
      <alignment horizontal="right"/>
    </xf>
    <xf numFmtId="0" fontId="18" fillId="2" borderId="0" xfId="0" applyFont="1" applyFill="1"/>
    <xf numFmtId="10" fontId="0" fillId="0" borderId="0" xfId="0" applyNumberFormat="1" applyFill="1" applyAlignment="1">
      <alignment horizontal="center"/>
    </xf>
    <xf numFmtId="166" fontId="26" fillId="7" borderId="0" xfId="0" applyNumberFormat="1" applyFont="1" applyFill="1" applyAlignment="1">
      <alignment horizontal="left" vertical="top"/>
    </xf>
    <xf numFmtId="164" fontId="18" fillId="7" borderId="0" xfId="0" applyNumberFormat="1" applyFont="1" applyFill="1"/>
    <xf numFmtId="0" fontId="9" fillId="7" borderId="0" xfId="0" applyFont="1" applyFill="1" applyAlignment="1">
      <alignment horizontal="right"/>
    </xf>
    <xf numFmtId="43" fontId="3" fillId="4" borderId="0" xfId="1" applyFont="1" applyFill="1" applyAlignment="1">
      <alignment horizontal="right"/>
    </xf>
    <xf numFmtId="17" fontId="0" fillId="7" borderId="0" xfId="0" applyNumberFormat="1" applyFill="1"/>
    <xf numFmtId="10" fontId="0" fillId="7" borderId="0" xfId="0" applyNumberFormat="1" applyFill="1"/>
    <xf numFmtId="0" fontId="18" fillId="7" borderId="0" xfId="0" applyFont="1" applyFill="1"/>
    <xf numFmtId="3" fontId="18" fillId="7" borderId="0" xfId="0" applyNumberFormat="1" applyFont="1" applyFill="1"/>
    <xf numFmtId="4" fontId="18" fillId="7" borderId="0" xfId="0" applyNumberFormat="1" applyFont="1" applyFill="1"/>
    <xf numFmtId="0" fontId="0" fillId="8" borderId="0" xfId="0" applyFill="1" applyAlignment="1">
      <alignment horizontal="right"/>
    </xf>
    <xf numFmtId="17" fontId="17" fillId="10" borderId="0" xfId="0" applyNumberFormat="1" applyFont="1" applyFill="1" applyAlignment="1"/>
    <xf numFmtId="17" fontId="17" fillId="12" borderId="0" xfId="0" applyNumberFormat="1" applyFont="1" applyFill="1" applyAlignment="1"/>
    <xf numFmtId="0" fontId="17" fillId="12" borderId="0" xfId="0" applyFont="1" applyFill="1" applyAlignment="1">
      <alignment horizontal="right"/>
    </xf>
    <xf numFmtId="170" fontId="17" fillId="12" borderId="0" xfId="0" applyNumberFormat="1" applyFont="1" applyFill="1" applyAlignment="1">
      <alignment horizontal="right"/>
    </xf>
    <xf numFmtId="10" fontId="0" fillId="2" borderId="0" xfId="0" applyNumberFormat="1" applyFill="1"/>
    <xf numFmtId="10" fontId="0" fillId="7" borderId="0" xfId="0" applyNumberFormat="1" applyFill="1" applyAlignment="1">
      <alignment horizontal="center"/>
    </xf>
    <xf numFmtId="0" fontId="9" fillId="0" borderId="0" xfId="0" applyFont="1" applyAlignment="1">
      <alignment horizontal="center"/>
    </xf>
    <xf numFmtId="0" fontId="9" fillId="7" borderId="0" xfId="0" applyFont="1" applyFill="1" applyAlignment="1">
      <alignment horizontal="center"/>
    </xf>
    <xf numFmtId="10" fontId="0" fillId="7" borderId="0" xfId="0" applyNumberFormat="1" applyFill="1" applyAlignment="1">
      <alignment horizontal="left"/>
    </xf>
    <xf numFmtId="10" fontId="0" fillId="7" borderId="0" xfId="0" applyNumberFormat="1" applyFill="1" applyAlignment="1">
      <alignment horizontal="right"/>
    </xf>
    <xf numFmtId="0" fontId="10" fillId="7" borderId="0" xfId="0" applyNumberFormat="1" applyFont="1" applyFill="1" applyAlignment="1">
      <alignment horizontal="left" indent="2"/>
    </xf>
    <xf numFmtId="0" fontId="14" fillId="7" borderId="0" xfId="0" applyFont="1" applyFill="1" applyAlignment="1">
      <alignment horizontal="left" indent="1"/>
    </xf>
    <xf numFmtId="0" fontId="16" fillId="7" borderId="0" xfId="0" applyFont="1" applyFill="1"/>
    <xf numFmtId="0" fontId="13" fillId="7" borderId="0" xfId="0" applyFont="1" applyFill="1"/>
    <xf numFmtId="10" fontId="18" fillId="7" borderId="0" xfId="0" applyNumberFormat="1" applyFont="1" applyFill="1" applyAlignment="1">
      <alignment horizontal="center"/>
    </xf>
    <xf numFmtId="0" fontId="10" fillId="7" borderId="0" xfId="0" applyFont="1" applyFill="1" applyAlignment="1">
      <alignment horizontal="left" indent="2"/>
    </xf>
    <xf numFmtId="0" fontId="0" fillId="7" borderId="0" xfId="0" applyFill="1" applyAlignment="1">
      <alignment horizontal="right"/>
    </xf>
    <xf numFmtId="10" fontId="9" fillId="7" borderId="0" xfId="0" applyNumberFormat="1" applyFont="1" applyFill="1" applyAlignment="1">
      <alignment horizontal="right"/>
    </xf>
    <xf numFmtId="10" fontId="10" fillId="7" borderId="0" xfId="0" applyNumberFormat="1" applyFont="1" applyFill="1" applyAlignment="1">
      <alignment horizontal="right"/>
    </xf>
    <xf numFmtId="0" fontId="0" fillId="7" borderId="0" xfId="0" applyFill="1" applyAlignment="1">
      <alignment horizontal="center"/>
    </xf>
    <xf numFmtId="0" fontId="27" fillId="8" borderId="17" xfId="0" applyFont="1" applyFill="1" applyBorder="1"/>
    <xf numFmtId="166" fontId="27" fillId="8" borderId="0" xfId="0" applyNumberFormat="1" applyFont="1" applyFill="1" applyAlignment="1">
      <alignment horizontal="center"/>
    </xf>
    <xf numFmtId="166" fontId="27" fillId="8" borderId="13" xfId="0" applyNumberFormat="1" applyFont="1" applyFill="1" applyBorder="1" applyAlignment="1">
      <alignment horizontal="center"/>
    </xf>
    <xf numFmtId="0" fontId="28" fillId="7" borderId="17" xfId="0" applyFont="1" applyFill="1" applyBorder="1" applyAlignment="1">
      <alignment horizontal="left" indent="1"/>
    </xf>
    <xf numFmtId="166" fontId="28" fillId="7" borderId="0" xfId="0" quotePrefix="1" applyNumberFormat="1" applyFont="1" applyFill="1" applyAlignment="1">
      <alignment horizontal="center"/>
    </xf>
    <xf numFmtId="166" fontId="28" fillId="7" borderId="0" xfId="0" applyNumberFormat="1" applyFont="1" applyFill="1" applyAlignment="1">
      <alignment horizontal="center"/>
    </xf>
    <xf numFmtId="166" fontId="28" fillId="7" borderId="13" xfId="0" applyNumberFormat="1" applyFont="1" applyFill="1" applyBorder="1" applyAlignment="1">
      <alignment horizontal="center"/>
    </xf>
    <xf numFmtId="166" fontId="29" fillId="8" borderId="0" xfId="0" applyNumberFormat="1" applyFont="1" applyFill="1" applyAlignment="1">
      <alignment horizontal="center"/>
    </xf>
    <xf numFmtId="0" fontId="27" fillId="8" borderId="17" xfId="0" applyFont="1" applyFill="1" applyBorder="1" applyAlignment="1">
      <alignment horizontal="left"/>
    </xf>
    <xf numFmtId="166" fontId="27" fillId="8" borderId="0" xfId="0" quotePrefix="1" applyNumberFormat="1" applyFont="1" applyFill="1" applyAlignment="1">
      <alignment horizontal="center"/>
    </xf>
    <xf numFmtId="166" fontId="6" fillId="8" borderId="0" xfId="0" applyNumberFormat="1" applyFont="1" applyFill="1" applyAlignment="1">
      <alignment horizontal="center"/>
    </xf>
    <xf numFmtId="166" fontId="28" fillId="8" borderId="0" xfId="0" applyNumberFormat="1" applyFont="1" applyFill="1" applyAlignment="1">
      <alignment horizontal="center"/>
    </xf>
    <xf numFmtId="0" fontId="6" fillId="8" borderId="17" xfId="0" applyFont="1" applyFill="1" applyBorder="1"/>
    <xf numFmtId="0" fontId="30" fillId="8" borderId="0" xfId="0" applyFont="1" applyFill="1"/>
    <xf numFmtId="166" fontId="27" fillId="8" borderId="0" xfId="0" applyNumberFormat="1" applyFont="1" applyFill="1"/>
    <xf numFmtId="166" fontId="27" fillId="8" borderId="13" xfId="0" applyNumberFormat="1" applyFont="1" applyFill="1" applyBorder="1"/>
    <xf numFmtId="0" fontId="6" fillId="5" borderId="11" xfId="0" applyFont="1" applyFill="1" applyBorder="1"/>
    <xf numFmtId="17" fontId="27" fillId="5" borderId="0" xfId="0" applyNumberFormat="1" applyFont="1" applyFill="1" applyAlignment="1">
      <alignment horizontal="left"/>
    </xf>
    <xf numFmtId="17" fontId="27" fillId="5" borderId="0" xfId="0" applyNumberFormat="1" applyFont="1" applyFill="1" applyAlignment="1">
      <alignment wrapText="1"/>
    </xf>
    <xf numFmtId="17" fontId="27" fillId="5" borderId="12" xfId="0" applyNumberFormat="1" applyFont="1" applyFill="1" applyBorder="1" applyAlignment="1">
      <alignment wrapText="1"/>
    </xf>
    <xf numFmtId="17" fontId="27" fillId="5" borderId="0" xfId="0" applyNumberFormat="1" applyFont="1" applyFill="1"/>
    <xf numFmtId="17" fontId="27" fillId="5" borderId="13" xfId="0" applyNumberFormat="1" applyFont="1" applyFill="1" applyBorder="1"/>
    <xf numFmtId="0" fontId="27" fillId="5" borderId="14" xfId="0" applyFont="1" applyFill="1" applyBorder="1"/>
    <xf numFmtId="0" fontId="27" fillId="5" borderId="17" xfId="0" applyFont="1" applyFill="1" applyBorder="1"/>
    <xf numFmtId="0" fontId="27" fillId="5" borderId="17" xfId="0" applyFont="1" applyFill="1" applyBorder="1" applyAlignment="1">
      <alignment horizontal="center"/>
    </xf>
    <xf numFmtId="0" fontId="27" fillId="5" borderId="0" xfId="0" applyFont="1" applyFill="1" applyAlignment="1">
      <alignment horizontal="center"/>
    </xf>
    <xf numFmtId="0" fontId="27" fillId="5" borderId="13" xfId="0" applyFont="1" applyFill="1" applyBorder="1" applyAlignment="1">
      <alignment horizontal="center"/>
    </xf>
    <xf numFmtId="0" fontId="12" fillId="5" borderId="18" xfId="0" applyFont="1" applyFill="1" applyBorder="1"/>
    <xf numFmtId="0" fontId="12" fillId="5" borderId="18" xfId="0" applyFont="1" applyFill="1" applyBorder="1" applyAlignment="1">
      <alignment horizontal="center"/>
    </xf>
    <xf numFmtId="0" fontId="12" fillId="5" borderId="12" xfId="0" applyFont="1" applyFill="1" applyBorder="1" applyAlignment="1">
      <alignment horizontal="center"/>
    </xf>
    <xf numFmtId="0" fontId="12" fillId="5" borderId="19" xfId="0" applyFont="1" applyFill="1" applyBorder="1" applyAlignment="1">
      <alignment horizontal="center"/>
    </xf>
    <xf numFmtId="0" fontId="27" fillId="5" borderId="0" xfId="0" applyFont="1" applyFill="1"/>
    <xf numFmtId="166" fontId="27" fillId="5" borderId="0" xfId="0" applyNumberFormat="1" applyFont="1" applyFill="1" applyAlignment="1">
      <alignment horizontal="center"/>
    </xf>
    <xf numFmtId="0" fontId="0" fillId="0" borderId="0" xfId="0" applyNumberFormat="1"/>
    <xf numFmtId="166" fontId="12" fillId="7" borderId="0" xfId="0" applyNumberFormat="1" applyFont="1" applyFill="1"/>
    <xf numFmtId="166" fontId="18" fillId="0" borderId="0" xfId="0" applyNumberFormat="1" applyFont="1"/>
    <xf numFmtId="0" fontId="18" fillId="0" borderId="0" xfId="0" applyFont="1"/>
    <xf numFmtId="0" fontId="21" fillId="0" borderId="0" xfId="0" applyFont="1"/>
    <xf numFmtId="0" fontId="21" fillId="0" borderId="0" xfId="0" applyFont="1"/>
    <xf numFmtId="0" fontId="31" fillId="0" borderId="0" xfId="0" applyFont="1" applyFill="1" applyAlignment="1">
      <alignment horizontal="left" vertical="center" wrapText="1"/>
    </xf>
    <xf numFmtId="0" fontId="31" fillId="0" borderId="0" xfId="0" applyFont="1" applyFill="1" applyAlignment="1">
      <alignment horizontal="left" vertical="center"/>
    </xf>
    <xf numFmtId="0" fontId="3" fillId="2" borderId="0" xfId="0" applyFont="1" applyFill="1" applyAlignment="1">
      <alignment horizontal="center"/>
    </xf>
    <xf numFmtId="10" fontId="18" fillId="0" borderId="0" xfId="0" applyNumberFormat="1" applyFont="1" applyAlignment="1">
      <alignment horizontal="right"/>
    </xf>
    <xf numFmtId="0" fontId="9" fillId="0" borderId="0" xfId="0" applyFont="1" applyFill="1" applyAlignment="1">
      <alignment horizontal="right"/>
    </xf>
    <xf numFmtId="166" fontId="0" fillId="0" borderId="0" xfId="0" applyNumberFormat="1" applyFill="1"/>
    <xf numFmtId="10" fontId="12" fillId="0" borderId="0" xfId="0" applyNumberFormat="1" applyFont="1"/>
    <xf numFmtId="10" fontId="0" fillId="11" borderId="0" xfId="0" applyNumberFormat="1" applyFill="1"/>
    <xf numFmtId="0" fontId="1" fillId="0" borderId="0" xfId="4"/>
    <xf numFmtId="10" fontId="1" fillId="0" borderId="0" xfId="4" applyNumberFormat="1"/>
    <xf numFmtId="166" fontId="11" fillId="7" borderId="0" xfId="0" applyNumberFormat="1" applyFont="1" applyFill="1" applyAlignment="1">
      <alignment horizontal="left" vertical="top"/>
    </xf>
    <xf numFmtId="0" fontId="19" fillId="0" borderId="0" xfId="0" applyFont="1"/>
    <xf numFmtId="0" fontId="18" fillId="7" borderId="0" xfId="0" applyFont="1" applyFill="1" applyAlignment="1">
      <alignment horizontal="center"/>
    </xf>
    <xf numFmtId="0" fontId="30" fillId="7" borderId="0" xfId="0" applyFont="1" applyFill="1"/>
    <xf numFmtId="0" fontId="30" fillId="0" borderId="0" xfId="0" applyFont="1" applyAlignment="1">
      <alignment horizontal="center"/>
    </xf>
    <xf numFmtId="0" fontId="30" fillId="7" borderId="0" xfId="0" applyFont="1" applyFill="1" applyAlignment="1">
      <alignment horizontal="center"/>
    </xf>
    <xf numFmtId="0" fontId="30" fillId="7" borderId="0" xfId="0" applyFont="1" applyFill="1" applyAlignment="1">
      <alignment horizontal="left"/>
    </xf>
    <xf numFmtId="0" fontId="12" fillId="7" borderId="0" xfId="0" applyFont="1" applyFill="1"/>
    <xf numFmtId="10" fontId="12" fillId="7" borderId="0" xfId="0" applyNumberFormat="1" applyFont="1" applyFill="1" applyAlignment="1">
      <alignment horizontal="center"/>
    </xf>
    <xf numFmtId="0" fontId="32" fillId="0" borderId="0" xfId="5">
      <alignment vertical="center"/>
    </xf>
    <xf numFmtId="0" fontId="23" fillId="14" borderId="10" xfId="0" applyFont="1" applyFill="1" applyBorder="1" applyAlignment="1">
      <alignment horizontal="center"/>
    </xf>
    <xf numFmtId="0" fontId="21" fillId="0" borderId="0" xfId="0" applyFont="1"/>
    <xf numFmtId="0" fontId="21" fillId="0" borderId="0" xfId="0" applyFont="1" applyAlignment="1">
      <alignment horizontal="left"/>
    </xf>
    <xf numFmtId="0" fontId="3" fillId="0" borderId="0" xfId="4" applyFont="1"/>
    <xf numFmtId="43" fontId="1" fillId="0" borderId="0" xfId="1" applyFont="1" applyAlignment="1"/>
    <xf numFmtId="0" fontId="22" fillId="13" borderId="0" xfId="0" applyFont="1" applyFill="1"/>
    <xf numFmtId="3" fontId="0" fillId="2" borderId="0" xfId="0" applyNumberFormat="1" applyFill="1"/>
    <xf numFmtId="0" fontId="27" fillId="5" borderId="15" xfId="0" applyFont="1" applyFill="1" applyBorder="1" applyAlignment="1">
      <alignment horizontal="center"/>
    </xf>
    <xf numFmtId="0" fontId="27" fillId="5" borderId="16" xfId="0" applyFont="1" applyFill="1" applyBorder="1" applyAlignment="1">
      <alignment horizontal="center"/>
    </xf>
    <xf numFmtId="165" fontId="11" fillId="7" borderId="0" xfId="0" applyNumberFormat="1" applyFont="1" applyFill="1" applyAlignment="1">
      <alignment horizontal="left"/>
    </xf>
    <xf numFmtId="0" fontId="17" fillId="12" borderId="0" xfId="0" applyFont="1" applyFill="1" applyAlignment="1">
      <alignment horizontal="center" wrapText="1"/>
    </xf>
    <xf numFmtId="0" fontId="23" fillId="14" borderId="10" xfId="0" applyFont="1" applyFill="1" applyBorder="1" applyAlignment="1">
      <alignment horizontal="center"/>
    </xf>
    <xf numFmtId="0" fontId="21" fillId="0" borderId="0" xfId="0" applyFont="1"/>
    <xf numFmtId="0" fontId="22" fillId="13" borderId="0" xfId="0" applyFont="1" applyFill="1" applyAlignment="1">
      <alignment horizontal="left"/>
    </xf>
    <xf numFmtId="0" fontId="21" fillId="0" borderId="0" xfId="0" applyFont="1" applyAlignment="1">
      <alignment horizontal="left"/>
    </xf>
    <xf numFmtId="0" fontId="8" fillId="7" borderId="4" xfId="2" applyFont="1" applyFill="1" applyBorder="1" applyAlignment="1">
      <alignment horizontal="center" vertical="top"/>
    </xf>
    <xf numFmtId="0" fontId="8" fillId="7" borderId="5" xfId="2" applyFont="1" applyFill="1" applyBorder="1" applyAlignment="1">
      <alignment horizontal="center" vertical="top"/>
    </xf>
    <xf numFmtId="0" fontId="8" fillId="7" borderId="6" xfId="2" applyFont="1" applyFill="1" applyBorder="1" applyAlignment="1">
      <alignment horizontal="center" vertical="top"/>
    </xf>
  </cellXfs>
  <cellStyles count="6">
    <cellStyle name="Comma" xfId="1" builtinId="3"/>
    <cellStyle name="Normal" xfId="0" builtinId="0"/>
    <cellStyle name="Normal 2" xfId="2" xr:uid="{65161658-83F7-429B-B1E0-845118B9D210}"/>
    <cellStyle name="Normal 3" xfId="3" xr:uid="{A278DD00-686F-4636-AED0-053AFCA5EB70}"/>
    <cellStyle name="Normal 4" xfId="5" xr:uid="{5077F850-D218-4875-867E-AEFDCED52D2C}"/>
    <cellStyle name="Normal_Sheet1_1" xfId="4" xr:uid="{25CED0C7-19DF-45ED-AC44-C6526CECFBFA}"/>
  </cellStyles>
  <dxfs count="11">
    <dxf>
      <alignment horizontal="right"/>
    </dxf>
    <dxf>
      <alignment horizontal="right"/>
    </dxf>
    <dxf>
      <numFmt numFmtId="4" formatCode="#,##0.00"/>
    </dxf>
    <dxf>
      <numFmt numFmtId="14" formatCode="0.00%"/>
    </dxf>
    <dxf>
      <alignment horizontal="right"/>
    </dxf>
    <dxf>
      <numFmt numFmtId="4" formatCode="#,##0.00"/>
    </dxf>
    <dxf>
      <numFmt numFmtId="4" formatCode="#,##0.00"/>
    </dxf>
    <dxf>
      <numFmt numFmtId="4" formatCode="#,##0.00"/>
    </dxf>
    <dxf>
      <fill>
        <patternFill patternType="none">
          <bgColor auto="1"/>
        </patternFill>
      </fill>
    </dxf>
    <dxf>
      <fill>
        <patternFill patternType="none">
          <bgColor auto="1"/>
        </patternFill>
      </fill>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2/23/2020</v>
        <stp/>
        <stp>##V3_BDPV12</stp>
        <stp>BBG00RYDWX24 FIGI</stp>
        <stp>FITCH_EFF_DT</stp>
        <stp>[DIF_Risk_20200430.xlsm]Geneva investment position repo!R85C73</stp>
        <tr r="BU85" s="1"/>
      </tp>
      <tp t="s">
        <v>#N/A Field Not Applicable</v>
        <stp/>
        <stp>##V3_BDPV12</stp>
        <stp>BBG00RH7GJ34 FIGI</stp>
        <stp>SECURITY_TYP2</stp>
        <stp>[DIF_Risk_20200430.xlsm]Geneva investment position repo!R67C21</stp>
        <tr r="U67" s="1"/>
      </tp>
      <tp t="s">
        <v>#N/A Field Not Applicable</v>
        <stp/>
        <stp>##V3_BDPV12</stp>
        <stp>BBG00QN3F2R0 FIGI</stp>
        <stp>SECURITY_TYP2</stp>
        <stp>[DIF_Risk_20200430.xlsm]Geneva investment position repo!R28C21</stp>
        <tr r="U28" s="1"/>
      </tp>
      <tp t="s">
        <v>JP</v>
        <stp/>
        <stp>##V3_BDPV12</stp>
        <stp>BBG00NGF27D6 FIGI</stp>
        <stp>CNTRY_OF_RISK</stp>
        <stp>[DIF_Risk_20200430.xlsm]Geneva investment position repo!R114C38</stp>
        <tr r="AL114" s="1"/>
      </tp>
      <tp t="s">
        <v>#N/A Field Not Applicable</v>
        <stp/>
        <stp>##V3_BDPV12</stp>
        <stp>BBG00LSRS878 FIGI</stp>
        <stp>CAPITAL_CONTINGENT_SECURITY</stp>
        <stp>[DIF_Risk_20200430.xlsm]Geneva investment position repo!R104C42</stp>
        <tr r="AP104" s="1"/>
      </tp>
      <tp t="s">
        <v>#N/A Field Not Applicable</v>
        <stp/>
        <stp>##V3_BDPV12</stp>
        <stp>BBG00QQ1W050 FIGI</stp>
        <stp>CAPITAL_CONTINGENT_SECURITY</stp>
        <stp>[DIF_Risk_20200430.xlsm]Geneva investment position repo!R149C42</stp>
        <tr r="AP149" s="1"/>
      </tp>
      <tp t="s">
        <v>1/7/2020</v>
        <stp/>
        <stp>##V3_BDPV12</stp>
        <stp>BBG00RB30509 FIGI</stp>
        <stp>FITCH_EFF_DT</stp>
        <stp>[DIF_Risk_20200430.xlsm]Geneva investment position repo!R159C73</stp>
        <tr r="BU159" s="1"/>
      </tp>
      <tp t="s">
        <v>#N/A N/A</v>
        <stp/>
        <stp>##V3_BDPV12</stp>
        <stp>BBG00NL43H88 FIGI</stp>
        <stp>MOODY_EFF_DT</stp>
        <stp>[DIF_Risk_20200430.xlsm]Geneva investment position repo!R121C72</stp>
        <tr r="BT121" s="1"/>
      </tp>
      <tp t="s">
        <v>1/13/2025</v>
        <stp/>
        <stp>##V3_BDPV12</stp>
        <stp>BBG00RB35JZ6 FIGI</stp>
        <stp>CALC_MATURITY</stp>
        <stp>[DIF_Risk_20200430.xlsm]Geneva investment position repo!R48C55</stp>
        <tr r="BC48" s="1"/>
      </tp>
      <tp t="s">
        <v>10/18/2022</v>
        <stp/>
        <stp>##V3_BDPV12</stp>
        <stp>BBG00PQ3QH67 FIGI</stp>
        <stp>CALC_MATURITY</stp>
        <stp>[DIF_Risk_20200430.xlsm]Geneva investment position repo!R73C55</stp>
        <tr r="BC73" s="1"/>
      </tp>
      <tp t="s">
        <v>10/11/2018</v>
        <stp/>
        <stp>##V3_BDPV12</stp>
        <stp>BBG00M0MD1Z7 FIGI</stp>
        <stp>FITCH_EFF_DT</stp>
        <stp>[DIF_Risk_20200430.xlsm]Geneva investment position repo!R55C73</stp>
        <tr r="BU55" s="1"/>
      </tp>
      <tp t="s">
        <v>BBG00JCQ6Y42</v>
        <stp/>
        <stp>##V3_BDPV12</stp>
        <stp>US01609WAW29 ISIN</stp>
        <stp>ID_BB_GLOBAL</stp>
        <stp>[DIF_Risk_20200430.xlsm]Geneva investment position repo!R33C18</stp>
        <tr r="R33" s="1"/>
      </tp>
      <tp t="s">
        <v>CN</v>
        <stp/>
        <stp>##V3_BDPV12</stp>
        <stp>BBG00P7N38J5 FIGI</stp>
        <stp>CNTRY_OF_RISK</stp>
        <stp>[DIF_Risk_20200430.xlsm]Geneva investment position repo!R175C38</stp>
        <tr r="AL175" s="1"/>
      </tp>
      <tp t="s">
        <v>#N/A N/A</v>
        <stp/>
        <stp>##V3_BDPV12</stp>
        <stp>BBG00JC8V4T3 FIGI</stp>
        <stp>FITCH_EFF_DT</stp>
        <stp>[DIF_Risk_20200430.xlsm]Geneva investment position repo!R176C73</stp>
        <tr r="BU176" s="1"/>
      </tp>
      <tp t="s">
        <v>4/1/2019</v>
        <stp/>
        <stp>##V3_BDPV12</stp>
        <stp>BBG00HC2ZDQ9 FIGI</stp>
        <stp>FITCH_EFF_DT</stp>
        <stp>[DIF_Risk_20200430.xlsm]Geneva investment position repo!R151C73</stp>
        <tr r="BU151" s="1"/>
      </tp>
      <tp t="s">
        <v>4/27/2020</v>
        <stp/>
        <stp>##V3_BDPV12</stp>
        <stp>BBG00TJ8VS75 FIGI</stp>
        <stp>MOODY_EFF_DT</stp>
        <stp>[DIF_Risk_20200430.xlsm]Geneva investment position repo!R167C72</stp>
        <tr r="BT167" s="1"/>
      </tp>
      <tp t="s">
        <v>CN</v>
        <stp/>
        <stp>##V3_BDPV12</stp>
        <stp>BBG00N9X3LW2 FIGI</stp>
        <stp>CNTRY_OF_RISK</stp>
        <stp>[DIF_Risk_20200430.xlsm]Geneva investment position repo!R180C38</stp>
        <tr r="AL180" s="1"/>
      </tp>
      <tp t="s">
        <v>BBG00T6LY8D4</v>
        <stp/>
        <stp>##V3_BDPV12</stp>
        <stp>XS2159975700 ISIN</stp>
        <stp>ID_BB_GLOBAL</stp>
        <stp>[DIF_Risk_20200430.xlsm]Geneva investment position repo!R94C18</stp>
        <tr r="R94" s="1"/>
      </tp>
      <tp t="s">
        <v>HK</v>
        <stp/>
        <stp>##V3_BDPV12</stp>
        <stp>BBG00NL43H88 FIGI</stp>
        <stp>CNTRY_OF_RISK</stp>
        <stp>[DIF_Risk_20200430.xlsm]Geneva investment position repo!R121C38</stp>
        <tr r="AL121" s="1"/>
      </tp>
      <tp t="s">
        <v>4/22/2025</v>
        <stp/>
        <stp>##V3_BDPV12</stp>
        <stp>BBG00T8646V2 FIGI</stp>
        <stp>CALC_MATURITY</stp>
        <stp>[DIF_Risk_20200430.xlsm]Geneva investment position repo!R71C55</stp>
        <tr r="BC71" s="1"/>
      </tp>
      <tp t="s">
        <v>2/23/2023</v>
        <stp/>
        <stp>##V3_BDPV12</stp>
        <stp>BBG00GQ752P3 FIGI</stp>
        <stp>CALC_MATURITY</stp>
        <stp>[DIF_Risk_20200430.xlsm]Geneva investment position repo!R99C55</stp>
        <tr r="BC99" s="1"/>
      </tp>
      <tp t="s">
        <v>BBG00MSJ57C5</v>
        <stp/>
        <stp>##V3_BDPV12</stp>
        <stp>XS1924249680 ISIN</stp>
        <stp>ID_BB_GLOBAL</stp>
        <stp>[DIF_Risk_20200430.xlsm]Geneva investment position repo!R74C18</stp>
        <tr r="R74" s="1"/>
      </tp>
      <tp t="s">
        <v>CN</v>
        <stp/>
        <stp>##V3_BDPV12</stp>
        <stp>BBG00RB30509 FIGI</stp>
        <stp>CNTRY_OF_RISK</stp>
        <stp>[DIF_Risk_20200430.xlsm]Geneva investment position repo!R159C38</stp>
        <tr r="AL159" s="1"/>
      </tp>
      <tp t="s">
        <v>#N/A Field Not Applicable</v>
        <stp/>
        <stp>##V3_BDPV12</stp>
        <stp>BBG000GD4N44 FIGI</stp>
        <stp>MOODY_EFF_DT</stp>
        <stp>[DIF_Risk_20200430.xlsm]Geneva investment position repo!R23C72</stp>
        <tr r="BT23" s="1"/>
      </tp>
      <tp t="s">
        <v>10/3/2018</v>
        <stp/>
        <stp>##V3_BDPV12</stp>
        <stp>BBG00M5BYXF5 FIGI</stp>
        <stp>MOODY_EFF_DT</stp>
        <stp>[DIF_Risk_20200430.xlsm]Geneva investment position repo!R32C72</stp>
        <tr r="BT32" s="1"/>
      </tp>
      <tp t="s">
        <v>#N/A Field Not Applicable</v>
        <stp/>
        <stp>##V3_BDPV12</stp>
        <stp>BBG00S0GV953 FIGI</stp>
        <stp>CAPITAL_CONTINGENT_SECURITY</stp>
        <stp>[DIF_Risk_20200430.xlsm]Geneva investment position repo!R98C42</stp>
        <tr r="AP98" s="1"/>
      </tp>
      <tp t="s">
        <v>Mutual Fund</v>
        <stp/>
        <stp>##V3_BDPV12</stp>
        <stp>BBG000P9FRH8 FIGI</stp>
        <stp>SECURITY_TYP2</stp>
        <stp>[DIF_Risk_20200430.xlsm]Geneva investment position repo!R19C21</stp>
        <tr r="U19" s="1"/>
      </tp>
      <tp t="s">
        <v>1/8/2020</v>
        <stp/>
        <stp>##V3_BDPV12</stp>
        <stp>BBG00RCY5V08 FIGI</stp>
        <stp>MOODY_EFF_DT</stp>
        <stp>[DIF_Risk_20200430.xlsm]Geneva investment position repo!R39C72</stp>
        <tr r="BT39" s="1"/>
      </tp>
      <tp t="s">
        <v>#N/A Field Not Applicable</v>
        <stp/>
        <stp>##V3_BDPV12</stp>
        <stp>BBG00QJ3FR72 FIGI</stp>
        <stp>SECURITY_TYP2</stp>
        <stp>[DIF_Risk_20200430.xlsm]Geneva investment position repo!R37C21</stp>
        <tr r="U37" s="1"/>
      </tp>
      <tp t="s">
        <v>2/13/2019</v>
        <stp/>
        <stp>##V3_BDPV12</stp>
        <stp>BBG00NB7K829 FIGI</stp>
        <stp>MOODY_EFF_DT</stp>
        <stp>[DIF_Risk_20200430.xlsm]Geneva investment position repo!R162C72</stp>
        <tr r="BT162" s="1"/>
      </tp>
      <tp t="s">
        <v>ACTV</v>
        <stp/>
        <stp>##V3_BDPV12</stp>
        <stp>BBG00T21B8F5 FIGI</stp>
        <stp>EXCH_MARKET_STATUS</stp>
        <stp>[DIF_Risk_20200430.xlsm]Geneva investment position repo!R133C44</stp>
        <tr r="AR133" s="1"/>
        <tr r="AR133" s="1"/>
      </tp>
      <tp t="s">
        <v>ACTV</v>
        <stp/>
        <stp>##V3_BDPV12</stp>
        <stp>BBG00TFTG847 FIGI</stp>
        <stp>EXCH_MARKET_STATUS</stp>
        <stp>[DIF_Risk_20200430.xlsm]Geneva investment position repo!R117C44</stp>
        <tr r="AR117" s="1"/>
        <tr r="AR117" s="1"/>
      </tp>
      <tp t="s">
        <v>4/21/2023</v>
        <stp/>
        <stp>##V3_BDPV12</stp>
        <stp>BBG00T8645P1 FIGI</stp>
        <stp>CALC_MATURITY</stp>
        <stp>[DIF_Risk_20200430.xlsm]Geneva investment position repo!R70C55</stp>
        <tr r="BC70" s="1"/>
      </tp>
      <tp t="s">
        <v>BBG00BWQ0R57</v>
        <stp/>
        <stp>##V3_BDPV12</stp>
        <stp>FR0013101599 ISIN</stp>
        <stp>ID_BB_GLOBAL</stp>
        <stp>[DIF_Risk_20200430.xlsm]Geneva investment position repo!R62C18</stp>
        <tr r="R62" s="1"/>
      </tp>
      <tp t="s">
        <v>BBG00S9HKR72</v>
        <stp/>
        <stp>##V3_BDPV12</stp>
        <stp>XS2127809528 ISIN</stp>
        <stp>ID_BB_GLOBAL</stp>
        <stp>[DIF_Risk_20200430.xlsm]Geneva investment position repo!R36C18</stp>
        <tr r="R36" s="1"/>
      </tp>
      <tp t="s">
        <v>CN</v>
        <stp/>
        <stp>##V3_BDPV12</stp>
        <stp>BBG00NQF0SC2 FIGI</stp>
        <stp>CNTRY_OF_RISK</stp>
        <stp>[DIF_Risk_20200430.xlsm]Geneva investment position repo!R160C38</stp>
        <tr r="AL160" s="1"/>
      </tp>
      <tp t="s">
        <v>4/16/2020</v>
        <stp/>
        <stp>##V3_BDPV12</stp>
        <stp>BBG00T6LY8D4 FIGI</stp>
        <stp>MOODY_EFF_DT</stp>
        <stp>[DIF_Risk_20200430.xlsm]Geneva investment position repo!R94C72</stp>
        <tr r="BT94" s="1"/>
      </tp>
      <tp t="s">
        <v>11/16/2018</v>
        <stp/>
        <stp>##V3_BDPV12</stp>
        <stp>BBG00MKJ4690 FIGI</stp>
        <stp>MOODY_EFF_DT</stp>
        <stp>[DIF_Risk_20200430.xlsm]Geneva investment position repo!R54C72</stp>
        <tr r="BT54" s="1"/>
      </tp>
      <tp t="s">
        <v>Unit</v>
        <stp/>
        <stp>##V3_BDPV12</stp>
        <stp>BBG005Q0XWK0 FIGI</stp>
        <stp>SECURITY_TYP2</stp>
        <stp>[DIF_Risk_20200430.xlsm]Geneva investment position repo!R15C21</stp>
        <tr r="U15" s="1"/>
      </tp>
      <tp t="s">
        <v>#N/A N/A</v>
        <stp/>
        <stp>##V3_BDPV12</stp>
        <stp>BBG00PGHK257 FIGI</stp>
        <stp>MOODY_EFF_DT</stp>
        <stp>[DIF_Risk_20200430.xlsm]Geneva investment position repo!R87C72</stp>
        <tr r="BT87" s="1"/>
      </tp>
      <tp t="s">
        <v>#N/A Field Not Applicable</v>
        <stp/>
        <stp>##V3_BDPV12</stp>
        <stp>BBG00PQ3PWZ3 FIGI</stp>
        <stp>SECURITY_TYP2</stp>
        <stp>[DIF_Risk_20200430.xlsm]Geneva investment position repo!R84C21</stp>
        <tr r="U84" s="1"/>
      </tp>
      <tp t="s">
        <v>#N/A Field Not Applicable</v>
        <stp/>
        <stp>##V3_BDPV12</stp>
        <stp>BBG00QV37ZP9 FIGI</stp>
        <stp>CAPITAL_CONTINGENT_SECURITY</stp>
        <stp>[DIF_Risk_20200430.xlsm]Geneva investment position repo!R7C42</stp>
        <tr r="AP7" s="1"/>
      </tp>
      <tp t="s">
        <v>#N/A Field Not Applicable</v>
        <stp/>
        <stp>##V3_BDPV12</stp>
        <stp>BBG00LSR9049 FIGI</stp>
        <stp>CAPITAL_CONTINGENT_SECURITY</stp>
        <stp>[DIF_Risk_20200430.xlsm]Geneva investment position repo!R108C42</stp>
        <tr r="AP108" s="1"/>
      </tp>
      <tp t="s">
        <v>#N/A Field Not Applicable</v>
        <stp/>
        <stp>##V3_BDPV12</stp>
        <stp>BBG00N14WRV0 FIGI</stp>
        <stp>CAPITAL_CONTINGENT_SECURITY</stp>
        <stp>[DIF_Risk_20200430.xlsm]Geneva investment position repo!R142C42</stp>
        <tr r="AP142" s="1"/>
      </tp>
      <tp t="s">
        <v>#N/A Field Not Applicable</v>
        <stp/>
        <stp>##V3_BDPV12</stp>
        <stp>BBG00NV886P8 FIGI</stp>
        <stp>SECURITY_TYP2</stp>
        <stp>[DIF_Risk_20200430.xlsm]Geneva investment position repo!R72C21</stp>
        <tr r="U72" s="1"/>
      </tp>
      <tp t="s">
        <v>BBG00NDMRLH2</v>
        <stp/>
        <stp>##V3_BDPV12</stp>
        <stp>XS1897158892 ISIN</stp>
        <stp>ID_BB_GLOBAL</stp>
        <stp>[DIF_Risk_20200430.xlsm]Geneva investment position repo!R58C18</stp>
        <tr r="R58" s="1"/>
      </tp>
      <tp t="s">
        <v>6/3/2018</v>
        <stp/>
        <stp>##V3_BDPV12</stp>
        <stp>BBG00L07ZBX8 FIGI</stp>
        <stp>FITCH_EFF_DT</stp>
        <stp>[DIF_Risk_20200430.xlsm]Geneva investment position repo!R66C73</stp>
        <tr r="BU66" s="1"/>
      </tp>
      <tp t="s">
        <v>1/11/2017</v>
        <stp/>
        <stp>##V3_BDPV12</stp>
        <stp>BBG00FP0FP88 FIGI</stp>
        <stp>FITCH_EFF_DT</stp>
        <stp>[DIF_Risk_20200430.xlsm]Geneva investment position repo!R96C73</stp>
        <tr r="BU96" s="1"/>
      </tp>
      <tp t="s">
        <v>ID</v>
        <stp/>
        <stp>##V3_BDPV12</stp>
        <stp>BBG00F2W1SP3 FIGI</stp>
        <stp>CNTRY_OF_RISK</stp>
        <stp>[DIF_Risk_20200430.xlsm]Geneva investment position repo!R105C38</stp>
        <tr r="AL105" s="1"/>
      </tp>
      <tp t="s">
        <v>CN</v>
        <stp/>
        <stp>##V3_BDPV12</stp>
        <stp>BBG00L1B1VB5 FIGI</stp>
        <stp>CNTRY_OF_RISK</stp>
        <stp>[DIF_Risk_20200430.xlsm]Geneva investment position repo!R163C38</stp>
        <tr r="AL163" s="1"/>
      </tp>
      <tp t="s">
        <v>5/7/2020</v>
        <stp/>
        <stp>##V3_BDPV12</stp>
        <stp>BBG00T8645P1 FIGI</stp>
        <stp>FITCH_EFF_DT</stp>
        <stp>[DIF_Risk_20200430.xlsm]Geneva investment position repo!R70C73</stp>
        <tr r="BU70" s="1"/>
      </tp>
      <tp t="s">
        <v>7/27/2018</v>
        <stp/>
        <stp>##V3_BDPV12</stp>
        <stp>BBG00H5KNJZ7 FIGI</stp>
        <stp>FITCH_EFF_DT</stp>
        <stp>[DIF_Risk_20200430.xlsm]Geneva investment position repo!R80C73</stp>
        <tr r="BU80" s="1"/>
      </tp>
      <tp t="s">
        <v>1/15/2019</v>
        <stp/>
        <stp>##V3_BDPV12</stp>
        <stp>BBG00N2K8LG0 FIGI</stp>
        <stp>MOODY_EFF_DT</stp>
        <stp>[DIF_Risk_20200430.xlsm]Geneva investment position repo!R43C72</stp>
        <tr r="BT43" s="1"/>
      </tp>
      <tp t="s">
        <v>1/25/2019</v>
        <stp/>
        <stp>##V3_BDPV12</stp>
        <stp>BBG00N6M20C8 FIGI</stp>
        <stp>MOODY_EFF_DT</stp>
        <stp>[DIF_Risk_20200430.xlsm]Geneva investment position repo!R79C72</stp>
        <tr r="BT79" s="1"/>
      </tp>
      <tp t="s">
        <v>Common Stock</v>
        <stp/>
        <stp>##V3_BDPV12</stp>
        <stp>BBG00LD1QR26 FIGI</stp>
        <stp>SECURITY_TYP2</stp>
        <stp>[DIF_Risk_20200430.xlsm]Geneva investment position repo!R12C21</stp>
        <tr r="U12" s="1"/>
      </tp>
      <tp t="s">
        <v>#N/A Field Not Applicable</v>
        <stp/>
        <stp>##V3_BDPV12</stp>
        <stp>BBG00TDCM8F7 FIGI</stp>
        <stp>CAPITAL_CONTINGENT_SECURITY</stp>
        <stp>[DIF_Risk_20200430.xlsm]Geneva investment position repo!R38C42</stp>
        <tr r="AP38" s="1"/>
      </tp>
      <tp t="s">
        <v>4/15/2169</v>
        <stp/>
        <stp>##V3_BDPV12</stp>
        <stp>BBG00QJ3FR72 FIGI</stp>
        <stp>CALC_MATURITY</stp>
        <stp>[DIF_Risk_20200430.xlsm]Geneva investment position repo!R37C55</stp>
        <tr r="BC37" s="1"/>
      </tp>
      <tp t="s">
        <v>2/28/2019</v>
        <stp/>
        <stp>##V3_BDPV12</stp>
        <stp>BBG00NGWHP25 FIGI</stp>
        <stp>MOODY_EFF_DT</stp>
        <stp>[DIF_Risk_20200430.xlsm]Geneva investment position repo!R29C72</stp>
        <tr r="BT29" s="1"/>
      </tp>
      <tp t="s">
        <v>#N/A Field Not Applicable</v>
        <stp/>
        <stp>##V3_BDPV12</stp>
        <stp>BBG00B6SDBV4 FIGI</stp>
        <stp>CAPITAL_CONTINGENT_SECURITY</stp>
        <stp>[DIF_Risk_20200430.xlsm]Geneva investment position repo!R115C42</stp>
        <tr r="AP115" s="1"/>
      </tp>
      <tp t="s">
        <v>Real Estate</v>
        <stp/>
        <stp>##V3_BDPV12</stp>
        <stp>BBG00NV886P8 FIGI</stp>
        <stp>INDUSTRY_GROUP</stp>
        <stp>[DIF_Risk_20200430.xlsm]Geneva investment position repo!R72C40</stp>
        <tr r="AN72" s="1"/>
      </tp>
      <tp t="s">
        <v>#N/A Field Not Applicable</v>
        <stp/>
        <stp>##V3_BDPV12</stp>
        <stp>BBG00Q2B8JR6 FIGI</stp>
        <stp>CAPITAL_CONTINGENT_SECURITY</stp>
        <stp>[DIF_Risk_20200430.xlsm]Geneva investment position repo!R170C42</stp>
        <tr r="AP170" s="1"/>
      </tp>
      <tp t="s">
        <v>#N/A Field Not Applicable</v>
        <stp/>
        <stp>##V3_BDPV12</stp>
        <stp>BBG00HVHMY65 FIGI</stp>
        <stp>CAPITAL_CONTINGENT_SECURITY</stp>
        <stp>[DIF_Risk_20200430.xlsm]Geneva investment position repo!R119C42</stp>
        <tr r="AP119" s="1"/>
      </tp>
      <tp t="s">
        <v>2/14/2019</v>
        <stp/>
        <stp>##V3_BDPV12</stp>
        <stp>BBG00NB7K829 FIGI</stp>
        <stp>FITCH_EFF_DT</stp>
        <stp>[DIF_Risk_20200430.xlsm]Geneva investment position repo!R162C73</stp>
        <tr r="BU162" s="1"/>
      </tp>
      <tp t="s">
        <v>Real Estate</v>
        <stp/>
        <stp>##V3_BDPV12</stp>
        <stp>BBG00KDP8LC7 FIGI</stp>
        <stp>INDUSTRY_GROUP</stp>
        <stp>[DIF_Risk_20200430.xlsm]Geneva investment position repo!R49C40</stp>
        <tr r="AN49" s="1"/>
      </tp>
      <tp t="s">
        <v>Real Estate</v>
        <stp/>
        <stp>##V3_BDPV12</stp>
        <stp>BBG00N2K8LG0 FIGI</stp>
        <stp>INDUSTRY_GROUP</stp>
        <stp>[DIF_Risk_20200430.xlsm]Geneva investment position repo!R43C40</stp>
        <tr r="AN43" s="1"/>
      </tp>
      <tp t="s">
        <v>EQUI</v>
        <stp/>
        <stp>##V3_BDPV12</stp>
        <stp>BBG0016XR1Q8 FIGI</stp>
        <stp>MIFID_ASSET_CLASS</stp>
        <stp>[DIF_Risk_20200430.xlsm]Geneva investment position repo!R6C19</stp>
        <tr r="S6" s="1"/>
      </tp>
      <tp t="s">
        <v>BBG00QYPDPC6</v>
        <stp/>
        <stp>##V3_BDPV12</stp>
        <stp>XS2078814147 ISIN</stp>
        <stp>ID_BB_GLOBAL</stp>
        <stp>[DIF_Risk_20200430.xlsm]Geneva investment position repo!R68C18</stp>
        <tr r="R68" s="1"/>
      </tp>
      <tp t="s">
        <v>#N/A Field Not Applicable</v>
        <stp/>
        <stp>##V3_BDPV12</stp>
        <stp>BBG00T6LY8D4 FIGI</stp>
        <stp>CAPITAL_CONTINGENT_SECURITY</stp>
        <stp>[DIF_Risk_20200430.xlsm]Geneva investment position repo!R94C42</stp>
        <tr r="AP94" s="1"/>
      </tp>
      <tp>
        <v>8.4399902372922071</v>
        <stp/>
        <stp>##V3_BDPV12</stp>
        <stp>US345370CW84 ISIN</stp>
        <stp>YLD_YTM_MID</stp>
        <stp>[DIF_Risk_20200430.xlsm]Geneva investment position repo!R71C61</stp>
        <tr r="BI71" s="1"/>
      </tp>
      <tp t="s">
        <v>BBG00RRMFK74</v>
        <stp/>
        <stp>##V3_BDPV12</stp>
        <stp>XS2123967452 ISIN</stp>
        <stp>ID_BB_GLOBAL</stp>
        <stp>[DIF_Risk_20200430.xlsm]Geneva investment position repo!R41C18</stp>
        <tr r="R41" s="1"/>
      </tp>
      <tp>
        <v>3.8303462306878728</v>
        <stp/>
        <stp>##V3_BDPV12</stp>
        <stp>US345370CW84 ISIN</stp>
        <stp>DUR_ADJ_MID</stp>
        <stp>[DIF_Risk_20200430.xlsm]Geneva investment position repo!R71C59</stp>
        <tr r="BG71" s="1"/>
      </tp>
      <tp t="s">
        <v>BBG00QNT5B76</v>
        <stp/>
        <stp>##V3_BDPV12</stp>
        <stp>XS2071413483 ISIN</stp>
        <stp>ID_BB_GLOBAL</stp>
        <stp>[DIF_Risk_20200430.xlsm]Geneva investment position repo!R30C18</stp>
        <tr r="R30" s="1"/>
      </tp>
      <tp t="s">
        <v>KR</v>
        <stp/>
        <stp>##V3_BDPV12</stp>
        <stp>BBG00LNF6KZ5 FIGI</stp>
        <stp>CNTRY_OF_RISK</stp>
        <stp>[DIF_Risk_20200430.xlsm]Geneva investment position repo!R144C38</stp>
        <tr r="AL144" s="1"/>
      </tp>
      <tp t="s">
        <v>BBG00PV1L0V9</v>
        <stp/>
        <stp>##V3_BDPV12</stp>
        <stp>XS2034868047 ISIN</stp>
        <stp>ID_BB_GLOBAL</stp>
        <stp>[DIF_Risk_20200430.xlsm]Geneva investment position repo!R86C18</stp>
        <tr r="R86" s="1"/>
      </tp>
      <tp t="s">
        <v>#N/A Field Not Applicable</v>
        <stp/>
        <stp>##V3_BDPV12</stp>
        <stp>BBG00T8645P1 FIGI</stp>
        <stp>SECURITY_TYP2</stp>
        <stp>[DIF_Risk_20200430.xlsm]Geneva investment position repo!R70C21</stp>
        <tr r="U70" s="1"/>
      </tp>
      <tp t="s">
        <v>7/22/2022</v>
        <stp/>
        <stp>##V3_BDPV12</stp>
        <stp>BBG00PQ3PWZ3 FIGI</stp>
        <stp>CALC_MATURITY</stp>
        <stp>[DIF_Risk_20200430.xlsm]Geneva investment position repo!R84C55</stp>
        <tr r="BC84" s="1"/>
      </tp>
      <tp t="s">
        <v>4/6/2020</v>
        <stp/>
        <stp>##V3_BDPV12</stp>
        <stp>BBG00SYNG075 FIGI</stp>
        <stp>FITCH_EFF_DT</stp>
        <stp>[DIF_Risk_20200430.xlsm]Geneva investment position repo!R40C73</stp>
        <tr r="BU40" s="1"/>
      </tp>
      <tp t="s">
        <v>#N/A Field Not Applicable</v>
        <stp/>
        <stp>##V3_BDPV12</stp>
        <stp>BBG000BDV566 FIGI</stp>
        <stp>MOODY_EFF_DT</stp>
        <stp>[DIF_Risk_20200430.xlsm]Geneva investment position repo!R13C72</stp>
        <tr r="BT13" s="1"/>
      </tp>
      <tp t="s">
        <v>CN</v>
        <stp/>
        <stp>##V3_BDPV12</stp>
        <stp>BBG00PF578H3 FIGI</stp>
        <stp>CNTRY_OF_RISK</stp>
        <stp>[DIF_Risk_20200430.xlsm]Geneva investment position repo!R181C38</stp>
        <tr r="AL181" s="1"/>
      </tp>
      <tp t="s">
        <v>#N/A N/A</v>
        <stp/>
        <stp>##V3_BDPV12</stp>
        <stp>BBG00SBW5S62 FIGI</stp>
        <stp>MOODY_EFF_DT</stp>
        <stp>[DIF_Risk_20200430.xlsm]Geneva investment position repo!R88C72</stp>
        <tr r="BT88" s="1"/>
      </tp>
      <tp t="s">
        <v>#N/A Field Not Applicable</v>
        <stp/>
        <stp>##V3_BDPV12</stp>
        <stp>BBG00R9LVRX4 FIGI</stp>
        <stp>CAPITAL_CONTINGENT_SECURITY</stp>
        <stp>[DIF_Risk_20200430.xlsm]Geneva investment position repo!R172C42</stp>
        <tr r="AP172" s="1"/>
      </tp>
      <tp t="s">
        <v>Real Estate</v>
        <stp/>
        <stp>##V3_BDPV12</stp>
        <stp>BBG00PDL9DC2 FIGI</stp>
        <stp>INDUSTRY_GROUP</stp>
        <stp>[DIF_Risk_20200430.xlsm]Geneva investment position repo!R92C40</stp>
        <tr r="AN92" s="1"/>
      </tp>
      <tp t="s">
        <v>Engineering&amp;Construction</v>
        <stp/>
        <stp>##V3_BDPV12</stp>
        <stp>BBG00PDL9DV1 FIGI</stp>
        <stp>INDUSTRY_GROUP</stp>
        <stp>[DIF_Risk_20200430.xlsm]Geneva investment position repo!R53C40</stp>
        <tr r="AN53" s="1"/>
      </tp>
      <tp t="s">
        <v>#N/A Field Not Applicable</v>
        <stp/>
        <stp>##V3_BDPV12</stp>
        <stp>BBG00RT2L457 FIGI</stp>
        <stp>CAPITAL_CONTINGENT_SECURITY</stp>
        <stp>[DIF_Risk_20200430.xlsm]Geneva investment position repo!R177C42</stp>
        <tr r="AP177" s="1"/>
      </tp>
      <tp t="s">
        <v>Internet</v>
        <stp/>
        <stp>##V3_BDPV12</stp>
        <stp>BBG00LLV9WW6 FIGI</stp>
        <stp>INDUSTRY_GROUP</stp>
        <stp>[DIF_Risk_20200430.xlsm]Geneva investment position repo!R21C40</stp>
        <tr r="AN21" s="1"/>
      </tp>
      <tp t="s">
        <v>BBG00PSJ40G0</v>
        <stp/>
        <stp>##V3_BDPV12</stp>
        <stp>XS2034561584 ISIN</stp>
        <stp>ID_BB_GLOBAL</stp>
        <stp>[DIF_Risk_20200430.xlsm]Geneva investment position repo!R97C18</stp>
        <tr r="R97" s="1"/>
      </tp>
      <tp t="s">
        <v>4/17/2022</v>
        <stp/>
        <stp>##V3_BDPV12</stp>
        <stp>BBG00NV886P8 FIGI</stp>
        <stp>CALC_MATURITY</stp>
        <stp>[DIF_Risk_20200430.xlsm]Geneva investment position repo!R72C55</stp>
        <tr r="BC72" s="1"/>
      </tp>
      <tp>
        <v>8.0355306406657032</v>
        <stp/>
        <stp>##V3_BDPV12</stp>
        <stp>US345370CV02 ISIN</stp>
        <stp>YLD_YTM_MID</stp>
        <stp>[DIF_Risk_20200430.xlsm]Geneva investment position repo!R70C61</stp>
        <tr r="BI70" s="1"/>
      </tp>
      <tp t="s">
        <v>BBG00RYF5CJ7</v>
        <stp/>
        <stp>##V3_BDPV12</stp>
        <stp>XS2125922349 ISIN</stp>
        <stp>ID_BB_GLOBAL</stp>
        <stp>[DIF_Risk_20200430.xlsm]Geneva investment position repo!R35C18</stp>
        <tr r="R35" s="1"/>
      </tp>
      <tp>
        <v>2.5119644620772958</v>
        <stp/>
        <stp>##V3_BDPV12</stp>
        <stp>US345370CV02 ISIN</stp>
        <stp>DUR_ADJ_MID</stp>
        <stp>[DIF_Risk_20200430.xlsm]Geneva investment position repo!R70C59</stp>
        <tr r="BG70" s="1"/>
      </tp>
      <tp t="s">
        <v>BBG00SBW5S62</v>
        <stp/>
        <stp>##V3_BDPV12</stp>
        <stp>XS2131434099 ISIN</stp>
        <stp>ID_BB_GLOBAL</stp>
        <stp>[DIF_Risk_20200430.xlsm]Geneva investment position repo!R88C18</stp>
        <tr r="R88" s="1"/>
      </tp>
      <tp t="s">
        <v>5/7/2020</v>
        <stp/>
        <stp>##V3_BDPV12</stp>
        <stp>BBG00T8646V2 FIGI</stp>
        <stp>FITCH_EFF_DT</stp>
        <stp>[DIF_Risk_20200430.xlsm]Geneva investment position repo!R71C73</stp>
        <tr r="BU71" s="1"/>
      </tp>
      <tp t="s">
        <v>CN</v>
        <stp/>
        <stp>##V3_BDPV12</stp>
        <stp>BBG00NDM7WZ0 FIGI</stp>
        <stp>CNTRY_OF_RISK</stp>
        <stp>[DIF_Risk_20200430.xlsm]Geneva investment position repo!R103C38</stp>
        <tr r="AL103" s="1"/>
      </tp>
      <tp t="s">
        <v>12/19/2018</v>
        <stp/>
        <stp>##V3_BDPV12</stp>
        <stp>BBG00MTKPX96 FIGI</stp>
        <stp>FITCH_EFF_DT</stp>
        <stp>[DIF_Risk_20200430.xlsm]Geneva investment position repo!R57C73</stp>
        <tr r="BU57" s="1"/>
      </tp>
      <tp t="s">
        <v>#N/A Field Not Applicable</v>
        <stp/>
        <stp>##V3_BDPV12</stp>
        <stp>BBG000BGW354 FIGI</stp>
        <stp>MOODY_EFF_DT</stp>
        <stp>[DIF_Risk_20200430.xlsm]Geneva investment position repo!R17C72</stp>
        <tr r="BT17" s="1"/>
      </tp>
      <tp t="s">
        <v>10/31/2024</v>
        <stp/>
        <stp>##V3_BDPV12</stp>
        <stp>BBG00QN3F2R0 FIGI</stp>
        <stp>CALC_MATURITY</stp>
        <stp>[DIF_Risk_20200430.xlsm]Geneva investment position repo!R28C55</stp>
        <tr r="BC28" s="1"/>
      </tp>
      <tp t="s">
        <v>7/23/2023</v>
        <stp/>
        <stp>##V3_BDPV12</stp>
        <stp>BBG00RH7GJ34 FIGI</stp>
        <stp>CALC_MATURITY</stp>
        <stp>[DIF_Risk_20200430.xlsm]Geneva investment position repo!R67C55</stp>
        <tr r="BC67" s="1"/>
      </tp>
      <tp t="s">
        <v>11/27/2017</v>
        <stp/>
        <stp>##V3_BDPV12</stp>
        <stp>BBG00JCQ6Y42 FIGI</stp>
        <stp>MOODY_EFF_DT</stp>
        <stp>[DIF_Risk_20200430.xlsm]Geneva investment position repo!R33C72</stp>
        <tr r="BT33" s="1"/>
      </tp>
      <tp t="s">
        <v>CN</v>
        <stp/>
        <stp>##V3_BDPV12</stp>
        <stp>BBG00MNS44N6 FIGI</stp>
        <stp>CNTRY_OF_RISK</stp>
        <stp>[DIF_Risk_20200430.xlsm]Geneva investment position repo!R129C38</stp>
        <tr r="AL129" s="1"/>
      </tp>
      <tp t="s">
        <v>Unit</v>
        <stp/>
        <stp>##V3_BDPV12</stp>
        <stp>BBG00226B1T3 FIGI</stp>
        <stp>SECURITY_TYP2</stp>
        <stp>[DIF_Risk_20200430.xlsm]Geneva investment position repo!R16C21</stp>
        <tr r="U16" s="1"/>
      </tp>
      <tp t="s">
        <v>ACTV</v>
        <stp/>
        <stp>##V3_BDPV12</stp>
        <stp>BBG00PF578H3 FIGI</stp>
        <stp>EXCH_MARKET_STATUS</stp>
        <stp>[DIF_Risk_20200430.xlsm]Geneva investment position repo!R181C44</stp>
        <tr r="AR181" s="1"/>
        <tr r="AR181" s="1"/>
      </tp>
      <tp t="s">
        <v>#N/A Field Not Applicable</v>
        <stp/>
        <stp>##V3_BDPV12</stp>
        <stp>BBG00F2W1SP3 FIGI</stp>
        <stp>CAPITAL_CONTINGENT_SECURITY</stp>
        <stp>[DIF_Risk_20200430.xlsm]Geneva investment position repo!R105C42</stp>
        <tr r="AP105" s="1"/>
      </tp>
      <tp t="s">
        <v>#N/A Field Not Applicable</v>
        <stp/>
        <stp>##V3_BDPV12</stp>
        <stp>BBG00NV0G541 FIGI</stp>
        <stp>CAPITAL_CONTINGENT_SECURITY</stp>
        <stp>[DIF_Risk_20200430.xlsm]Geneva investment position repo!R165C42</stp>
        <tr r="AP165" s="1"/>
      </tp>
      <tp t="s">
        <v>3/15/2019</v>
        <stp/>
        <stp>##V3_BDPV12</stp>
        <stp>BBG00NL43H88 FIGI</stp>
        <stp>FITCH_EFF_DT</stp>
        <stp>[DIF_Risk_20200430.xlsm]Geneva investment position repo!R121C73</stp>
        <tr r="BU121" s="1"/>
      </tp>
      <tp t="s">
        <v>#N/A N/A</v>
        <stp/>
        <stp>##V3_BDPV12</stp>
        <stp>BBG00PDL9DV1 FIGI</stp>
        <stp>RTG_SP</stp>
        <stp>[DIF_Risk_20200430.xlsm]Geneva investment position repo!R53C31</stp>
        <tr r="AE53" s="1"/>
      </tp>
      <tp t="s">
        <v>B</v>
        <stp/>
        <stp>##V3_BDPV12</stp>
        <stp>BBG00PDL9DC2 FIGI</stp>
        <stp>RTG_SP</stp>
        <stp>[DIF_Risk_20200430.xlsm]Geneva investment position repo!R92C31</stp>
        <tr r="AE92" s="1"/>
        <tr r="AE92" s="1"/>
      </tp>
      <tp t="s">
        <v>ACTV</v>
        <stp/>
        <stp>##V3_BDPV12</stp>
        <stp>BBG00P7N38J5 FIGI</stp>
        <stp>EXCH_MARKET_STATUS</stp>
        <stp>[DIF_Risk_20200430.xlsm]Geneva investment position repo!R175C44</stp>
        <tr r="AR175" s="1"/>
        <tr r="AR175" s="1"/>
      </tp>
      <tp t="s">
        <v>#N/A N/A</v>
        <stp/>
        <stp>##V3_BDPV12</stp>
        <stp>BBG00RB30509 FIGI</stp>
        <stp>MOODY_EFF_DT</stp>
        <stp>[DIF_Risk_20200430.xlsm]Geneva investment position repo!R159C72</stp>
        <tr r="BT159" s="1"/>
      </tp>
      <tp t="s">
        <v>BBG00T8646V2</v>
        <stp/>
        <stp>##V3_BDPV12</stp>
        <stp>US345370CW84 ISIN</stp>
        <stp>ID_BB_GLOBAL</stp>
        <stp>[DIF_Risk_20200430.xlsm]Geneva investment position repo!R71C18</stp>
        <tr r="R71" s="1"/>
      </tp>
      <tp t="s">
        <v>BBG00S0GV953</v>
        <stp/>
        <stp>##V3_BDPV12</stp>
        <stp>XS2127887169 ISIN</stp>
        <stp>ID_BB_GLOBAL</stp>
        <stp>[DIF_Risk_20200430.xlsm]Geneva investment position repo!R98C18</stp>
        <tr r="R98" s="1"/>
      </tp>
      <tp t="s">
        <v>BBG00KDP8LC7</v>
        <stp/>
        <stp>##V3_BDPV12</stp>
        <stp>XS1795479291 ISIN</stp>
        <stp>ID_BB_GLOBAL</stp>
        <stp>[DIF_Risk_20200430.xlsm]Geneva investment position repo!R49C18</stp>
        <tr r="R49" s="1"/>
      </tp>
      <tp t="s">
        <v>Common Stock</v>
        <stp/>
        <stp>##V3_BDPV12</stp>
        <stp>BBG000Q16VR4 FIGI</stp>
        <stp>SECURITY_TYP2</stp>
        <stp>[DIF_Risk_20200430.xlsm]Geneva investment position repo!R18C21</stp>
        <tr r="U18" s="1"/>
      </tp>
      <tp t="s">
        <v>BBG00PDL9DC2</v>
        <stp/>
        <stp>##V3_BDPV12</stp>
        <stp>XS2010988074 ISIN</stp>
        <stp>ID_BB_GLOBAL</stp>
        <stp>[DIF_Risk_20200430.xlsm]Geneva investment position repo!R92C18</stp>
        <tr r="R92" s="1"/>
      </tp>
      <tp t="s">
        <v>#N/A Field Not Applicable</v>
        <stp/>
        <stp>##V3_BDPV12</stp>
        <stp>BBG00RB35JZ6 FIGI</stp>
        <stp>SECURITY_TYP2</stp>
        <stp>[DIF_Risk_20200430.xlsm]Geneva investment position repo!R48C21</stp>
        <tr r="U48" s="1"/>
      </tp>
      <tp t="s">
        <v>BBG00LLFHRL5</v>
        <stp/>
        <stp>##V3_BDPV12</stp>
        <stp>XS1856800450 ISIN</stp>
        <stp>ID_BB_GLOBAL</stp>
        <stp>[DIF_Risk_20200430.xlsm]Geneva investment position repo!R61C18</stp>
        <tr r="R61" s="1"/>
      </tp>
      <tp t="s">
        <v>BBG00PGHK257</v>
        <stp/>
        <stp>##V3_BDPV12</stp>
        <stp>XS1813551584 ISIN</stp>
        <stp>ID_BB_GLOBAL</stp>
        <stp>[DIF_Risk_20200430.xlsm]Geneva investment position repo!R87C18</stp>
        <tr r="R87" s="1"/>
      </tp>
      <tp t="s">
        <v>BBG000Q16VR4</v>
        <stp/>
        <stp>##V3_BDPV12</stp>
        <stp>1398 HK Equity</stp>
        <stp>ID_BB_GLOBAL</stp>
        <stp>[DIF_Risk_20200430.xlsm]Geneva investment position repo!R18C18</stp>
        <tr r="R18" s="1"/>
      </tp>
      <tp t="s">
        <v>BBG000DVPPK1</v>
        <stp/>
        <stp>##V3_BDPV12</stp>
        <stp>3968 HK Equity</stp>
        <stp>ID_BB_GLOBAL</stp>
        <stp>[DIF_Risk_20200430.xlsm]Geneva investment position repo!R10C18</stp>
        <tr r="R10" s="1"/>
      </tp>
      <tp t="s">
        <v>BBG005Q0XWK0</v>
        <stp/>
        <stp>##V3_BDPV12</stp>
        <stp>2638 HK Equity</stp>
        <stp>ID_BB_GLOBAL</stp>
        <stp>[DIF_Risk_20200430.xlsm]Geneva investment position repo!R15C18</stp>
        <tr r="R15" s="1"/>
      </tp>
      <tp t="s">
        <v>BBG000GD4N44</v>
        <stp/>
        <stp>##V3_BDPV12</stp>
        <stp>2318 HK Equity</stp>
        <stp>ID_BB_GLOBAL</stp>
        <stp>[DIF_Risk_20200430.xlsm]Geneva investment position repo!R23C18</stp>
        <tr r="R23" s="1"/>
      </tp>
      <tp t="s">
        <v>AE</v>
        <stp/>
        <stp>##V3_BDPV12</stp>
        <stp>BBG00PKD4F69 FIGI</stp>
        <stp>CNTRY_OF_RISK</stp>
        <stp>[DIF_Risk_20200430.xlsm]Geneva investment position repo!R145C38</stp>
        <tr r="AL145" s="1"/>
      </tp>
      <tp t="s">
        <v>#N/A Field Not Applicable</v>
        <stp/>
        <stp>##V3_BDPV12</stp>
        <stp>BBG00PQ3QH67 FIGI</stp>
        <stp>SECURITY_TYP2</stp>
        <stp>[DIF_Risk_20200430.xlsm]Geneva investment position repo!R73C21</stp>
        <tr r="U73" s="1"/>
      </tp>
      <tp t="s">
        <v>#N/A N/A</v>
        <stp/>
        <stp>##V3_BDPV12</stp>
        <stp>BBG00TJ8VS75 FIGI</stp>
        <stp>FITCH_EFF_DT</stp>
        <stp>[DIF_Risk_20200430.xlsm]Geneva investment position repo!R167C73</stp>
        <tr r="BU167" s="1"/>
      </tp>
      <tp t="s">
        <v>ACTV</v>
        <stp/>
        <stp>##V3_BDPV12</stp>
        <stp>BBG00QRVV8P5 FIGI</stp>
        <stp>EXCH_MARKET_STATUS</stp>
        <stp>[DIF_Risk_20200430.xlsm]Geneva investment position repo!R131C44</stp>
        <tr r="AR131" s="1"/>
        <tr r="AR131" s="1"/>
      </tp>
      <tp t="s">
        <v>4/3/2019</v>
        <stp/>
        <stp>##V3_BDPV12</stp>
        <stp>BBG00HC2ZDQ9 FIGI</stp>
        <stp>MOODY_EFF_DT</stp>
        <stp>[DIF_Risk_20200430.xlsm]Geneva investment position repo!R151C72</stp>
        <tr r="BT151" s="1"/>
      </tp>
      <tp t="s">
        <v>#N/A N/A</v>
        <stp/>
        <stp>##V3_BDPV12</stp>
        <stp>BBG00JC8V4T3 FIGI</stp>
        <stp>MOODY_EFF_DT</stp>
        <stp>[DIF_Risk_20200430.xlsm]Geneva investment position repo!R176C72</stp>
        <tr r="BT176" s="1"/>
      </tp>
      <tp t="s">
        <v>B</v>
        <stp/>
        <stp>##V3_BDPV12</stp>
        <stp>BBG00NV886P8 FIGI</stp>
        <stp>RTG_SP</stp>
        <stp>[DIF_Risk_20200430.xlsm]Geneva investment position repo!R72C31</stp>
        <tr r="AE72" s="1"/>
        <tr r="AE72" s="1"/>
      </tp>
      <tp t="s">
        <v>B</v>
        <stp/>
        <stp>##V3_BDPV12</stp>
        <stp>BBG00KDP8LC7 FIGI</stp>
        <stp>RTG_SP</stp>
        <stp>[DIF_Risk_20200430.xlsm]Geneva investment position repo!R49C31</stp>
        <tr r="AE49" s="1"/>
        <tr r="AE49" s="1"/>
      </tp>
      <tp t="s">
        <v>#N/A N/A</v>
        <stp/>
        <stp>##V3_BDPV12</stp>
        <stp>BBG00N2K8LG0 FIGI</stp>
        <stp>RTG_SP</stp>
        <stp>[DIF_Risk_20200430.xlsm]Geneva investment position repo!R43C31</stp>
        <tr r="AE43" s="1"/>
      </tp>
      <tp>
        <v>19.899592364714362</v>
        <stp/>
        <stp>##V3_BDPV12</stp>
        <stp>US01609WAW29 ISIN</stp>
        <stp>DUR_ADJ_MID</stp>
        <stp>[DIF_Risk_20200430.xlsm]Geneva investment position repo!R33C59</stp>
        <tr r="BG33" s="1"/>
      </tp>
      <tp t="s">
        <v>BBG00RPNYQB5</v>
        <stp/>
        <stp>##V3_BDPV12</stp>
        <stp>XS2102904864 ISIN</stp>
        <stp>ID_BB_GLOBAL</stp>
        <stp>[DIF_Risk_20200430.xlsm]Geneva investment position repo!R47C18</stp>
        <tr r="R47" s="1"/>
      </tp>
      <tp t="s">
        <v>BBG00NGWHP25</v>
        <stp/>
        <stp>##V3_BDPV12</stp>
        <stp>XS1959497782 ISIN</stp>
        <stp>ID_BB_GLOBAL</stp>
        <stp>[DIF_Risk_20200430.xlsm]Geneva investment position repo!R29C18</stp>
        <tr r="R29" s="1"/>
      </tp>
      <tp>
        <v>3.2125739633628059</v>
        <stp/>
        <stp>##V3_BDPV12</stp>
        <stp>US01609WAW29 ISIN</stp>
        <stp>YLD_YTM_MID</stp>
        <stp>[DIF_Risk_20200430.xlsm]Geneva investment position repo!R33C61</stp>
        <tr r="BI33" s="1"/>
      </tp>
      <tp t="s">
        <v>#N/A Field Not Applicable</v>
        <stp/>
        <stp>##V3_BDPV12</stp>
        <stp>BBG00GQ752P3 FIGI</stp>
        <stp>SECURITY_TYP2</stp>
        <stp>[DIF_Risk_20200430.xlsm]Geneva investment position repo!R99C21</stp>
        <tr r="U99" s="1"/>
      </tp>
      <tp t="s">
        <v>#N/A Field Not Applicable</v>
        <stp/>
        <stp>##V3_BDPV12</stp>
        <stp>BBG00T8646V2 FIGI</stp>
        <stp>SECURITY_TYP2</stp>
        <stp>[DIF_Risk_20200430.xlsm]Geneva investment position repo!R71C21</stp>
        <tr r="U71" s="1"/>
      </tp>
      <tp t="s">
        <v>JP</v>
        <stp/>
        <stp>##V3_BDPV12</stp>
        <stp>BBG00RD35MV1 FIGI</stp>
        <stp>CNTRY_OF_RISK</stp>
        <stp>[DIF_Risk_20200430.xlsm]Geneva investment position repo!R118C38</stp>
        <tr r="AL118" s="1"/>
      </tp>
      <tp t="s">
        <v>#N/A Field Not Applicable</v>
        <stp/>
        <stp>##V3_BDPV12</stp>
        <stp>BBG00LD1QR26 FIGI</stp>
        <stp>MOODY_EFF_DT</stp>
        <stp>[DIF_Risk_20200430.xlsm]Geneva investment position repo!R12C72</stp>
        <tr r="BT12" s="1"/>
      </tp>
      <tp t="s">
        <v>#N/A Field Not Applicable</v>
        <stp/>
        <stp>##V3_BDPV12</stp>
        <stp>BBG00PSJD0B5 FIGI</stp>
        <stp>CAPITAL_CONTINGENT_SECURITY</stp>
        <stp>[DIF_Risk_20200430.xlsm]Geneva investment position repo!R81C42</stp>
        <tr r="AP81" s="1"/>
      </tp>
      <tp t="s">
        <v>#N/A Field Not Applicable</v>
        <stp/>
        <stp>##V3_BDPV12</stp>
        <stp>BBG00PSJ40G0 FIGI</stp>
        <stp>CAPITAL_CONTINGENT_SECURITY</stp>
        <stp>[DIF_Risk_20200430.xlsm]Geneva investment position repo!R97C42</stp>
        <tr r="AP97" s="1"/>
      </tp>
      <tp t="s">
        <v>#N/A Field Not Applicable</v>
        <stp/>
        <stp>##V3_BDPV12</stp>
        <stp>BBG00PV1L0V9 FIGI</stp>
        <stp>CAPITAL_CONTINGENT_SECURITY</stp>
        <stp>[DIF_Risk_20200430.xlsm]Geneva investment position repo!R86C42</stp>
        <tr r="AP86" s="1"/>
      </tp>
      <tp t="s">
        <v>10/24/2019</v>
        <stp/>
        <stp>##V3_BDPV12</stp>
        <stp>BBG00QNT5B76 FIGI</stp>
        <stp>MOODY_EFF_DT</stp>
        <stp>[DIF_Risk_20200430.xlsm]Geneva investment position repo!R30C72</stp>
        <tr r="BT30" s="1"/>
      </tp>
      <tp t="s">
        <v>#N/A Field Not Applicable</v>
        <stp/>
        <stp>##V3_BDPV12</stp>
        <stp>BBG000DVPPK1 FIGI</stp>
        <stp>CAPITAL_CONTINGENT_SECURITY</stp>
        <stp>[DIF_Risk_20200430.xlsm]Geneva investment position repo!R10C42</stp>
        <tr r="AP10" s="1"/>
      </tp>
      <tp t="s">
        <v>#N/A N/A</v>
        <stp/>
        <stp>##V3_BDPV12</stp>
        <stp>BBG00N0Q0RS1 FIGI</stp>
        <stp>FITCH_EFF_DT</stp>
        <stp>[DIF_Risk_20200430.xlsm]Geneva investment position repo!R50C73</stp>
        <tr r="BU50" s="1"/>
      </tp>
      <tp t="s">
        <v>Energy-Alternate Sources</v>
        <stp/>
        <stp>##V3_BDPV12</stp>
        <stp>BBG00CNK44T9 FIGI</stp>
        <stp>INDUSTRY_GROUP</stp>
        <stp>[DIF_Risk_20200430.xlsm]Geneva investment position repo!R45C40</stp>
        <tr r="AN45" s="1"/>
      </tp>
      <tp t="s">
        <v>Healthcare-Services</v>
        <stp/>
        <stp>##V3_BDPV12</stp>
        <stp>BBG00GTY47H0 FIGI</stp>
        <stp>INDUSTRY_GROUP</stp>
        <stp>[DIF_Risk_20200430.xlsm]Geneva investment position repo!R26C40</stp>
        <tr r="AN26" s="1"/>
      </tp>
      <tp t="s">
        <v>Insurance</v>
        <stp/>
        <stp>##V3_BDPV12</stp>
        <stp>BBG000GD4N44 FIGI</stp>
        <stp>INDUSTRY_GROUP</stp>
        <stp>[DIF_Risk_20200430.xlsm]Geneva investment position repo!R23C40</stp>
        <tr r="AN23" s="1"/>
      </tp>
      <tp t="s">
        <v>#N/A Field Not Applicable</v>
        <stp/>
        <stp>##V3_BDPV12</stp>
        <stp>BBG00NTXM180 FIGI</stp>
        <stp>CAPITAL_CONTINGENT_SECURITY</stp>
        <stp>[DIF_Risk_20200430.xlsm]Geneva investment position repo!R136C42</stp>
        <tr r="AP136" s="1"/>
      </tp>
      <tp t="s">
        <v>Engineering&amp;Construction</v>
        <stp/>
        <stp>##V3_BDPV12</stp>
        <stp>BBG00MKJ4690 FIGI</stp>
        <stp>INDUSTRY_GROUP</stp>
        <stp>[DIF_Risk_20200430.xlsm]Geneva investment position repo!R54C40</stp>
        <tr r="AN54" s="1"/>
      </tp>
      <tp t="s">
        <v>4/7/2020</v>
        <stp/>
        <stp>##V3_BDPV12</stp>
        <stp>BBG00T21B8F5 FIGI</stp>
        <stp>MOODY_EFF_DT</stp>
        <stp>[DIF_Risk_20200430.xlsm]Geneva investment position repo!R133C72</stp>
        <tr r="BT133" s="1"/>
      </tp>
      <tp t="s">
        <v>4/3/2019</v>
        <stp/>
        <stp>##V3_BDPV12</stp>
        <stp>BBG00NB0B2N4 FIGI</stp>
        <stp>MOODY_EFF_DT</stp>
        <stp>[DIF_Risk_20200430.xlsm]Geneva investment position repo!R150C72</stp>
        <tr r="BT150" s="1"/>
      </tp>
      <tp t="s">
        <v>Auto Manufacturers</v>
        <stp/>
        <stp>##V3_BDPV12</stp>
        <stp>BBG00T8646V2 FIGI</stp>
        <stp>INDUSTRY_GROUP</stp>
        <stp>[DIF_Risk_20200430.xlsm]Geneva investment position repo!R71C40</stp>
        <tr r="AN71" s="1"/>
      </tp>
      <tp t="s">
        <v>Auto Manufacturers</v>
        <stp/>
        <stp>##V3_BDPV12</stp>
        <stp>BBG00T8645P1 FIGI</stp>
        <stp>INDUSTRY_GROUP</stp>
        <stp>[DIF_Risk_20200430.xlsm]Geneva investment position repo!R70C40</stp>
        <tr r="AN70" s="1"/>
      </tp>
      <tp t="s">
        <v>Real Estate</v>
        <stp/>
        <stp>##V3_BDPV12</stp>
        <stp>BBG00PSJ40G0 FIGI</stp>
        <stp>INDUSTRY_GROUP</stp>
        <stp>[DIF_Risk_20200430.xlsm]Geneva investment position repo!R97C40</stp>
        <tr r="AN97" s="1"/>
      </tp>
      <tp t="s">
        <v>ACTV</v>
        <stp/>
        <stp>##V3_BDPV12</stp>
        <stp>BBG00TDCM2R7 FIGI</stp>
        <stp>EXCH_MARKET_STATUS</stp>
        <stp>[DIF_Risk_20200430.xlsm]Geneva investment position repo!R147C44</stp>
        <tr r="AR147" s="1"/>
        <tr r="AR147" s="1"/>
      </tp>
      <tp t="s">
        <v>11/1/2018</v>
        <stp/>
        <stp>##V3_BDPV12</stp>
        <stp>BBG00N14WRV0 FIGI</stp>
        <stp>MOODY_EFF_DT</stp>
        <stp>[DIF_Risk_20200430.xlsm]Geneva investment position repo!R142C72</stp>
        <tr r="BT142" s="1"/>
      </tp>
      <tp t="s">
        <v>B</v>
        <stp/>
        <stp>##V3_BDPV12</stp>
        <stp>BBG00K7D75S0 FIGI</stp>
        <stp>RTG_SP</stp>
        <stp>[DIF_Risk_20200430.xlsm]Geneva investment position repo!R75C31</stp>
        <tr r="AE75" s="1"/>
        <tr r="AE75" s="1"/>
      </tp>
      <tp t="s">
        <v>4/3/2019</v>
        <stp/>
        <stp>##V3_BDPV12</stp>
        <stp>BBG00N14RT60 FIGI</stp>
        <stp>MOODY_EFF_DT</stp>
        <stp>[DIF_Risk_20200430.xlsm]Geneva investment position repo!R153C72</stp>
        <tr r="BT153" s="1"/>
      </tp>
      <tp t="s">
        <v>#N/A N/A</v>
        <stp/>
        <stp>##V3_BDPV12</stp>
        <stp>BBG00RD35MV1 FIGI</stp>
        <stp>FITCH_EFF_DT</stp>
        <stp>[DIF_Risk_20200430.xlsm]Geneva investment position repo!R118C73</stp>
        <tr r="BU118" s="1"/>
      </tp>
      <tp t="s">
        <v>ACTV</v>
        <stp/>
        <stp>##V3_BDPV12</stp>
        <stp>BBG00RT2L457 FIGI</stp>
        <stp>EXCH_MARKET_STATUS</stp>
        <stp>[DIF_Risk_20200430.xlsm]Geneva investment position repo!R177C44</stp>
        <tr r="AR177" s="1"/>
        <tr r="AR177" s="1"/>
      </tp>
      <tp t="s">
        <v>BBG00RPXTZN6</v>
        <stp/>
        <stp>##V3_BDPV12</stp>
        <stp>XS2122176113 ISIN</stp>
        <stp>ID_BB_GLOBAL</stp>
        <stp>[DIF_Risk_20200430.xlsm]Geneva investment position repo!R90C18</stp>
        <tr r="R90" s="1"/>
      </tp>
      <tp t="s">
        <v>BBG00M5BYXF5</v>
        <stp/>
        <stp>##V3_BDPV12</stp>
        <stp>XS1891659358 ISIN</stp>
        <stp>ID_BB_GLOBAL</stp>
        <stp>[DIF_Risk_20200430.xlsm]Geneva investment position repo!R32C18</stp>
        <tr r="R32" s="1"/>
      </tp>
      <tp t="s">
        <v>BBG00RH7GJ34</v>
        <stp/>
        <stp>##V3_BDPV12</stp>
        <stp>XS2100658066 ISIN</stp>
        <stp>ID_BB_GLOBAL</stp>
        <stp>[DIF_Risk_20200430.xlsm]Geneva investment position repo!R67C18</stp>
        <tr r="R67" s="1"/>
      </tp>
      <tp t="s">
        <v>BBG00N6M20C8</v>
        <stp/>
        <stp>##V3_BDPV12</stp>
        <stp>XS1940394502 ISIN</stp>
        <stp>ID_BB_GLOBAL</stp>
        <stp>[DIF_Risk_20200430.xlsm]Geneva investment position repo!R79C18</stp>
        <tr r="R79" s="1"/>
      </tp>
      <tp>
        <v>2.0950637924931246</v>
        <stp/>
        <stp>##V3_BDPV12</stp>
        <stp>US172967MQ12 ISIN</stp>
        <stp>YLD_YTM_MID</stp>
        <stp>[DIF_Risk_20200430.xlsm]Geneva investment position repo!R40C61</stp>
        <tr r="BI40" s="1"/>
      </tp>
      <tp t="s">
        <v>BBG00MTKPX96</v>
        <stp/>
        <stp>##V3_BDPV12</stp>
        <stp>XS1924328807 ISIN</stp>
        <stp>ID_BB_GLOBAL</stp>
        <stp>[DIF_Risk_20200430.xlsm]Geneva investment position repo!R57C18</stp>
        <tr r="R57" s="1"/>
      </tp>
      <tp>
        <v>4.499718271887958</v>
        <stp/>
        <stp>##V3_BDPV12</stp>
        <stp>US172967MQ12 ISIN</stp>
        <stp>DUR_ADJ_MID</stp>
        <stp>[DIF_Risk_20200430.xlsm]Geneva investment position repo!R40C59</stp>
        <tr r="BG40" s="1"/>
      </tp>
      <tp t="s">
        <v>#N/A Field Not Applicable</v>
        <stp/>
        <stp>##V3_BDPV12</stp>
        <stp>BBG00PMFP1T5 FIGI</stp>
        <stp>CAPITAL_CONTINGENT_SECURITY</stp>
        <stp>[DIF_Risk_20200430.xlsm]Geneva investment position repo!R52C42</stp>
        <tr r="AP52" s="1"/>
      </tp>
      <tp t="s">
        <v>#N/A Field Not Applicable</v>
        <stp/>
        <stp>##V3_BDPV12</stp>
        <stp>BBG00RDBJ3B2 FIGI</stp>
        <stp>CAPITAL_CONTINGENT_SECURITY</stp>
        <stp>[DIF_Risk_20200430.xlsm]Geneva investment position repo!R34C42</stp>
        <tr r="AP34" s="1"/>
      </tp>
      <tp t="s">
        <v>#N/A N/A</v>
        <stp/>
        <stp>##V3_BDPV12</stp>
        <stp>BBG00BWQ0R57 FIGI</stp>
        <stp>FITCH_EFF_DT</stp>
        <stp>[DIF_Risk_20200430.xlsm]Geneva investment position repo!R62C73</stp>
        <tr r="BU62" s="1"/>
      </tp>
      <tp t="s">
        <v>BBG00SY1QXH9</v>
        <stp/>
        <stp>##V3_BDPV12</stp>
        <stp>US00131MAJ27 ISIN</stp>
        <stp>ID_BB_GLOBAL</stp>
        <stp>[DIF_Risk_20200430.xlsm]Geneva investment position repo!R31C18</stp>
        <tr r="R31" s="1"/>
      </tp>
      <tp t="s">
        <v>Real Estate</v>
        <stp/>
        <stp>##V3_BDPV12</stp>
        <stp>BBG00GQ752P3 FIGI</stp>
        <stp>INDUSTRY_GROUP</stp>
        <stp>[DIF_Risk_20200430.xlsm]Geneva investment position repo!R99C40</stp>
        <tr r="AN99" s="1"/>
      </tp>
      <tp t="s">
        <v>2/24/2020</v>
        <stp/>
        <stp>##V3_BDPV12</stp>
        <stp>BBG00RZ2MZZ7 FIGI</stp>
        <stp>MOODY_EFF_DT</stp>
        <stp>[DIF_Risk_20200430.xlsm]Geneva investment position repo!R113C72</stp>
        <tr r="BT113" s="1"/>
      </tp>
      <tp t="s">
        <v>#N/A N/A</v>
        <stp/>
        <stp>##V3_BDPV12</stp>
        <stp>BBG00RT2L457 FIGI</stp>
        <stp>MOODY_EFF_DT</stp>
        <stp>[DIF_Risk_20200430.xlsm]Geneva investment position repo!R177C72</stp>
        <tr r="BT177" s="1"/>
      </tp>
      <tp t="s">
        <v>ACTV</v>
        <stp/>
        <stp>##V3_BDPV12</stp>
        <stp>BBG00QRVV6Z8 FIGI</stp>
        <stp>EXCH_MARKET_STATUS</stp>
        <stp>[DIF_Risk_20200430.xlsm]Geneva investment position repo!R155C44</stp>
        <tr r="AR155" s="1"/>
        <tr r="AR155" s="1"/>
      </tp>
      <tp t="s">
        <v>Real Estate</v>
        <stp/>
        <stp>##V3_BDPV12</stp>
        <stp>BBG00MSJ57C5 FIGI</stp>
        <stp>INDUSTRY_GROUP</stp>
        <stp>[DIF_Risk_20200430.xlsm]Geneva investment position repo!R74C40</stp>
        <tr r="AN74" s="1"/>
      </tp>
      <tp t="s">
        <v>1/14/2020</v>
        <stp/>
        <stp>##V3_BDPV12</stp>
        <stp>BBG00RD4VH41 FIGI</stp>
        <stp>MOODY_EFF_DT</stp>
        <stp>[DIF_Risk_20200430.xlsm]Geneva investment position repo!R106C72</stp>
        <tr r="BT106" s="1"/>
      </tp>
      <tp t="s">
        <v>Real Estate</v>
        <stp/>
        <stp>##V3_BDPV12</stp>
        <stp>BBG00QNT5B76 FIGI</stp>
        <stp>INDUSTRY_GROUP</stp>
        <stp>[DIF_Risk_20200430.xlsm]Geneva investment position repo!R30C40</stp>
        <tr r="AN30" s="1"/>
      </tp>
      <tp t="s">
        <v>Banks</v>
        <stp/>
        <stp>##V3_BDPV12</stp>
        <stp>BBG00RYF5CJ7 FIGI</stp>
        <stp>INDUSTRY_GROUP</stp>
        <stp>[DIF_Risk_20200430.xlsm]Geneva investment position repo!R35C40</stp>
        <tr r="AN35" s="1"/>
      </tp>
      <tp t="s">
        <v>Real Estate</v>
        <stp/>
        <stp>##V3_BDPV12</stp>
        <stp>BBG00RB35JZ6 FIGI</stp>
        <stp>INDUSTRY_GROUP</stp>
        <stp>[DIF_Risk_20200430.xlsm]Geneva investment position repo!R48C40</stp>
        <tr r="AN48" s="1"/>
      </tp>
      <tp t="s">
        <v>Coal</v>
        <stp/>
        <stp>##V3_BDPV12</stp>
        <stp>BBG00RCY5V08 FIGI</stp>
        <stp>INDUSTRY_GROUP</stp>
        <stp>[DIF_Risk_20200430.xlsm]Geneva investment position repo!R39C40</stp>
        <tr r="AN39" s="1"/>
      </tp>
      <tp t="s">
        <v>A+</v>
        <stp/>
        <stp>##V3_BDPV12</stp>
        <stp>BBG00JCQ6Y42 FIGI</stp>
        <stp>RTG_SP</stp>
        <stp>[DIF_Risk_20200430.xlsm]Geneva investment position repo!R33C31</stp>
        <tr r="AE33" s="1"/>
        <tr r="AE33" s="1"/>
      </tp>
      <tp t="s">
        <v>Real Estate</v>
        <stp/>
        <stp>##V3_BDPV12</stp>
        <stp>BBG00SBW5S62 FIGI</stp>
        <stp>INDUSTRY_GROUP</stp>
        <stp>[DIF_Risk_20200430.xlsm]Geneva investment position repo!R88C40</stp>
        <tr r="AN88" s="1"/>
      </tp>
      <tp t="s">
        <v>Diversified Finan Serv</v>
        <stp/>
        <stp>##V3_BDPV12</stp>
        <stp>BBG00DVX5HS1 FIGI</stp>
        <stp>INDUSTRY_GROUP</stp>
        <stp>[DIF_Risk_20200430.xlsm]Geneva investment position repo!R44C40</stp>
        <tr r="AN44" s="1"/>
      </tp>
      <tp t="s">
        <v>ACTV</v>
        <stp/>
        <stp>##V3_BDPV12</stp>
        <stp>BBG00RB30509 FIGI</stp>
        <stp>EXCH_MARKET_STATUS</stp>
        <stp>[DIF_Risk_20200430.xlsm]Geneva investment position repo!R159C44</stp>
        <tr r="AR159" s="1"/>
        <tr r="AR159" s="1"/>
      </tp>
      <tp t="s">
        <v>BBG00T6LYC72</v>
        <stp/>
        <stp>##V3_BDPV12</stp>
        <stp>XS2159975882 ISIN</stp>
        <stp>ID_BB_GLOBAL</stp>
        <stp>[DIF_Risk_20200430.xlsm]Geneva investment position repo!R95C18</stp>
        <tr r="R95" s="1"/>
      </tp>
      <tp t="s">
        <v>BBG00RTNXBH9</v>
        <stp/>
        <stp>##V3_BDPV12</stp>
        <stp>XS2122408854 ISIN</stp>
        <stp>ID_BB_GLOBAL</stp>
        <stp>[DIF_Risk_20200430.xlsm]Geneva investment position repo!R69C18</stp>
        <tr r="R69" s="1"/>
      </tp>
      <tp t="s">
        <v>BBG00NV886P8</v>
        <stp/>
        <stp>##V3_BDPV12</stp>
        <stp>XS1982124239 ISIN</stp>
        <stp>ID_BB_GLOBAL</stp>
        <stp>[DIF_Risk_20200430.xlsm]Geneva investment position repo!R72C18</stp>
        <tr r="R72" s="1"/>
      </tp>
      <tp t="s">
        <v>BBG00R9SNB81</v>
        <stp/>
        <stp>##V3_BDPV12</stp>
        <stp>XS2100726160 ISIN</stp>
        <stp>ID_BB_GLOBAL</stp>
        <stp>[DIF_Risk_20200430.xlsm]Geneva investment position repo!R64C18</stp>
        <tr r="R64" s="1"/>
      </tp>
      <tp t="s">
        <v>BBG00PCCVDV7</v>
        <stp/>
        <stp>##V3_BDPV12</stp>
        <stp>XS2009869897 ISIN</stp>
        <stp>ID_BB_GLOBAL</stp>
        <stp>[DIF_Risk_20200430.xlsm]Geneva investment position repo!R76C18</stp>
        <tr r="R76" s="1"/>
      </tp>
      <tp t="s">
        <v>BBG00L07ZBX8</v>
        <stp/>
        <stp>##V3_BDPV12</stp>
        <stp>XS1823212904 ISIN</stp>
        <stp>ID_BB_GLOBAL</stp>
        <stp>[DIF_Risk_20200430.xlsm]Geneva investment position repo!R66C18</stp>
        <tr r="R66" s="1"/>
      </tp>
      <tp t="s">
        <v>BBG00LVCWLT9</v>
        <stp/>
        <stp>##V3_BDPV12</stp>
        <stp>XS1876052025 ISIN</stp>
        <stp>ID_BB_GLOBAL</stp>
        <stp>[DIF_Risk_20200430.xlsm]Geneva investment position repo!R42C18</stp>
        <tr r="R42" s="1"/>
      </tp>
      <tp t="s">
        <v>BBG00LVCGFZ3</v>
        <stp/>
        <stp>##V3_BDPV12</stp>
        <stp>XS1820761556 ISIN</stp>
        <stp>ID_BB_GLOBAL</stp>
        <stp>[DIF_Risk_20200430.xlsm]Geneva investment position repo!R77C18</stp>
        <tr r="R77" s="1"/>
      </tp>
      <tp t="s">
        <v>#N/A Field Not Applicable</v>
        <stp/>
        <stp>##V3_BDPV12</stp>
        <stp>BBG00T8645P1 FIGI</stp>
        <stp>CAPITAL_CONTINGENT_SECURITY</stp>
        <stp>[DIF_Risk_20200430.xlsm]Geneva investment position repo!R70C42</stp>
        <tr r="AP70" s="1"/>
      </tp>
      <tp t="s">
        <v>5/21/2169</v>
        <stp/>
        <stp>##V3_BDPV12</stp>
        <stp>BBG00QT8QWY7 FIGI</stp>
        <stp>CALC_MATURITY</stp>
        <stp>[DIF_Risk_20200430.xlsm]Geneva investment position repo!R46C55</stp>
        <tr r="BC46" s="1"/>
      </tp>
      <tp t="s">
        <v>6/1/2021</v>
        <stp/>
        <stp>##V3_BDPV12</stp>
        <stp>BBG00L07ZBX8 FIGI</stp>
        <stp>CALC_MATURITY</stp>
        <stp>[DIF_Risk_20200430.xlsm]Geneva investment position repo!R66C55</stp>
        <tr r="BC66" s="1"/>
      </tp>
      <tp t="s">
        <v>#N/A Field Not Applicable</v>
        <stp/>
        <stp>##V3_BDPV12</stp>
        <stp>BBG005Q0XWK0 FIGI</stp>
        <stp>CAPITAL_CONTINGENT_SECURITY</stp>
        <stp>[DIF_Risk_20200430.xlsm]Geneva investment position repo!R15C42</stp>
        <tr r="AP15" s="1"/>
      </tp>
      <tp t="s">
        <v>#N/A Field Not Applicable</v>
        <stp/>
        <stp>##V3_BDPV12</stp>
        <stp>BBG000P9FRH8 FIGI</stp>
        <stp>CAPITAL_CONTINGENT_SECURITY</stp>
        <stp>[DIF_Risk_20200430.xlsm]Geneva investment position repo!R19C42</stp>
        <tr r="AP19" s="1"/>
      </tp>
      <tp t="s">
        <v>#N/A Field Not Applicable</v>
        <stp/>
        <stp>##V3_BDPV12</stp>
        <stp>BBG00N9X3LW2 FIGI</stp>
        <stp>CAPITAL_CONTINGENT_SECURITY</stp>
        <stp>[DIF_Risk_20200430.xlsm]Geneva investment position repo!R180C42</stp>
        <tr r="AP180" s="1"/>
      </tp>
      <tp t="s">
        <v>Banks</v>
        <stp/>
        <stp>##V3_BDPV12</stp>
        <stp>BBG000Q16VR4 FIGI</stp>
        <stp>INDUSTRY_GROUP</stp>
        <stp>[DIF_Risk_20200430.xlsm]Geneva investment position repo!R18C40</stp>
        <tr r="AN18" s="1"/>
      </tp>
      <tp t="s">
        <v>#N/A N/A</v>
        <stp/>
        <stp>##V3_BDPV12</stp>
        <stp>BBG00GQ752P3 FIGI</stp>
        <stp>RTG_SP</stp>
        <stp>[DIF_Risk_20200430.xlsm]Geneva investment position repo!R99C31</stp>
        <tr r="AE99" s="1"/>
      </tp>
      <tp t="s">
        <v>#N/A Field Not Applicable</v>
        <stp/>
        <stp>##V3_BDPV12</stp>
        <stp>BBG00SXGDG60 FIGI</stp>
        <stp>CAPITAL_CONTINGENT_SECURITY</stp>
        <stp>[DIF_Risk_20200430.xlsm]Geneva investment position repo!R120C42</stp>
        <tr r="AP120" s="1"/>
      </tp>
      <tp t="s">
        <v>4/21/2016</v>
        <stp/>
        <stp>##V3_BDPV12</stp>
        <stp>BBG00CP5W6B3 FIGI</stp>
        <stp>MOODY_EFF_DT</stp>
        <stp>[DIF_Risk_20200430.xlsm]Geneva investment position repo!R107C72</stp>
        <tr r="BT107" s="1"/>
      </tp>
      <tp t="s">
        <v>#N/A N/A</v>
        <stp/>
        <stp>##V3_BDPV12</stp>
        <stp>BBG00K67R1J1 FIGI</stp>
        <stp>MOODY_EFF_DT</stp>
        <stp>[DIF_Risk_20200430.xlsm]Geneva investment position repo!R171C72</stp>
        <tr r="BT171" s="1"/>
      </tp>
      <tp t="s">
        <v>8/18/2019</v>
        <stp/>
        <stp>##V3_BDPV12</stp>
        <stp>BBG00NG9J699 FIGI</stp>
        <stp>FITCH_EFF_DT</stp>
        <stp>[DIF_Risk_20200430.xlsm]Geneva investment position repo!R139C73</stp>
        <tr r="BU139" s="1"/>
      </tp>
      <tp t="s">
        <v>#N/A N/A</v>
        <stp/>
        <stp>##V3_BDPV12</stp>
        <stp>BBG00MSJ57C5 FIGI</stp>
        <stp>RTG_SP</stp>
        <stp>[DIF_Risk_20200430.xlsm]Geneva investment position repo!R74C31</stp>
        <tr r="AE74" s="1"/>
      </tp>
      <tp t="s">
        <v>#N/A N/A</v>
        <stp/>
        <stp>##V3_BDPV12</stp>
        <stp>BBG00RCY5V08 FIGI</stp>
        <stp>RTG_SP</stp>
        <stp>[DIF_Risk_20200430.xlsm]Geneva investment position repo!R39C31</stp>
        <tr r="AE39" s="1"/>
      </tp>
      <tp t="s">
        <v>#N/A N/A</v>
        <stp/>
        <stp>##V3_BDPV12</stp>
        <stp>BBG00SBW5S62 FIGI</stp>
        <stp>RTG_SP</stp>
        <stp>[DIF_Risk_20200430.xlsm]Geneva investment position repo!R88C31</stp>
        <tr r="AE88" s="1"/>
      </tp>
      <tp t="s">
        <v>Internet</v>
        <stp/>
        <stp>##V3_BDPV12</stp>
        <stp>BBG00JCQ6Y42 FIGI</stp>
        <stp>INDUSTRY_GROUP</stp>
        <stp>[DIF_Risk_20200430.xlsm]Geneva investment position repo!R33C40</stp>
        <tr r="AN33" s="1"/>
      </tp>
      <tp>
        <v>4.7885010266940453</v>
        <stp/>
        <stp>##V3_BDPV12</stp>
        <stp>BBG00TJ8VS75 FIGI</stp>
        <stp>DDIS_AVERAGE_YEARS_MATURITY</stp>
        <stp>[DIF_Risk_20200430.xlsm]Geneva investment position repo!R167C30</stp>
        <tr r="AD167" s="1"/>
      </tp>
      <tp t="s">
        <v>#N/A N/A</v>
        <stp/>
        <stp>##V3_BDPV12</stp>
        <stp>BBG00DVX5HS1 FIGI</stp>
        <stp>RTG_SP</stp>
        <stp>[DIF_Risk_20200430.xlsm]Geneva investment position repo!R44C31</stp>
        <tr r="AE44" s="1"/>
      </tp>
      <tp t="s">
        <v>BB+</v>
        <stp/>
        <stp>##V3_BDPV12</stp>
        <stp>BBG00RYF5CJ7 FIGI</stp>
        <stp>RTG_SP</stp>
        <stp>[DIF_Risk_20200430.xlsm]Geneva investment position repo!R35C31</stp>
        <tr r="AE35" s="1"/>
        <tr r="AE35" s="1"/>
      </tp>
      <tp t="s">
        <v>#N/A N/A</v>
        <stp/>
        <stp>##V3_BDPV12</stp>
        <stp>BBG00QNT5B76 FIGI</stp>
        <stp>RTG_SP</stp>
        <stp>[DIF_Risk_20200430.xlsm]Geneva investment position repo!R30C31</stp>
        <tr r="AE30" s="1"/>
      </tp>
      <tp t="s">
        <v>6/12/2019</v>
        <stp/>
        <stp>##V3_BDPV12</stp>
        <stp>BBG00PF578H3 FIGI</stp>
        <stp>MOODY_EFF_DT</stp>
        <stp>[DIF_Risk_20200430.xlsm]Geneva investment position repo!R181C72</stp>
        <tr r="BT181" s="1"/>
      </tp>
      <tp t="s">
        <v>#N/A N/A</v>
        <stp/>
        <stp>##V3_BDPV12</stp>
        <stp>BBG00RB35JZ6 FIGI</stp>
        <stp>RTG_SP</stp>
        <stp>[DIF_Risk_20200430.xlsm]Geneva investment position repo!R48C31</stp>
        <tr r="AE48" s="1"/>
      </tp>
      <tp t="s">
        <v>#N/A Field Not Applicable</v>
        <stp/>
        <stp>##V3_BDPV12</stp>
        <stp>BBG00PGHK257 FIGI</stp>
        <stp>CAPITAL_CONTINGENT_SECURITY</stp>
        <stp>[DIF_Risk_20200430.xlsm]Geneva investment position repo!R87C42</stp>
        <tr r="AP87" s="1"/>
      </tp>
      <tp t="s">
        <v>BBG00RPJBQ56</v>
        <stp/>
        <stp>##V3_BDPV12</stp>
        <stp>XS2114413565 ISIN</stp>
        <stp>ID_BB_GLOBAL</stp>
        <stp>[DIF_Risk_20200430.xlsm]Geneva investment position repo!R27C18</stp>
        <tr r="R27" s="1"/>
      </tp>
      <tp t="s">
        <v>BBG00PMFP1T5</v>
        <stp/>
        <stp>##V3_BDPV12</stp>
        <stp>XS2020061326 ISIN</stp>
        <stp>ID_BB_GLOBAL</stp>
        <stp>[DIF_Risk_20200430.xlsm]Geneva investment position repo!R52C18</stp>
        <tr r="R52" s="1"/>
      </tp>
      <tp t="s">
        <v>BBG00KVGG4W4</v>
        <stp/>
        <stp>##V3_BDPV12</stp>
        <stp>XS1819966687 ISIN</stp>
        <stp>ID_BB_GLOBAL</stp>
        <stp>[DIF_Risk_20200430.xlsm]Geneva investment position repo!R83C18</stp>
        <tr r="R83" s="1"/>
      </tp>
      <tp t="s">
        <v>SG</v>
        <stp/>
        <stp>##V3_BDPV12</stp>
        <stp>BBG00Q2B8JR6 FIGI</stp>
        <stp>CNTRY_OF_RISK</stp>
        <stp>[DIF_Risk_20200430.xlsm]Geneva investment position repo!R170C38</stp>
        <tr r="AL170" s="1"/>
      </tp>
      <tp t="s">
        <v>1/20/2020</v>
        <stp/>
        <stp>##V3_BDPV12</stp>
        <stp>BBG00RH7GJ34 FIGI</stp>
        <stp>MOODY_EFF_DT</stp>
        <stp>[DIF_Risk_20200430.xlsm]Geneva investment position repo!R67C72</stp>
        <tr r="BT67" s="1"/>
      </tp>
      <tp t="s">
        <v>#N/A Field Not Applicable</v>
        <stp/>
        <stp>##V3_BDPV12</stp>
        <stp>BBG00T8646V2 FIGI</stp>
        <stp>CAPITAL_CONTINGENT_SECURITY</stp>
        <stp>[DIF_Risk_20200430.xlsm]Geneva investment position repo!R71C42</stp>
        <tr r="AP71" s="1"/>
      </tp>
      <tp t="s">
        <v>#N/A Field Not Applicable</v>
        <stp/>
        <stp>##V3_BDPV12</stp>
        <stp>BBG00SY1QXH9 FIGI</stp>
        <stp>SECURITY_TYP2</stp>
        <stp>[DIF_Risk_20200430.xlsm]Geneva investment position repo!R31C21</stp>
        <tr r="U31" s="1"/>
      </tp>
      <tp t="s">
        <v>#N/A Field Not Applicable</v>
        <stp/>
        <stp>##V3_BDPV12</stp>
        <stp>BBG00QN3F2R0 FIGI</stp>
        <stp>CAPITAL_CONTINGENT_SECURITY</stp>
        <stp>[DIF_Risk_20200430.xlsm]Geneva investment position repo!R28C42</stp>
        <tr r="AP28" s="1"/>
      </tp>
      <tp t="s">
        <v>#N/A Field Not Applicable</v>
        <stp/>
        <stp>##V3_BDPV12</stp>
        <stp>BBG00PV1L0V9 FIGI</stp>
        <stp>SECURITY_TYP2</stp>
        <stp>[DIF_Risk_20200430.xlsm]Geneva investment position repo!R86C21</stp>
        <tr r="U86" s="1"/>
      </tp>
      <tp t="s">
        <v>BBG00TDCM8F7</v>
        <stp/>
        <stp>##V3_BDPV12</stp>
        <stp>US09681MAM01 ISIN</stp>
        <stp>ID_BB_GLOBAL</stp>
        <stp>[DIF_Risk_20200430.xlsm]Geneva investment position repo!R38C18</stp>
        <tr r="R38" s="1"/>
      </tp>
      <tp t="s">
        <v>CN</v>
        <stp/>
        <stp>##V3_BDPV12</stp>
        <stp>BBG00NV899R9 FIGI</stp>
        <stp>CNTRY_OF_RISK</stp>
        <stp>[DIF_Risk_20200430.xlsm]Geneva investment position repo!R168C38</stp>
        <tr r="AL168" s="1"/>
      </tp>
      <tp t="s">
        <v>#N/A Field Not Applicable</v>
        <stp/>
        <stp>##V3_BDPV12</stp>
        <stp>BBG00FP0FP88 FIGI</stp>
        <stp>SECURITY_TYP2</stp>
        <stp>[DIF_Risk_20200430.xlsm]Geneva investment position repo!R96C21</stp>
        <tr r="U96" s="1"/>
      </tp>
      <tp t="s">
        <v>ID</v>
        <stp/>
        <stp>##V3_BDPV12</stp>
        <stp>BBG00LSR9049 FIGI</stp>
        <stp>CNTRY_OF_RISK</stp>
        <stp>[DIF_Risk_20200430.xlsm]Geneva investment position repo!R108C38</stp>
        <tr r="AL108" s="1"/>
      </tp>
      <tp t="s">
        <v>11/1/2019</v>
        <stp/>
        <stp>##V3_BDPV12</stp>
        <stp>BBG00QQ1W050 FIGI</stp>
        <stp>FITCH_EFF_DT</stp>
        <stp>[DIF_Risk_20200430.xlsm]Geneva investment position repo!R149C73</stp>
        <tr r="BU149" s="1"/>
      </tp>
      <tp t="s">
        <v>#N/A N/A</v>
        <stp/>
        <stp>##V3_BDPV12</stp>
        <stp>BBG00PSJ40G0 FIGI</stp>
        <stp>RTG_SP</stp>
        <stp>[DIF_Risk_20200430.xlsm]Geneva investment position repo!R97C31</stp>
        <tr r="AE97" s="1"/>
      </tp>
      <tp t="s">
        <v>BB+ *-</v>
        <stp/>
        <stp>##V3_BDPV12</stp>
        <stp>BBG00T8645P1 FIGI</stp>
        <stp>RTG_SP</stp>
        <stp>[DIF_Risk_20200430.xlsm]Geneva investment position repo!R70C31</stp>
        <tr r="AE70" s="1"/>
        <tr r="AE70" s="1"/>
      </tp>
      <tp t="s">
        <v>BB+ *-</v>
        <stp/>
        <stp>##V3_BDPV12</stp>
        <stp>BBG00T8646V2 FIGI</stp>
        <stp>RTG_SP</stp>
        <stp>[DIF_Risk_20200430.xlsm]Geneva investment position repo!R71C31</stp>
        <tr r="AE71" s="1"/>
        <tr r="AE71" s="1"/>
      </tp>
      <tp t="s">
        <v>#N/A N/A</v>
        <stp/>
        <stp>##V3_BDPV12</stp>
        <stp>BBG00NB7HXS0 FIGI</stp>
        <stp>MOODY_EFF_DT</stp>
        <stp>[DIF_Risk_20200430.xlsm]Geneva investment position repo!R143C72</stp>
        <tr r="BT143" s="1"/>
      </tp>
      <tp t="s">
        <v>Real Estate</v>
        <stp/>
        <stp>##V3_BDPV12</stp>
        <stp>BBG00K7D75S0 FIGI</stp>
        <stp>INDUSTRY_GROUP</stp>
        <stp>[DIF_Risk_20200430.xlsm]Geneva investment position repo!R75C40</stp>
        <tr r="AN75" s="1"/>
      </tp>
      <tp t="s">
        <v>5/6/2019</v>
        <stp/>
        <stp>##V3_BDPV12</stp>
        <stp>BBG00NV0G541 FIGI</stp>
        <stp>FITCH_EFF_DT</stp>
        <stp>[DIF_Risk_20200430.xlsm]Geneva investment position repo!R165C73</stp>
        <tr r="BU165" s="1"/>
      </tp>
      <tp t="s">
        <v>#N/A N/A</v>
        <stp/>
        <stp>##V3_BDPV12</stp>
        <stp>BBG00CNK44T9 FIGI</stp>
        <stp>RTG_SP</stp>
        <stp>[DIF_Risk_20200430.xlsm]Geneva investment position repo!R45C31</stp>
        <tr r="AE45" s="1"/>
      </tp>
      <tp t="s">
        <v>4/17/2020</v>
        <stp/>
        <stp>##V3_BDPV12</stp>
        <stp>BBG00PK1ZYS6 FIGI</stp>
        <stp>MOODY_EFF_DT</stp>
        <stp>[DIF_Risk_20200430.xlsm]Geneva investment position repo!R146C72</stp>
        <tr r="BT146" s="1"/>
      </tp>
      <tp t="s">
        <v>10/16/2019</v>
        <stp/>
        <stp>##V3_BDPV12</stp>
        <stp>BBG00NG9L0S8 FIGI</stp>
        <stp>FITCH_EFF_DT</stp>
        <stp>[DIF_Risk_20200430.xlsm]Geneva investment position repo!R134C73</stp>
        <tr r="BU134" s="1"/>
      </tp>
      <tp t="s">
        <v>1/6/2020</v>
        <stp/>
        <stp>##V3_BDPV12</stp>
        <stp>BBG00RB0MG61 FIGI</stp>
        <stp>FITCH_EFF_DT</stp>
        <stp>[DIF_Risk_20200430.xlsm]Geneva investment position repo!R100C73</stp>
        <tr r="BU100" s="1"/>
      </tp>
      <tp t="s">
        <v>#N/A N/A</v>
        <stp/>
        <stp>##V3_BDPV12</stp>
        <stp>BBG00MKJ4690 FIGI</stp>
        <stp>RTG_SP</stp>
        <stp>[DIF_Risk_20200430.xlsm]Geneva investment position repo!R54C31</stp>
        <tr r="AE54" s="1"/>
      </tp>
      <tp t="s">
        <v>4/12/2019</v>
        <stp/>
        <stp>##V3_BDPV12</stp>
        <stp>BBG00NV899R9 FIGI</stp>
        <stp>FITCH_EFF_DT</stp>
        <stp>[DIF_Risk_20200430.xlsm]Geneva investment position repo!R168C73</stp>
        <tr r="BU168" s="1"/>
      </tp>
      <tp t="s">
        <v>BBG00Q3NXL14</v>
        <stp/>
        <stp>##V3_BDPV12</stp>
        <stp>XS2042630355 ISIN</stp>
        <stp>ID_BB_GLOBAL</stp>
        <stp>[DIF_Risk_20200430.xlsm]Geneva investment position repo!R59C18</stp>
        <tr r="R59" s="1"/>
      </tp>
      <tp t="s">
        <v>BBG00RDBJ3B2</v>
        <stp/>
        <stp>##V3_BDPV12</stp>
        <stp>XS2099372802 ISIN</stp>
        <stp>ID_BB_GLOBAL</stp>
        <stp>[DIF_Risk_20200430.xlsm]Geneva investment position repo!R34C18</stp>
        <tr r="R34" s="1"/>
      </tp>
      <tp t="s">
        <v>CN</v>
        <stp/>
        <stp>##V3_BDPV12</stp>
        <stp>BBG00QDN9PZ4 FIGI</stp>
        <stp>CNTRY_OF_RISK</stp>
        <stp>[DIF_Risk_20200430.xlsm]Geneva investment position repo!R138C38</stp>
        <tr r="AL138" s="1"/>
      </tp>
      <tp t="s">
        <v>BBG00R9SN7F2</v>
        <stp/>
        <stp>##V3_BDPV12</stp>
        <stp>XS2100725949 ISIN</stp>
        <stp>ID_BB_GLOBAL</stp>
        <stp>[DIF_Risk_20200430.xlsm]Geneva investment position repo!R63C18</stp>
        <tr r="R63" s="1"/>
      </tp>
      <tp t="s">
        <v>BBG00K7D75S0</v>
        <stp/>
        <stp>##V3_BDPV12</stp>
        <stp>XS1784286327 ISIN</stp>
        <stp>ID_BB_GLOBAL</stp>
        <stp>[DIF_Risk_20200430.xlsm]Geneva investment position repo!R75C18</stp>
        <tr r="R75" s="1"/>
      </tp>
      <tp t="s">
        <v>BBG00RYDYKF6</v>
        <stp/>
        <stp>##V3_BDPV12</stp>
        <stp>XS2123115029 ISIN</stp>
        <stp>ID_BB_GLOBAL</stp>
        <stp>[DIF_Risk_20200430.xlsm]Geneva investment position repo!R89C18</stp>
        <tr r="R89" s="1"/>
      </tp>
      <tp t="s">
        <v>CN</v>
        <stp/>
        <stp>##V3_BDPV12</stp>
        <stp>BBG00N0J9QB8 FIGI</stp>
        <stp>CNTRY_OF_RISK</stp>
        <stp>[DIF_Risk_20200430.xlsm]Geneva investment position repo!R132C38</stp>
        <tr r="AL132" s="1"/>
      </tp>
      <tp t="s">
        <v>#N/A Field Not Applicable</v>
        <stp/>
        <stp>##V3_BDPV12</stp>
        <stp>BBG00SYNG075 FIGI</stp>
        <stp>CAPITAL_CONTINGENT_SECURITY</stp>
        <stp>[DIF_Risk_20200430.xlsm]Geneva investment position repo!R40C42</stp>
        <tr r="AP40" s="1"/>
      </tp>
      <tp t="s">
        <v>CN</v>
        <stp/>
        <stp>##V3_BDPV12</stp>
        <stp>BBG00MTS9QX5 FIGI</stp>
        <stp>CNTRY_OF_RISK</stp>
        <stp>[DIF_Risk_20200430.xlsm]Geneva investment position repo!R157C38</stp>
        <tr r="AL157" s="1"/>
      </tp>
      <tp t="s">
        <v>#N/A Field Not Applicable</v>
        <stp/>
        <stp>##V3_BDPV12</stp>
        <stp>BBG00L07ZBX8 FIGI</stp>
        <stp>SECURITY_TYP2</stp>
        <stp>[DIF_Risk_20200430.xlsm]Geneva investment position repo!R66C21</stp>
        <tr r="U66" s="1"/>
      </tp>
      <tp t="s">
        <v>#N/A Field Not Applicable</v>
        <stp/>
        <stp>##V3_BDPV12</stp>
        <stp>BBG00QT8QWY7 FIGI</stp>
        <stp>SECURITY_TYP2</stp>
        <stp>[DIF_Risk_20200430.xlsm]Geneva investment position repo!R46C21</stp>
        <tr r="U46" s="1"/>
      </tp>
      <tp t="s">
        <v>#N/A N/A</v>
        <stp/>
        <stp>##V3_BDPV12</stp>
        <stp>BBG00CP5W6B3 FIGI</stp>
        <stp>FITCH_EFF_DT</stp>
        <stp>[DIF_Risk_20200430.xlsm]Geneva investment position repo!R107C73</stp>
        <tr r="BU107" s="1"/>
      </tp>
      <tp t="s">
        <v>#N/A N/A</v>
        <stp/>
        <stp>##V3_BDPV12</stp>
        <stp>BBG00NG9J699 FIGI</stp>
        <stp>MOODY_EFF_DT</stp>
        <stp>[DIF_Risk_20200430.xlsm]Geneva investment position repo!R139C72</stp>
        <tr r="BT139" s="1"/>
      </tp>
      <tp t="s">
        <v>3/1/2018</v>
        <stp/>
        <stp>##V3_BDPV12</stp>
        <stp>BBG00K67R1J1 FIGI</stp>
        <stp>FITCH_EFF_DT</stp>
        <stp>[DIF_Risk_20200430.xlsm]Geneva investment position repo!R171C73</stp>
        <tr r="BU171" s="1"/>
      </tp>
      <tp t="s">
        <v>ACTV</v>
        <stp/>
        <stp>##V3_BDPV12</stp>
        <stp>BBG00QV37ZP9 FIGI</stp>
        <stp>EXCH_MARKET_STATUS</stp>
        <stp>[DIF_Risk_20200430.xlsm]Geneva investment position repo!R7C44</stp>
        <tr r="AR7" s="1"/>
        <tr r="AR7" s="1"/>
      </tp>
      <tp t="s">
        <v>#N/A N/A</v>
        <stp/>
        <stp>##V3_BDPV12</stp>
        <stp>BBG00PF578H3 FIGI</stp>
        <stp>FITCH_EFF_DT</stp>
        <stp>[DIF_Risk_20200430.xlsm]Geneva investment position repo!R181C73</stp>
        <tr r="BU181" s="1"/>
      </tp>
      <tp t="s">
        <v>Insurance</v>
        <stp/>
        <stp>##V3_BDPV12</stp>
        <stp>BBG00BWQ0R57 FIGI</stp>
        <stp>INDUSTRY_GROUP</stp>
        <stp>[DIF_Risk_20200430.xlsm]Geneva investment position repo!R62C40</stp>
        <tr r="AN62" s="1"/>
      </tp>
      <tp t="s">
        <v>Real Estate</v>
        <stp/>
        <stp>##V3_BDPV12</stp>
        <stp>BBG00N0Q0RS1 FIGI</stp>
        <stp>INDUSTRY_GROUP</stp>
        <stp>[DIF_Risk_20200430.xlsm]Geneva investment position repo!R50C40</stp>
        <tr r="AN50" s="1"/>
      </tp>
      <tp t="s">
        <v>#N/A N/A</v>
        <stp/>
        <stp>##V3_BDPV12</stp>
        <stp>BBG00NBG3YQ5 FIGI</stp>
        <stp>RTG_SP</stp>
        <stp>[DIF_Risk_20200430.xlsm]Geneva investment position repo!R91C31</stp>
        <tr r="AE91" s="1"/>
      </tp>
      <tp t="s">
        <v>Electric</v>
        <stp/>
        <stp>##V3_BDPV12</stp>
        <stp>BBG00DKQ0MQ4 FIGI</stp>
        <stp>INDUSTRY_GROUP</stp>
        <stp>[DIF_Risk_20200430.xlsm]Geneva investment position repo!R78C40</stp>
        <tr r="AN78" s="1"/>
      </tp>
      <tp t="s">
        <v>BBG00SYNG075</v>
        <stp/>
        <stp>##V3_BDPV12</stp>
        <stp>US172967MQ12 ISIN</stp>
        <stp>ID_BB_GLOBAL</stp>
        <stp>[DIF_Risk_20200430.xlsm]Geneva investment position repo!R40C18</stp>
        <tr r="R40" s="1"/>
      </tp>
      <tp t="s">
        <v>BBG00PDL9DV1</v>
        <stp/>
        <stp>##V3_BDPV12</stp>
        <stp>XS2008565116 ISIN</stp>
        <stp>ID_BB_GLOBAL</stp>
        <stp>[DIF_Risk_20200430.xlsm]Geneva investment position repo!R53C18</stp>
        <tr r="R53" s="1"/>
      </tp>
      <tp t="s">
        <v>BBG00PQ3PWZ3</v>
        <stp/>
        <stp>##V3_BDPV12</stp>
        <stp>XS2024786035 ISIN</stp>
        <stp>ID_BB_GLOBAL</stp>
        <stp>[DIF_Risk_20200430.xlsm]Geneva investment position repo!R84C18</stp>
        <tr r="R84" s="1"/>
      </tp>
      <tp t="s">
        <v>BBG00NBG3YQ5</v>
        <stp/>
        <stp>##V3_BDPV12</stp>
        <stp>XS1917106061 ISIN</stp>
        <stp>ID_BB_GLOBAL</stp>
        <stp>[DIF_Risk_20200430.xlsm]Geneva investment position repo!R91C18</stp>
        <tr r="R91" s="1"/>
      </tp>
      <tp t="s">
        <v>BBG00MKJ4690</v>
        <stp/>
        <stp>##V3_BDPV12</stp>
        <stp>XS1912494538 ISIN</stp>
        <stp>ID_BB_GLOBAL</stp>
        <stp>[DIF_Risk_20200430.xlsm]Geneva investment position repo!R54C18</stp>
        <tr r="R54" s="1"/>
      </tp>
      <tp t="s">
        <v>#N/A N/A</v>
        <stp/>
        <stp>##V3_BDPV12</stp>
        <stp>BBG00QJ3FR72 FIGI</stp>
        <stp>MOODY_EFF_DT</stp>
        <stp>[DIF_Risk_20200430.xlsm]Geneva investment position repo!R37C72</stp>
        <tr r="BT37" s="1"/>
      </tp>
      <tp t="s">
        <v>11/13/2019</v>
        <stp/>
        <stp>##V3_BDPV12</stp>
        <stp>BBG00PQ3QH67 FIGI</stp>
        <stp>FITCH_EFF_DT</stp>
        <stp>[DIF_Risk_20200430.xlsm]Geneva investment position repo!R73C73</stp>
        <tr r="BU73" s="1"/>
      </tp>
      <tp t="s">
        <v>4/7/2030</v>
        <stp/>
        <stp>##V3_BDPV12</stp>
        <stp>BBG00SY1QXH9 FIGI</stp>
        <stp>CALC_MATURITY</stp>
        <stp>[DIF_Risk_20200430.xlsm]Geneva investment position repo!R31C55</stp>
        <tr r="BC31" s="1"/>
      </tp>
      <tp t="s">
        <v>1/11/2022</v>
        <stp/>
        <stp>##V3_BDPV12</stp>
        <stp>BBG00FP0FP88 FIGI</stp>
        <stp>CALC_MATURITY</stp>
        <stp>[DIF_Risk_20200430.xlsm]Geneva investment position repo!R96C55</stp>
        <tr r="BC96" s="1"/>
      </tp>
      <tp t="s">
        <v>REIT</v>
        <stp/>
        <stp>##V3_BDPV12</stp>
        <stp>BBG000P9D267 FIGI</stp>
        <stp>SECURITY_TYP2</stp>
        <stp>[DIF_Risk_20200430.xlsm]Geneva investment position repo!R20C21</stp>
        <tr r="U20" s="1"/>
      </tp>
      <tp t="s">
        <v>8/1/2022</v>
        <stp/>
        <stp>##V3_BDPV12</stp>
        <stp>BBG00PV1L0V9 FIGI</stp>
        <stp>CALC_MATURITY</stp>
        <stp>[DIF_Risk_20200430.xlsm]Geneva investment position repo!R86C55</stp>
        <tr r="BC86" s="1"/>
      </tp>
      <tp t="s">
        <v>#N/A N/A</v>
        <stp/>
        <stp>##V3_BDPV12</stp>
        <stp>BBG00RB0MG61 FIGI</stp>
        <stp>MOODY_EFF_DT</stp>
        <stp>[DIF_Risk_20200430.xlsm]Geneva investment position repo!R100C72</stp>
        <tr r="BT100" s="1"/>
      </tp>
      <tp t="s">
        <v>#N/A N/A</v>
        <stp/>
        <stp>##V3_BDPV12</stp>
        <stp>BBG00NG9L0S8 FIGI</stp>
        <stp>MOODY_EFF_DT</stp>
        <stp>[DIF_Risk_20200430.xlsm]Geneva investment position repo!R134C72</stp>
        <tr r="BT134" s="1"/>
      </tp>
      <tp t="s">
        <v>3/24/2020</v>
        <stp/>
        <stp>##V3_BDPV12</stp>
        <stp>BBG00NV0G541 FIGI</stp>
        <stp>MOODY_EFF_DT</stp>
        <stp>[DIF_Risk_20200430.xlsm]Geneva investment position repo!R165C72</stp>
        <tr r="BT165" s="1"/>
      </tp>
      <tp t="s">
        <v>ACTV</v>
        <stp/>
        <stp>##V3_BDPV12</stp>
        <stp>BBG00T5WB757 FIGI</stp>
        <stp>EXCH_MARKET_STATUS</stp>
        <stp>[DIF_Risk_20200430.xlsm]Geneva investment position repo!R124C44</stp>
        <tr r="AR124" s="1"/>
        <tr r="AR124" s="1"/>
      </tp>
      <tp t="s">
        <v>4/24/2020</v>
        <stp/>
        <stp>##V3_BDPV12</stp>
        <stp>BBG00PK1ZYS6 FIGI</stp>
        <stp>FITCH_EFF_DT</stp>
        <stp>[DIF_Risk_20200430.xlsm]Geneva investment position repo!R146C73</stp>
        <tr r="BU146" s="1"/>
      </tp>
      <tp t="s">
        <v>10/29/2019</v>
        <stp/>
        <stp>##V3_BDPV12</stp>
        <stp>BBG00QQ1W050 FIGI</stp>
        <stp>MOODY_EFF_DT</stp>
        <stp>[DIF_Risk_20200430.xlsm]Geneva investment position repo!R149C72</stp>
        <tr r="BT149" s="1"/>
      </tp>
      <tp t="s">
        <v>#N/A N/A</v>
        <stp/>
        <stp>##V3_BDPV12</stp>
        <stp>BBG00N6M20C8 FIGI</stp>
        <stp>RTG_SP</stp>
        <stp>[DIF_Risk_20200430.xlsm]Geneva investment position repo!R79C31</stp>
        <tr r="AE79" s="1"/>
      </tp>
      <tp t="s">
        <v>2/15/2019</v>
        <stp/>
        <stp>##V3_BDPV12</stp>
        <stp>BBG00NB7HXS0 FIGI</stp>
        <stp>FITCH_EFF_DT</stp>
        <stp>[DIF_Risk_20200430.xlsm]Geneva investment position repo!R143C73</stp>
        <tr r="BU143" s="1"/>
      </tp>
      <tp t="s">
        <v>#N/A N/A</v>
        <stp/>
        <stp>##V3_BDPV12</stp>
        <stp>BBG00NV899R9 FIGI</stp>
        <stp>MOODY_EFF_DT</stp>
        <stp>[DIF_Risk_20200430.xlsm]Geneva investment position repo!R168C72</stp>
        <tr r="BT168" s="1"/>
      </tp>
      <tp t="s">
        <v>ACTV</v>
        <stp/>
        <stp>##V3_BDPV12</stp>
        <stp>BBG00T5WB7F6 FIGI</stp>
        <stp>EXCH_MARKET_STATUS</stp>
        <stp>[DIF_Risk_20200430.xlsm]Geneva investment position repo!R123C44</stp>
        <tr r="AR123" s="1"/>
        <tr r="AR123" s="1"/>
      </tp>
      <tp t="s">
        <v>BBG00M0MD1Z7</v>
        <stp/>
        <stp>##V3_BDPV12</stp>
        <stp>XS1852561031 ISIN</stp>
        <stp>ID_BB_GLOBAL</stp>
        <stp>[DIF_Risk_20200430.xlsm]Geneva investment position repo!R55C18</stp>
        <tr r="R55" s="1"/>
      </tp>
      <tp t="s">
        <v>BBG00KKDSP44</v>
        <stp/>
        <stp>##V3_BDPV12</stp>
        <stp>XS1801151371 ISIN</stp>
        <stp>ID_BB_GLOBAL</stp>
        <stp>[DIF_Risk_20200430.xlsm]Geneva investment position repo!R56C18</stp>
        <tr r="R56" s="1"/>
      </tp>
      <tp t="s">
        <v>BBG00QT8QWY7</v>
        <stp/>
        <stp>##V3_BDPV12</stp>
        <stp>XS2079799024 ISIN</stp>
        <stp>ID_BB_GLOBAL</stp>
        <stp>[DIF_Risk_20200430.xlsm]Geneva investment position repo!R46C18</stp>
        <tr r="R46" s="1"/>
      </tp>
      <tp t="s">
        <v>#N/A Field Not Applicable</v>
        <stp/>
        <stp>##V3_BDPV12</stp>
        <stp>BBG00R9SN7F2 FIGI</stp>
        <stp>CAPITAL_CONTINGENT_SECURITY</stp>
        <stp>[DIF_Risk_20200430.xlsm]Geneva investment position repo!R63C42</stp>
        <tr r="AP63" s="1"/>
      </tp>
      <tp t="s">
        <v>BBG00GQ752P3</v>
        <stp/>
        <stp>##V3_BDPV12</stp>
        <stp>XS1618597535 ISIN</stp>
        <stp>ID_BB_GLOBAL</stp>
        <stp>[DIF_Risk_20200430.xlsm]Geneva investment position repo!R99C18</stp>
        <tr r="R99" s="1"/>
      </tp>
      <tp t="s">
        <v>BBG00N0Q0RS1</v>
        <stp/>
        <stp>##V3_BDPV12</stp>
        <stp>XS1893648904 ISIN</stp>
        <stp>ID_BB_GLOBAL</stp>
        <stp>[DIF_Risk_20200430.xlsm]Geneva investment position repo!R50C18</stp>
        <tr r="R50" s="1"/>
      </tp>
      <tp t="s">
        <v>#N/A Field Not Applicable</v>
        <stp/>
        <stp>##V3_BDPV12</stp>
        <stp>BBG000P9D267 FIGI</stp>
        <stp>FITCH_EFF_DT</stp>
        <stp>[DIF_Risk_20200430.xlsm]Geneva investment position repo!R20C73</stp>
        <tr r="BU20" s="1"/>
      </tp>
      <tp t="s">
        <v>BBG000P9FRH8</v>
        <stp/>
        <stp>##V3_BDPV12</stp>
        <stp>2823 HK Equity</stp>
        <stp>ID_BB_GLOBAL</stp>
        <stp>[DIF_Risk_20200430.xlsm]Geneva investment position repo!R19C18</stp>
        <tr r="R19" s="1"/>
      </tp>
      <tp t="s">
        <v>BBG00226B1T3</v>
        <stp/>
        <stp>##V3_BDPV12</stp>
        <stp>6823 HK Equity</stp>
        <stp>ID_BB_GLOBAL</stp>
        <stp>[DIF_Risk_20200430.xlsm]Geneva investment position repo!R16C18</stp>
        <tr r="R16" s="1"/>
      </tp>
      <tp t="s">
        <v>#N/A Field Not Applicable</v>
        <stp/>
        <stp>##V3_BDPV12</stp>
        <stp>BBG00226B1T3 FIGI</stp>
        <stp>FITCH_EFF_DT</stp>
        <stp>[DIF_Risk_20200430.xlsm]Geneva investment position repo!R16C73</stp>
        <tr r="BU16" s="1"/>
      </tp>
      <tp t="s">
        <v>2/12/2020</v>
        <stp/>
        <stp>##V3_BDPV12</stp>
        <stp>BBG00RPJBQ56 FIGI</stp>
        <stp>FITCH_EFF_DT</stp>
        <stp>[DIF_Risk_20200430.xlsm]Geneva investment position repo!R27C73</stp>
        <tr r="BU27" s="1"/>
      </tp>
      <tp t="s">
        <v>#N/A N/A</v>
        <stp/>
        <stp>##V3_BDPV12</stp>
        <stp>BBG00RRMFK74 FIGI</stp>
        <stp>FITCH_EFF_DT</stp>
        <stp>[DIF_Risk_20200430.xlsm]Geneva investment position repo!R41C73</stp>
        <tr r="BU41" s="1"/>
      </tp>
      <tp t="s">
        <v>4/12/2018</v>
        <stp/>
        <stp>##V3_BDPV12</stp>
        <stp>BBG00KKDSP44 FIGI</stp>
        <stp>MOODY_EFF_DT</stp>
        <stp>[DIF_Risk_20200430.xlsm]Geneva investment position repo!R56C72</stp>
        <tr r="BT56" s="1"/>
      </tp>
      <tp t="s">
        <v>#N/A Field Not Applicable</v>
        <stp/>
        <stp>##V3_BDPV12</stp>
        <stp>BBG000Q16VR4 FIGI</stp>
        <stp>CAPITAL_CONTINGENT_SECURITY</stp>
        <stp>[DIF_Risk_20200430.xlsm]Geneva investment position repo!R18C42</stp>
        <tr r="AP18" s="1"/>
      </tp>
      <tp t="s">
        <v>#N/A N/A</v>
        <stp/>
        <stp>##V3_BDPV12</stp>
        <stp>BBG00R9SN7F2 FIGI</stp>
        <stp>MOODY_EFF_DT</stp>
        <stp>[DIF_Risk_20200430.xlsm]Geneva investment position repo!R63C72</stp>
        <tr r="BT63" s="1"/>
      </tp>
      <tp t="s">
        <v>1/13/2019</v>
        <stp/>
        <stp>##V3_BDPV12</stp>
        <stp>BBG00N14WRV0 FIGI</stp>
        <stp>FITCH_EFF_DT</stp>
        <stp>[DIF_Risk_20200430.xlsm]Geneva investment position repo!R142C73</stp>
        <tr r="BU142" s="1"/>
      </tp>
      <tp t="s">
        <v>4/1/2019</v>
        <stp/>
        <stp>##V3_BDPV12</stp>
        <stp>BBG00N14RT60 FIGI</stp>
        <stp>FITCH_EFF_DT</stp>
        <stp>[DIF_Risk_20200430.xlsm]Geneva investment position repo!R153C73</stp>
        <tr r="BU153" s="1"/>
      </tp>
      <tp t="s">
        <v>Real Estate</v>
        <stp/>
        <stp>##V3_BDPV12</stp>
        <stp>BBG00N6M20C8 FIGI</stp>
        <stp>INDUSTRY_GROUP</stp>
        <stp>[DIF_Risk_20200430.xlsm]Geneva investment position repo!R79C40</stp>
        <tr r="AN79" s="1"/>
      </tp>
      <tp t="s">
        <v>4/9/2020</v>
        <stp/>
        <stp>##V3_BDPV12</stp>
        <stp>BBG00T21B8F5 FIGI</stp>
        <stp>FITCH_EFF_DT</stp>
        <stp>[DIF_Risk_20200430.xlsm]Geneva investment position repo!R133C73</stp>
        <tr r="BU133" s="1"/>
      </tp>
      <tp t="s">
        <v>4/1/2019</v>
        <stp/>
        <stp>##V3_BDPV12</stp>
        <stp>BBG00NB0B2N4 FIGI</stp>
        <stp>FITCH_EFF_DT</stp>
        <stp>[DIF_Risk_20200430.xlsm]Geneva investment position repo!R150C73</stp>
        <tr r="BU150" s="1"/>
      </tp>
      <tp t="s">
        <v>ACTV</v>
        <stp/>
        <stp>##V3_BDPV12</stp>
        <stp>BBG00PKGT0Y7 FIGI</stp>
        <stp>EXCH_MARKET_STATUS</stp>
        <stp>[DIF_Risk_20200430.xlsm]Geneva investment position repo!R166C44</stp>
        <tr r="AR166" s="1"/>
        <tr r="AR166" s="1"/>
      </tp>
      <tp t="s">
        <v>1/16/2020</v>
        <stp/>
        <stp>##V3_BDPV12</stp>
        <stp>BBG00RD35MV1 FIGI</stp>
        <stp>MOODY_EFF_DT</stp>
        <stp>[DIF_Risk_20200430.xlsm]Geneva investment position repo!R118C72</stp>
        <tr r="BT118" s="1"/>
      </tp>
      <tp t="s">
        <v>BBG00T8645P1</v>
        <stp/>
        <stp>##V3_BDPV12</stp>
        <stp>US345370CV02 ISIN</stp>
        <stp>ID_BB_GLOBAL</stp>
        <stp>[DIF_Risk_20200430.xlsm]Geneva investment position repo!R70C18</stp>
        <tr r="R70" s="1"/>
      </tp>
      <tp t="s">
        <v>BBG00FP0FP88</v>
        <stp/>
        <stp>##V3_BDPV12</stp>
        <stp>XS1545506401 ISIN</stp>
        <stp>ID_BB_GLOBAL</stp>
        <stp>[DIF_Risk_20200430.xlsm]Geneva investment position repo!R96C18</stp>
        <tr r="R96" s="1"/>
      </tp>
      <tp t="s">
        <v>BBG00LJTWWM9</v>
        <stp/>
        <stp>##V3_BDPV12</stp>
        <stp>XS1856799421 ISIN</stp>
        <stp>ID_BB_GLOBAL</stp>
        <stp>[DIF_Risk_20200430.xlsm]Geneva investment position repo!R60C18</stp>
        <tr r="R60" s="1"/>
      </tp>
      <tp t="s">
        <v>BBG00RYDWX24</v>
        <stp/>
        <stp>##V3_BDPV12</stp>
        <stp>XS2125118971 ISIN</stp>
        <stp>ID_BB_GLOBAL</stp>
        <stp>[DIF_Risk_20200430.xlsm]Geneva investment position repo!R85C18</stp>
        <tr r="R85" s="1"/>
      </tp>
      <tp t="s">
        <v>BBG00PQ3QH67</v>
        <stp/>
        <stp>##V3_BDPV12</stp>
        <stp>XS2030329358 ISIN</stp>
        <stp>ID_BB_GLOBAL</stp>
        <stp>[DIF_Risk_20200430.xlsm]Geneva investment position repo!R73C18</stp>
        <tr r="R73" s="1"/>
      </tp>
      <tp t="s">
        <v>BBG00RB35JZ6</v>
        <stp/>
        <stp>##V3_BDPV12</stp>
        <stp>XS2100597330 ISIN</stp>
        <stp>ID_BB_GLOBAL</stp>
        <stp>[DIF_Risk_20200430.xlsm]Geneva investment position repo!R48C18</stp>
        <tr r="R48" s="1"/>
      </tp>
      <tp t="s">
        <v>BBG00LLV9WW6</v>
        <stp/>
        <stp>##V3_BDPV12</stp>
        <stp>3690 HK Equity</stp>
        <stp>ID_BB_GLOBAL</stp>
        <stp>[DIF_Risk_20200430.xlsm]Geneva investment position repo!R21C18</stp>
        <tr r="R21" s="1"/>
      </tp>
      <tp t="s">
        <v>#N/A N/A</v>
        <stp/>
        <stp>##V3_BDPV12</stp>
        <stp>BBG00K7D75S0 FIGI</stp>
        <stp>FITCH_EFF_DT</stp>
        <stp>[DIF_Risk_20200430.xlsm]Geneva investment position repo!R75C73</stp>
        <tr r="BU75" s="1"/>
      </tp>
      <tp t="s">
        <v>1/13/2020</v>
        <stp/>
        <stp>##V3_BDPV12</stp>
        <stp>BBG00RD4VH41 FIGI</stp>
        <stp>FITCH_EFF_DT</stp>
        <stp>[DIF_Risk_20200430.xlsm]Geneva investment position repo!R106C73</stp>
        <tr r="BU106" s="1"/>
      </tp>
      <tp t="s">
        <v>#N/A N/A</v>
        <stp/>
        <stp>##V3_BDPV12</stp>
        <stp>BBG00RT2L457 FIGI</stp>
        <stp>FITCH_EFF_DT</stp>
        <stp>[DIF_Risk_20200430.xlsm]Geneva investment position repo!R177C73</stp>
        <tr r="BU177" s="1"/>
      </tp>
      <tp t="s">
        <v>#N/A N/A</v>
        <stp/>
        <stp>##V3_BDPV12</stp>
        <stp>BBG00RZ2MZZ7 FIGI</stp>
        <stp>FITCH_EFF_DT</stp>
        <stp>[DIF_Risk_20200430.xlsm]Geneva investment position repo!R113C73</stp>
        <tr r="BU113" s="1"/>
      </tp>
      <tp t="s">
        <v>Metal Fabricate/Hardware</v>
        <stp/>
        <stp>##V3_BDPV12</stp>
        <stp>BBG00NBG3YQ5 FIGI</stp>
        <stp>INDUSTRY_GROUP</stp>
        <stp>[DIF_Risk_20200430.xlsm]Geneva investment position repo!R91C40</stp>
        <tr r="AN91" s="1"/>
      </tp>
      <tp t="s">
        <v>ACTV</v>
        <stp/>
        <stp>##V3_BDPV12</stp>
        <stp>BBG00QQ1W050 FIGI</stp>
        <stp>EXCH_MARKET_STATUS</stp>
        <stp>[DIF_Risk_20200430.xlsm]Geneva investment position repo!R149C44</stp>
        <tr r="AR149" s="1"/>
        <tr r="AR149" s="1"/>
      </tp>
      <tp t="s">
        <v>B+</v>
        <stp/>
        <stp>##V3_BDPV12</stp>
        <stp>BBG00DKQ0MQ4 FIGI</stp>
        <stp>RTG_SP</stp>
        <stp>[DIF_Risk_20200430.xlsm]Geneva investment position repo!R78C31</stp>
        <tr r="AE78" s="1"/>
        <tr r="AE78" s="1"/>
      </tp>
      <tp t="s">
        <v>Internet</v>
        <stp/>
        <stp>##V3_BDPV12</stp>
        <stp>BBG000BJ35N5 FIGI</stp>
        <stp>INDUSTRY_GROUP</stp>
        <stp>[DIF_Risk_20200430.xlsm]Geneva investment position repo!R25C40</stp>
        <tr r="AN25" s="1"/>
      </tp>
      <tp t="s">
        <v>BBB+</v>
        <stp/>
        <stp>##V3_BDPV12</stp>
        <stp>BBG00BWQ0R57 FIGI</stp>
        <stp>RTG_SP</stp>
        <stp>[DIF_Risk_20200430.xlsm]Geneva investment position repo!R62C31</stp>
        <tr r="AE62" s="1"/>
        <tr r="AE62" s="1"/>
      </tp>
      <tp t="s">
        <v>B</v>
        <stp/>
        <stp>##V3_BDPV12</stp>
        <stp>BBG00N0Q0RS1 FIGI</stp>
        <stp>RTG_SP</stp>
        <stp>[DIF_Risk_20200430.xlsm]Geneva investment position repo!R50C31</stp>
        <tr r="AE50" s="1"/>
        <tr r="AE50" s="1"/>
      </tp>
      <tp t="s">
        <v>#N/A Field Not Applicable</v>
        <stp/>
        <stp>##V3_BDPV12</stp>
        <stp>BBG0016XR1Q8 FIGI</stp>
        <stp>SP_EFF_DT</stp>
        <stp>[DIF_Risk_20200430.xlsm]Geneva investment position repo!R6C71</stp>
        <tr r="BS6" s="1"/>
      </tp>
      <tp t="s">
        <v>BBG00RYGHZS1</v>
        <stp/>
        <stp>##V3_BDPV12</stp>
        <stp>XS2125715800 ISIN</stp>
        <stp>ID_BB_GLOBAL</stp>
        <stp>[DIF_Risk_20200430.xlsm]Geneva investment position repo!R51C18</stp>
        <tr r="R51" s="1"/>
      </tp>
      <tp t="s">
        <v>BBG00CNK44T9</v>
        <stp/>
        <stp>##V3_BDPV12</stp>
        <stp>XS1376566714 ISIN</stp>
        <stp>ID_BB_GLOBAL</stp>
        <stp>[DIF_Risk_20200430.xlsm]Geneva investment position repo!R45C18</stp>
        <tr r="R45" s="1"/>
      </tp>
      <tp t="s">
        <v>BBG00DVX5HS1</v>
        <stp/>
        <stp>##V3_BDPV12</stp>
        <stp>XS1496760239 ISIN</stp>
        <stp>ID_BB_GLOBAL</stp>
        <stp>[DIF_Risk_20200430.xlsm]Geneva investment position repo!R44C18</stp>
        <tr r="R44" s="1"/>
      </tp>
      <tp t="s">
        <v>BBG00N2K8LG0</v>
        <stp/>
        <stp>##V3_BDPV12</stp>
        <stp>XS1937690128 ISIN</stp>
        <stp>ID_BB_GLOBAL</stp>
        <stp>[DIF_Risk_20200430.xlsm]Geneva investment position repo!R43C18</stp>
        <tr r="R43" s="1"/>
      </tp>
      <tp t="s">
        <v>CN</v>
        <stp/>
        <stp>##V3_BDPV12</stp>
        <stp>BBG00FP0FP88 FIGI</stp>
        <stp>CNTRY_OF_RISK</stp>
        <stp>[DIF_Risk_20200430.xlsm]Geneva investment position repo!R96C38</stp>
        <tr r="AL96" s="1"/>
      </tp>
      <tp t="s">
        <v>CN</v>
        <stp/>
        <stp>##V3_BDPV12</stp>
        <stp>BBG00PV1L0V9 FIGI</stp>
        <stp>CNTRY_OF_RISK</stp>
        <stp>[DIF_Risk_20200430.xlsm]Geneva investment position repo!R86C38</stp>
        <tr r="AL86" s="1"/>
      </tp>
      <tp t="s">
        <v>BBG000BJ35N5</v>
        <stp/>
        <stp>##V3_BDPV12</stp>
        <stp>700 HK Equity</stp>
        <stp>ID_BB_GLOBAL</stp>
        <stp>[DIF_Risk_20200430.xlsm]Geneva investment position repo!R25C18</stp>
        <tr r="R25" s="1"/>
      </tp>
      <tp t="s">
        <v>BBG000BDW8M1</v>
        <stp/>
        <stp>##V3_BDPV12</stp>
        <stp>270 HK Equity</stp>
        <stp>ID_BB_GLOBAL</stp>
        <stp>[DIF_Risk_20200430.xlsm]Geneva investment position repo!R14C18</stp>
        <tr r="R14" s="1"/>
      </tp>
      <tp t="s">
        <v>HK</v>
        <stp/>
        <stp>##V3_BDPV12</stp>
        <stp>BBG00SY1QXH9 FIGI</stp>
        <stp>CNTRY_OF_RISK</stp>
        <stp>[DIF_Risk_20200430.xlsm]Geneva investment position repo!R31C38</stp>
        <tr r="AL31" s="1"/>
      </tp>
      <tp t="s">
        <v>#N/A Field Not Applicable</v>
        <stp/>
        <stp>##V3_BDPV12</stp>
        <stp>BBG00NV886P8 FIGI</stp>
        <stp>CAPITAL_CONTINGENT_SECURITY</stp>
        <stp>[DIF_Risk_20200430.xlsm]Geneva investment position repo!R72C42</stp>
        <tr r="AP72" s="1"/>
      </tp>
      <tp t="s">
        <v>12/6/2021</v>
        <stp/>
        <stp>##V3_BDPV12</stp>
        <stp>BBG00MNS44N6 FIGI</stp>
        <stp>CALC_MATURITY</stp>
        <stp>[DIF_Risk_20200430.xlsm]Geneva investment position repo!R129C55</stp>
        <tr r="BC129" s="1"/>
      </tp>
      <tp t="s">
        <v>ACTV</v>
        <stp/>
        <stp>##V3_BDPV12</stp>
        <stp>BBG00JC8V4T3 FIGI</stp>
        <stp>EXCH_MARKET_STATUS</stp>
        <stp>[DIF_Risk_20200430.xlsm]Geneva investment position repo!R176C44</stp>
        <tr r="AR176" s="1"/>
        <tr r="AR176" s="1"/>
      </tp>
      <tp t="s">
        <v>ACTV</v>
        <stp/>
        <stp>##V3_BDPV12</stp>
        <stp>BBG00NG9L0S8 FIGI</stp>
        <stp>EXCH_MARKET_STATUS</stp>
        <stp>[DIF_Risk_20200430.xlsm]Geneva investment position repo!R134C44</stp>
        <tr r="AR134" s="1"/>
        <tr r="AR134" s="1"/>
      </tp>
      <tp>
        <v>4.4855972742121413</v>
        <stp/>
        <stp>##V3_BDPV12</stp>
        <stp>US68389XBT19 ISIN</stp>
        <stp>DUR_ADJ_MID</stp>
        <stp>[DIF_Risk_20200430.xlsm]Geneva investment position repo!R120C59</stp>
        <tr r="BG120" s="1"/>
      </tp>
      <tp t="s">
        <v>#N/A Field Not Applicable</v>
        <stp/>
        <stp>##V3_BDPV12</stp>
        <stp>BBG00RB0MG61 FIGI</stp>
        <stp>CAPITAL_CONTINGENT_SECURITY</stp>
        <stp>[DIF_Risk_20200430.xlsm]Geneva investment position repo!R100C42</stp>
        <tr r="AP100" s="1"/>
      </tp>
      <tp t="s">
        <v>#N/A Field Not Applicable</v>
        <stp/>
        <stp>##V3_BDPV12</stp>
        <stp>BBG00T21B8F5 FIGI</stp>
        <stp>CAPITAL_CONTINGENT_SECURITY</stp>
        <stp>[DIF_Risk_20200430.xlsm]Geneva investment position repo!R133C42</stp>
        <tr r="AP133" s="1"/>
      </tp>
      <tp t="s">
        <v>#N/A Field Not Applicable</v>
        <stp/>
        <stp>##V3_BDPV12</stp>
        <stp>BBG00NL43H88 FIGI</stp>
        <stp>CAPITAL_CONTINGENT_SECURITY</stp>
        <stp>[DIF_Risk_20200430.xlsm]Geneva investment position repo!R121C42</stp>
        <tr r="AP121" s="1"/>
      </tp>
      <tp t="s">
        <v>BBG00QQ1W050</v>
        <stp/>
        <stp>##V3_BDPV12</stp>
        <stp>XS2075937297 ISIN</stp>
        <stp>ID_BB_GLOBAL</stp>
        <stp>[DIF_Risk_20200430.xlsm]Geneva investment position repo!R149C18</stp>
        <tr r="R149" s="1"/>
      </tp>
      <tp t="s">
        <v>BBG00S6SWBM6</v>
        <stp/>
        <stp>##V3_BDPV12</stp>
        <stp>XS2133059480 ISIN</stp>
        <stp>ID_BB_GLOBAL</stp>
        <stp>[DIF_Risk_20200430.xlsm]Geneva investment position repo!R158C18</stp>
        <tr r="R158" s="1"/>
      </tp>
      <tp>
        <v>1.890285335208735</v>
        <stp/>
        <stp>##V3_BDPV12</stp>
        <stp>US718286CJ41 ISIN</stp>
        <stp>YLD_YTM_MID</stp>
        <stp>[DIF_Risk_20200430.xlsm]Geneva investment position repo!R125C61</stp>
        <tr r="BI125" s="1"/>
      </tp>
      <tp>
        <v>2.136951440225705</v>
        <stp/>
        <stp>##V3_BDPV12</stp>
        <stp>XS1976760782 ISIN</stp>
        <stp>DUR_ADJ_MID</stp>
        <stp>[DIF_Risk_20200430.xlsm]Geneva investment position repo!R141C59</stp>
        <tr r="BG141" s="1"/>
      </tp>
      <tp>
        <v>6.7289806554199867</v>
        <stp/>
        <stp>##V3_BDPV12</stp>
        <stp>XS1950819729 ISIN</stp>
        <stp>YLD_YTM_MID</stp>
        <stp>[DIF_Risk_20200430.xlsm]Geneva investment position repo!R140C61</stp>
        <tr r="BI140" s="1"/>
      </tp>
      <tp>
        <v>2.2981299999592646</v>
        <stp/>
        <stp>##V3_BDPV12</stp>
        <stp>USY711AJAA00 ISIN</stp>
        <stp>DUR_ADJ_MID</stp>
        <stp>[DIF_Risk_20200430.xlsm]Geneva investment position repo!R39C59</stp>
        <tr r="BG39" s="1"/>
      </tp>
      <tp t="s">
        <v>1/2/2169</v>
        <stp/>
        <stp>##V3_BDPV12</stp>
        <stp>BBG00PKD4F69 FIGI</stp>
        <stp>CALC_MATURITY</stp>
        <stp>[DIF_Risk_20200430.xlsm]Geneva investment position repo!R145C55</stp>
        <tr r="BC145" s="1"/>
      </tp>
      <tp>
        <v>11.164214679369836</v>
        <stp/>
        <stp>##V3_BDPV12</stp>
        <stp>USY711AJAA00 ISIN</stp>
        <stp>YLD_YTM_MID</stp>
        <stp>[DIF_Risk_20200430.xlsm]Geneva investment position repo!R39C61</stp>
        <tr r="BI39" s="1"/>
      </tp>
      <tp t="s">
        <v>1/19/2020</v>
        <stp/>
        <stp>##V3_BDPV12</stp>
        <stp>BBG00RH7GJ34 FIGI</stp>
        <stp>FITCH_EFF_DT</stp>
        <stp>[DIF_Risk_20200430.xlsm]Geneva investment position repo!R67C73</stp>
        <tr r="BU67" s="1"/>
      </tp>
      <tp>
        <v>4.9058438949988759</v>
        <stp/>
        <stp>##V3_BDPV12</stp>
        <stp>USV6703DAA29 ISIN</stp>
        <stp>YLD_YTM_MID</stp>
        <stp>[DIF_Risk_20200430.xlsm]Geneva investment position repo!R37C61</stp>
        <tr r="BI37" s="1"/>
      </tp>
      <tp>
        <v>3.9888229021422497</v>
        <stp/>
        <stp>##V3_BDPV12</stp>
        <stp>USV6703DAA29 ISIN</stp>
        <stp>DUR_ADJ_MID</stp>
        <stp>[DIF_Risk_20200430.xlsm]Geneva investment position repo!R37C59</stp>
        <tr r="BG37" s="1"/>
      </tp>
      <tp t="s">
        <v>BBG000BZWNT2</v>
        <stp/>
        <stp>##V3_BDPV12</stp>
        <stp>941 HK Equity</stp>
        <stp>ID_BB_GLOBAL</stp>
        <stp>[DIF_Risk_20200430.xlsm]Geneva investment position repo!R11C18</stp>
        <tr r="R11" s="1"/>
      </tp>
      <tp t="s">
        <v>BBG00P1GZFC2</v>
        <stp/>
        <stp>##V3_BDPV12</stp>
        <stp>USG60744AB87 ISIN</stp>
        <stp>ID_BB_GLOBAL</stp>
        <stp>[DIF_Risk_20200430.xlsm]Geneva investment position repo!R112C18</stp>
        <tr r="R112" s="1"/>
      </tp>
      <tp t="s">
        <v>#N/A Field Not Applicable</v>
        <stp/>
        <stp>##V3_BDPV12</stp>
        <stp>BBG00NDFM319 FIGI</stp>
        <stp>CAPITAL_CONTINGENT_SECURITY</stp>
        <stp>[DIF_Risk_20200430.xlsm]Geneva investment position repo!R140C42</stp>
        <tr r="AP140" s="1"/>
      </tp>
      <tp t="s">
        <v>ACTV</v>
        <stp/>
        <stp>##V3_BDPV12</stp>
        <stp>BBG00NTXM180 FIGI</stp>
        <stp>EXCH_MARKET_STATUS</stp>
        <stp>[DIF_Risk_20200430.xlsm]Geneva investment position repo!R136C44</stp>
        <tr r="AR136" s="1"/>
        <tr r="AR136" s="1"/>
      </tp>
      <tp t="s">
        <v>BBG00K6FDF25</v>
        <stp/>
        <stp>##V3_BDPV12</stp>
        <stp>XS1772325210 ISIN</stp>
        <stp>ID_BB_GLOBAL</stp>
        <stp>[DIF_Risk_20200430.xlsm]Geneva investment position repo!R101C18</stp>
        <tr r="R101" s="1"/>
      </tp>
      <tp t="s">
        <v>BBG00QRVV6Z8</v>
        <stp/>
        <stp>##V3_BDPV12</stp>
        <stp>XS2056435246 ISIN</stp>
        <stp>ID_BB_GLOBAL</stp>
        <stp>[DIF_Risk_20200430.xlsm]Geneva investment position repo!R155C18</stp>
        <tr r="R155" s="1"/>
      </tp>
      <tp>
        <v>2.2704390871440876</v>
        <stp/>
        <stp>##V3_BDPV12</stp>
        <stp>XS1973630889 ISIN</stp>
        <stp>DUR_ADJ_MID</stp>
        <stp>[DIF_Risk_20200430.xlsm]Geneva investment position repo!R178C59</stp>
        <tr r="BG178" s="1"/>
      </tp>
      <tp t="s">
        <v>BBG00PNSNLZ7</v>
        <stp/>
        <stp>##V3_BDPV12</stp>
        <stp>XS2027426027 ISIN</stp>
        <stp>ID_BB_GLOBAL</stp>
        <stp>[DIF_Risk_20200430.xlsm]Geneva investment position repo!R161C18</stp>
        <tr r="R161" s="1"/>
      </tp>
      <tp>
        <v>7.4726532184145116</v>
        <stp/>
        <stp>##V3_BDPV12</stp>
        <stp>XS2133059480 ISIN</stp>
        <stp>YLD_YTM_MID</stp>
        <stp>[DIF_Risk_20200430.xlsm]Geneva investment position repo!R158C61</stp>
        <tr r="BI158" s="1"/>
      </tp>
      <tp>
        <v>6.9893229030316091</v>
        <stp/>
        <stp>##V3_BDPV12</stp>
        <stp>XS2057076387 ISIN</stp>
        <stp>YLD_YTM_MID</stp>
        <stp>[DIF_Risk_20200430.xlsm]Geneva investment position repo!R138C61</stp>
        <tr r="BI138" s="1"/>
      </tp>
      <tp t="s">
        <v>1/23/2050</v>
        <stp/>
        <stp>##V3_BDPV12</stp>
        <stp>BBG00RD35MV1 FIGI</stp>
        <stp>CALC_MATURITY</stp>
        <stp>[DIF_Risk_20200430.xlsm]Geneva investment position repo!R118C55</stp>
        <tr r="BC118" s="1"/>
      </tp>
      <tp t="s">
        <v>#N/A Field Not Applicable</v>
        <stp/>
        <stp>##V3_BDPV12</stp>
        <stp>BBG00MSJ57C5 FIGI</stp>
        <stp>CAPITAL_CONTINGENT_SECURITY</stp>
        <stp>[DIF_Risk_20200430.xlsm]Geneva investment position repo!R74C42</stp>
        <tr r="AP74" s="1"/>
      </tp>
      <tp>
        <v>6.2148235247665342</v>
        <stp/>
        <stp>##V3_BDPV12</stp>
        <stp>USN3700LAB10 ISIN</stp>
        <stp>YLD_YTM_MID</stp>
        <stp>[DIF_Risk_20200430.xlsm]Geneva investment position repo!R80C61</stp>
        <tr r="BI80" s="1"/>
      </tp>
      <tp>
        <v>3.6023496920621567</v>
        <stp/>
        <stp>##V3_BDPV12</stp>
        <stp>USN3700LAB10 ISIN</stp>
        <stp>DUR_ADJ_MID</stp>
        <stp>[DIF_Risk_20200430.xlsm]Geneva investment position repo!R80C59</stp>
        <tr r="BG80" s="1"/>
      </tp>
      <tp t="s">
        <v>1/8/2019</v>
        <stp/>
        <stp>##V3_BDPV12</stp>
        <stp>BBG00N0Q0RS1 FIGI</stp>
        <stp>MOODY_EFF_DT</stp>
        <stp>[DIF_Risk_20200430.xlsm]Geneva investment position repo!R50C72</stp>
        <tr r="BT50" s="1"/>
      </tp>
      <tp t="s">
        <v>#N/A Field Not Applicable</v>
        <stp/>
        <stp>##V3_BDPV12</stp>
        <stp>BBG000MKLJD1 FIGI</stp>
        <stp>CAPITAL_CONTINGENT_SECURITY</stp>
        <stp>[DIF_Risk_20200430.xlsm]Geneva investment position repo!R22C42</stp>
        <tr r="AP22" s="1"/>
      </tp>
      <tp t="s">
        <v>BBG00RCY5V08</v>
        <stp/>
        <stp>##V3_BDPV12</stp>
        <stp>USY711AJAA00 ISIN</stp>
        <stp>ID_BB_GLOBAL</stp>
        <stp>[DIF_Risk_20200430.xlsm]Geneva investment position repo!R39C18</stp>
        <tr r="R39" s="1"/>
      </tp>
      <tp t="s">
        <v>#N/A N/A</v>
        <stp/>
        <stp>##V3_BDPV12</stp>
        <stp>BBG00QNT5B76 FIGI</stp>
        <stp>FITCH_EFF_DT</stp>
        <stp>[DIF_Risk_20200430.xlsm]Geneva investment position repo!R30C73</stp>
        <tr r="BU30" s="1"/>
      </tp>
      <tp t="s">
        <v>ACTV</v>
        <stp/>
        <stp>##V3_BDPV12</stp>
        <stp>BBG00NB0B2N4 FIGI</stp>
        <stp>EXCH_MARKET_STATUS</stp>
        <stp>[DIF_Risk_20200430.xlsm]Geneva investment position repo!R150C44</stp>
        <tr r="AR150" s="1"/>
        <tr r="AR150" s="1"/>
      </tp>
      <tp t="s">
        <v>BBG00THTNZZ3</v>
        <stp/>
        <stp>##V3_BDPV12</stp>
        <stp>US718286CJ41 ISIN</stp>
        <stp>ID_BB_GLOBAL</stp>
        <stp>[DIF_Risk_20200430.xlsm]Geneva investment position repo!R125C18</stp>
        <tr r="R125" s="1"/>
      </tp>
      <tp t="s">
        <v>#N/A Field Not Applicable</v>
        <stp/>
        <stp>##V3_BDPV12</stp>
        <stp>BBG00PDYXN26 FIGI</stp>
        <stp>CAPITAL_CONTINGENT_SECURITY</stp>
        <stp>[DIF_Risk_20200430.xlsm]Geneva investment position repo!R156C42</stp>
        <tr r="AP156" s="1"/>
      </tp>
      <tp t="s">
        <v>ACTV</v>
        <stp/>
        <stp>##V3_BDPV12</stp>
        <stp>BBG00LSR9049 FIGI</stp>
        <stp>EXCH_MARKET_STATUS</stp>
        <stp>[DIF_Risk_20200430.xlsm]Geneva investment position repo!R108C44</stp>
        <tr r="AR108" s="1"/>
        <tr r="AR108" s="1"/>
      </tp>
      <tp>
        <v>4.698236844973918</v>
        <stp/>
        <stp>##V3_BDPV12</stp>
        <stp>XS1953029284 ISIN</stp>
        <stp>YLD_YTM_MID</stp>
        <stp>[DIF_Risk_20200430.xlsm]Geneva investment position repo!R143C61</stp>
        <tr r="BI143" s="1"/>
      </tp>
      <tp t="s">
        <v>BBG00RT2L457</v>
        <stp/>
        <stp>##V3_BDPV12</stp>
        <stp>XS2122877330 ISIN</stp>
        <stp>ID_BB_GLOBAL</stp>
        <stp>[DIF_Risk_20200430.xlsm]Geneva investment position repo!R177C18</stp>
        <tr r="R177" s="1"/>
      </tp>
      <tp t="s">
        <v>BBG00H4BZMF0</v>
        <stp/>
        <stp>##V3_BDPV12</stp>
        <stp>XS1645451565 ISIN</stp>
        <stp>ID_BB_GLOBAL</stp>
        <stp>[DIF_Risk_20200430.xlsm]Geneva investment position repo!R130C18</stp>
        <tr r="R130" s="1"/>
      </tp>
      <tp>
        <v>6.7720118564710123</v>
        <stp/>
        <stp>##V3_BDPV12</stp>
        <stp>XS1953150197 ISIN</stp>
        <stp>YLD_YTM_MID</stp>
        <stp>[DIF_Risk_20200430.xlsm]Geneva investment position repo!R150C61</stp>
        <tr r="BI150" s="1"/>
      </tp>
      <tp t="s">
        <v>BBG00JC8V4T3</v>
        <stp/>
        <stp>##V3_BDPV12</stp>
        <stp>XS1728036952 ISIN</stp>
        <stp>ID_BB_GLOBAL</stp>
        <stp>[DIF_Risk_20200430.xlsm]Geneva investment position repo!R176C18</stp>
        <tr r="R176" s="1"/>
      </tp>
      <tp t="s">
        <v>BBG00NTXM180</v>
        <stp/>
        <stp>##V3_BDPV12</stp>
        <stp>XS1976473618 ISIN</stp>
        <stp>ID_BB_GLOBAL</stp>
        <stp>[DIF_Risk_20200430.xlsm]Geneva investment position repo!R136C18</stp>
        <tr r="R136" s="1"/>
      </tp>
      <tp>
        <v>6.9888398882774982</v>
        <stp/>
        <stp>##V3_BDPV12</stp>
        <stp>XS2122877330 ISIN</stp>
        <stp>YLD_YTM_MID</stp>
        <stp>[DIF_Risk_20200430.xlsm]Geneva investment position repo!R177C61</stp>
        <tr r="BI177" s="1"/>
      </tp>
      <tp>
        <v>1.123224450554692</v>
        <stp/>
        <stp>##V3_BDPV12</stp>
        <stp>XS1951935847 ISIN</stp>
        <stp>DUR_ADJ_MID</stp>
        <stp>[DIF_Risk_20200430.xlsm]Geneva investment position repo!R180C59</stp>
        <tr r="BG180" s="1"/>
      </tp>
      <tp t="s">
        <v>Consumer Staples</v>
        <stp/>
        <stp>##V3_BDPV12</stp>
        <stp>BBG000PXTGY5 FIGI</stp>
        <stp>GICS_SECTOR_NAME</stp>
        <stp>[DIF_Risk_20200430.xlsm]Geneva investment position repo!R9C51</stp>
        <tr r="AY9" s="1"/>
      </tp>
      <tp>
        <v>6.0512860522973684</v>
        <stp/>
        <stp>##V3_BDPV12</stp>
        <stp>XS1831884702 ISIN</stp>
        <stp>YLD_YTM_MID</stp>
        <stp>[DIF_Risk_20200430.xlsm]Geneva investment position repo!R163C61</stp>
        <tr r="BI163" s="1"/>
      </tp>
      <tp t="s">
        <v>2/13/2169</v>
        <stp/>
        <stp>##V3_BDPV12</stp>
        <stp>BBG00LNF6KZ5 FIGI</stp>
        <stp>CALC_MATURITY</stp>
        <stp>[DIF_Risk_20200430.xlsm]Geneva investment position repo!R144C55</stp>
        <tr r="BC144" s="1"/>
      </tp>
      <tp t="s">
        <v>1/25/2169</v>
        <stp/>
        <stp>##V3_BDPV12</stp>
        <stp>BBG00PF578H3 FIGI</stp>
        <stp>CALC_MATURITY</stp>
        <stp>[DIF_Risk_20200430.xlsm]Geneva investment position repo!R181C55</stp>
        <tr r="BC181" s="1"/>
      </tp>
      <tp t="s">
        <v>BBG000P9D267</v>
        <stp/>
        <stp>##V3_BDPV12</stp>
        <stp>823 HK Equity</stp>
        <stp>ID_BB_GLOBAL</stp>
        <stp>[DIF_Risk_20200430.xlsm]Geneva investment position repo!R20C18</stp>
        <tr r="R20" s="1"/>
      </tp>
      <tp t="s">
        <v>6/14/2018</v>
        <stp/>
        <stp>##V3_BDPV12</stp>
        <stp>BBG00BWQ0R57 FIGI</stp>
        <stp>MOODY_EFF_DT</stp>
        <stp>[DIF_Risk_20200430.xlsm]Geneva investment position repo!R62C72</stp>
        <tr r="BT62" s="1"/>
      </tp>
      <tp t="s">
        <v>ACTV</v>
        <stp/>
        <stp>##V3_BDPV12</stp>
        <stp>BBG00HDTX5P9 FIGI</stp>
        <stp>EXCH_MARKET_STATUS</stp>
        <stp>[DIF_Risk_20200430.xlsm]Geneva investment position repo!R111C44</stp>
        <tr r="AR111" s="1"/>
        <tr r="AR111" s="1"/>
      </tp>
      <tp>
        <v>9.6534176283497308E-2</v>
        <stp/>
        <stp>##V3_BDPV12</stp>
        <stp>XS1923588096 ISIN</stp>
        <stp>DUR_ADJ_MID</stp>
        <stp>[DIF_Risk_20200430.xlsm]Geneva investment position repo!R157C59</stp>
        <tr r="BG157" s="1"/>
      </tp>
      <tp t="s">
        <v>BBG00QRVV8P5</v>
        <stp/>
        <stp>##V3_BDPV12</stp>
        <stp>XS2078556342 ISIN</stp>
        <stp>ID_BB_GLOBAL</stp>
        <stp>[DIF_Risk_20200430.xlsm]Geneva investment position repo!R131C18</stp>
        <tr r="R131" s="1"/>
      </tp>
      <tp>
        <v>3.1427320308560063</v>
        <stp/>
        <stp>##V3_BDPV12</stp>
        <stp>XS2161921338 ISIN</stp>
        <stp>YLD_YTM_MID</stp>
        <stp>[DIF_Risk_20200430.xlsm]Geneva investment position repo!R167C61</stp>
        <tr r="BI167" s="1"/>
      </tp>
      <tp t="s">
        <v>BBG00R9SLKK9</v>
        <stp/>
        <stp>##V3_BDPV12</stp>
        <stp>XS2100444772 ISIN</stp>
        <stp>ID_BB_GLOBAL</stp>
        <stp>[DIF_Risk_20200430.xlsm]Geneva investment position repo!R148C18</stp>
        <tr r="R148" s="1"/>
      </tp>
      <tp t="s">
        <v>BBG00PKGTF65</v>
        <stp/>
        <stp>##V3_BDPV12</stp>
        <stp>XS2021226985 ISIN</stp>
        <stp>ID_BB_GLOBAL</stp>
        <stp>[DIF_Risk_20200430.xlsm]Geneva investment position repo!R164C18</stp>
        <tr r="R164" s="1"/>
      </tp>
      <tp t="s">
        <v>BBG00MTS9QX5</v>
        <stp/>
        <stp>##V3_BDPV12</stp>
        <stp>XS1923588096 ISIN</stp>
        <stp>ID_BB_GLOBAL</stp>
        <stp>[DIF_Risk_20200430.xlsm]Geneva investment position repo!R157C18</stp>
        <tr r="R157" s="1"/>
      </tp>
      <tp t="s">
        <v>ACTV</v>
        <stp/>
        <stp>##V3_BDPV12</stp>
        <stp>BBG00NDFM319 FIGI</stp>
        <stp>EXCH_MARKET_STATUS</stp>
        <stp>[DIF_Risk_20200430.xlsm]Geneva investment position repo!R140C44</stp>
        <tr r="AR140" s="1"/>
        <tr r="AR140" s="1"/>
      </tp>
      <tp>
        <v>12.125080215461811</v>
        <stp/>
        <stp>##V3_BDPV12</stp>
        <stp>XS2021226985 ISIN</stp>
        <stp>YLD_YTM_MID</stp>
        <stp>[DIF_Risk_20200430.xlsm]Geneva investment position repo!R164C61</stp>
        <tr r="BI164" s="1"/>
      </tp>
      <tp>
        <v>2.9103654948748852</v>
        <stp/>
        <stp>##V3_BDPV12</stp>
        <stp>XS1592893546 ISIN</stp>
        <stp>DUR_ADJ_MID</stp>
        <stp>[DIF_Risk_20200430.xlsm]Geneva investment position repo!R109C59</stp>
        <tr r="BG109" s="1"/>
      </tp>
      <tp>
        <v>11.842381444467248</v>
        <stp/>
        <stp>##V3_BDPV12</stp>
        <stp>XS1958110089 ISIN</stp>
        <stp>YLD_YTM_MID</stp>
        <stp>[DIF_Risk_20200430.xlsm]Geneva investment position repo!R134C61</stp>
        <tr r="BI134" s="1"/>
      </tp>
      <tp t="s">
        <v>#N/A Field Not Applicable</v>
        <stp/>
        <stp>##V3_BDPV12</stp>
        <stp>BBG00MKJ4690 FIGI</stp>
        <stp>CAPITAL_CONTINGENT_SECURITY</stp>
        <stp>[DIF_Risk_20200430.xlsm]Geneva investment position repo!R54C42</stp>
        <tr r="AP54" s="1"/>
      </tp>
      <tp t="s">
        <v>8/25/2022</v>
        <stp/>
        <stp>##V3_BDPV12</stp>
        <stp>BBG00NDM7WZ0 FIGI</stp>
        <stp>CALC_MATURITY</stp>
        <stp>[DIF_Risk_20200430.xlsm]Geneva investment position repo!R103C55</stp>
        <tr r="BC103" s="1"/>
      </tp>
      <tp t="s">
        <v>#N/A N/A</v>
        <stp/>
        <stp>##V3_BDPV12</stp>
        <stp>BBG00RRMFK74 FIGI</stp>
        <stp>MOODY_EFF_DT</stp>
        <stp>[DIF_Risk_20200430.xlsm]Geneva investment position repo!R41C72</stp>
        <tr r="BT41" s="1"/>
      </tp>
      <tp>
        <v>3.9704015611407382</v>
        <stp/>
        <stp>##V3_BDPV12</stp>
        <stp>USV3855GAA86 ISIN</stp>
        <stp>DUR_ADJ_MID</stp>
        <stp>[DIF_Risk_20200430.xlsm]Geneva investment position repo!R81C59</stp>
        <tr r="BG81" s="1"/>
      </tp>
      <tp>
        <v>2.8847837432149634</v>
        <stp/>
        <stp>##V3_BDPV12</stp>
        <stp>USV3854PAA94 ISIN</stp>
        <stp>DUR_ADJ_MID</stp>
        <stp>[DIF_Risk_20200430.xlsm]Geneva investment position repo!R78C59</stp>
        <tr r="BG78" s="1"/>
      </tp>
      <tp t="s">
        <v>2/11/2020</v>
        <stp/>
        <stp>##V3_BDPV12</stp>
        <stp>BBG00RPJBQ56 FIGI</stp>
        <stp>MOODY_EFF_DT</stp>
        <stp>[DIF_Risk_20200430.xlsm]Geneva investment position repo!R27C72</stp>
        <tr r="BT27" s="1"/>
      </tp>
      <tp>
        <v>6.2967137217538642</v>
        <stp/>
        <stp>##V3_BDPV12</stp>
        <stp>USV3855GAA86 ISIN</stp>
        <stp>YLD_YTM_MID</stp>
        <stp>[DIF_Risk_20200430.xlsm]Geneva investment position repo!R81C61</stp>
        <tr r="BI81" s="1"/>
      </tp>
      <tp>
        <v>6.1442334231757121</v>
        <stp/>
        <stp>##V3_BDPV12</stp>
        <stp>USV3854PAA94 ISIN</stp>
        <stp>YLD_YTM_MID</stp>
        <stp>[DIF_Risk_20200430.xlsm]Geneva investment position repo!R78C61</stp>
        <tr r="BI78" s="1"/>
      </tp>
      <tp t="s">
        <v>4/15/2023</v>
        <stp/>
        <stp>##V3_BDPV12</stp>
        <stp>BBG00RB30509 FIGI</stp>
        <stp>CALC_MATURITY</stp>
        <stp>[DIF_Risk_20200430.xlsm]Geneva investment position repo!R159C55</stp>
        <tr r="BC159" s="1"/>
      </tp>
      <tp t="s">
        <v>4/20/2018</v>
        <stp/>
        <stp>##V3_BDPV12</stp>
        <stp>BBG00KKDSP44 FIGI</stp>
        <stp>FITCH_EFF_DT</stp>
        <stp>[DIF_Risk_20200430.xlsm]Geneva investment position repo!R56C73</stp>
        <tr r="BU56" s="1"/>
      </tp>
      <tp t="s">
        <v>1/6/2020</v>
        <stp/>
        <stp>##V3_BDPV12</stp>
        <stp>BBG00R9SN7F2 FIGI</stp>
        <stp>FITCH_EFF_DT</stp>
        <stp>[DIF_Risk_20200430.xlsm]Geneva investment position repo!R63C73</stp>
        <tr r="BU63" s="1"/>
      </tp>
      <tp t="s">
        <v>#N/A Field Not Applicable</v>
        <stp/>
        <stp>##V3_BDPV12</stp>
        <stp>BBG00RD4VH41 FIGI</stp>
        <stp>CAPITAL_CONTINGENT_SECURITY</stp>
        <stp>[DIF_Risk_20200430.xlsm]Geneva investment position repo!R106C42</stp>
        <tr r="AP106" s="1"/>
      </tp>
      <tp t="s">
        <v>#N/A Field Not Applicable</v>
        <stp/>
        <stp>##V3_BDPV12</stp>
        <stp>BBG00NB7K829 FIGI</stp>
        <stp>CAPITAL_CONTINGENT_SECURITY</stp>
        <stp>[DIF_Risk_20200430.xlsm]Geneva investment position repo!R162C42</stp>
        <tr r="AP162" s="1"/>
      </tp>
      <tp t="s">
        <v>BBG00QDN9PZ4</v>
        <stp/>
        <stp>##V3_BDPV12</stp>
        <stp>XS2057076387 ISIN</stp>
        <stp>ID_BB_GLOBAL</stp>
        <stp>[DIF_Risk_20200430.xlsm]Geneva investment position repo!R138C18</stp>
        <tr r="R138" s="1"/>
      </tp>
      <tp t="s">
        <v>ACTV</v>
        <stp/>
        <stp>##V3_BDPV12</stp>
        <stp>BBG00K67R1J1 FIGI</stp>
        <stp>EXCH_MARKET_STATUS</stp>
        <stp>[DIF_Risk_20200430.xlsm]Geneva investment position repo!R171C44</stp>
        <tr r="AR171" s="1"/>
        <tr r="AR171" s="1"/>
      </tp>
      <tp>
        <v>0.74466501618769854</v>
        <stp/>
        <stp>##V3_BDPV12</stp>
        <stp>XS2133059480 ISIN</stp>
        <stp>DUR_ADJ_MID</stp>
        <stp>[DIF_Risk_20200430.xlsm]Geneva investment position repo!R158C59</stp>
        <tr r="BG158" s="1"/>
      </tp>
      <tp t="s">
        <v>BBG00T21B8F5</v>
        <stp/>
        <stp>##V3_BDPV12</stp>
        <stp>XS2155352664 ISIN</stp>
        <stp>ID_BB_GLOBAL</stp>
        <stp>[DIF_Risk_20200430.xlsm]Geneva investment position repo!R133C18</stp>
        <tr r="R133" s="1"/>
      </tp>
      <tp>
        <v>3.6684847541017511</v>
        <stp/>
        <stp>##V3_BDPV12</stp>
        <stp>XS2057076387 ISIN</stp>
        <stp>DUR_ADJ_MID</stp>
        <stp>[DIF_Risk_20200430.xlsm]Geneva investment position repo!R138C59</stp>
        <tr r="BG138" s="1"/>
      </tp>
      <tp t="s">
        <v>BBG00RPXTTD1</v>
        <stp/>
        <stp>##V3_BDPV12</stp>
        <stp>XS2120069047 ISIN</stp>
        <stp>ID_BB_GLOBAL</stp>
        <stp>[DIF_Risk_20200430.xlsm]Geneva investment position repo!R137C18</stp>
        <tr r="R137" s="1"/>
      </tp>
      <tp t="s">
        <v>BBG00RD4VH41</v>
        <stp/>
        <stp>##V3_BDPV12</stp>
        <stp>XS2099273737 ISIN</stp>
        <stp>ID_BB_GLOBAL</stp>
        <stp>[DIF_Risk_20200430.xlsm]Geneva investment position repo!R106C18</stp>
        <tr r="R106" s="1"/>
      </tp>
      <tp t="s">
        <v>BBG00RB0MG61</v>
        <stp/>
        <stp>##V3_BDPV12</stp>
        <stp>XS2099677747 ISIN</stp>
        <stp>ID_BB_GLOBAL</stp>
        <stp>[DIF_Risk_20200430.xlsm]Geneva investment position repo!R100C18</stp>
        <tr r="R100" s="1"/>
      </tp>
      <tp>
        <v>7.8317346635980929</v>
        <stp/>
        <stp>##V3_BDPV12</stp>
        <stp>XS1973630889 ISIN</stp>
        <stp>YLD_YTM_MID</stp>
        <stp>[DIF_Risk_20200430.xlsm]Geneva investment position repo!R178C61</stp>
        <tr r="BI178" s="1"/>
      </tp>
      <tp t="s">
        <v>#N/A Field Not Applicable</v>
        <stp/>
        <stp>##V3_BDPV12</stp>
        <stp>BBG00M0MD1Z7 FIGI</stp>
        <stp>CAPITAL_CONTINGENT_SECURITY</stp>
        <stp>[DIF_Risk_20200430.xlsm]Geneva investment position repo!R55C42</stp>
        <tr r="AP55" s="1"/>
      </tp>
      <tp t="s">
        <v>4/3/2021</v>
        <stp/>
        <stp>##V3_BDPV12</stp>
        <stp>BBG00NQF0SC2 FIGI</stp>
        <stp>CALC_MATURITY</stp>
        <stp>[DIF_Risk_20200430.xlsm]Geneva investment position repo!R160C55</stp>
        <tr r="BC160" s="1"/>
      </tp>
      <tp t="s">
        <v>3/1/2018</v>
        <stp/>
        <stp>##V3_BDPV12</stp>
        <stp>BBG00K7D75S0 FIGI</stp>
        <stp>MOODY_EFF_DT</stp>
        <stp>[DIF_Risk_20200430.xlsm]Geneva investment position repo!R75C72</stp>
        <tr r="BT75" s="1"/>
      </tp>
      <tp>
        <v>2.7589893281502018</v>
        <stp/>
        <stp>##V3_BDPV12</stp>
        <stp>USN4717BAD84 ISIN</stp>
        <stp>DUR_ADJ_MID</stp>
        <stp>[DIF_Risk_20200430.xlsm]Geneva investment position repo!R93C59</stp>
        <tr r="BG93" s="1"/>
      </tp>
      <tp>
        <v>16.20794075831494</v>
        <stp/>
        <stp>##V3_BDPV12</stp>
        <stp>USN4717BAD84 ISIN</stp>
        <stp>YLD_YTM_MID</stp>
        <stp>[DIF_Risk_20200430.xlsm]Geneva investment position repo!R93C61</stp>
        <tr r="BI93" s="1"/>
      </tp>
      <tp t="s">
        <v>BBG00RHHSFZ2</v>
        <stp/>
        <stp>##V3_BDPV12</stp>
        <stp>USP78625EA73 ISIN</stp>
        <stp>ID_BB_GLOBAL</stp>
        <stp>[DIF_Risk_20200430.xlsm]Geneva investment position repo!R122C18</stp>
        <tr r="R122" s="1"/>
      </tp>
      <tp>
        <v>1.1555849834772844</v>
        <stp/>
        <stp>##V3_BDPV12</stp>
        <stp>US68389XBT19 ISIN</stp>
        <stp>YLD_YTM_MID</stp>
        <stp>[DIF_Risk_20200430.xlsm]Geneva investment position repo!R120C61</stp>
        <tr r="BI120" s="1"/>
      </tp>
      <tp t="s">
        <v>ACTV</v>
        <stp/>
        <stp>##V3_BDPV12</stp>
        <stp>BBG00NV0G541 FIGI</stp>
        <stp>EXCH_MARKET_STATUS</stp>
        <stp>[DIF_Risk_20200430.xlsm]Geneva investment position repo!R165C44</stp>
        <tr r="AR165" s="1"/>
        <tr r="AR165" s="1"/>
      </tp>
      <tp>
        <v>8.8153508497137096</v>
        <stp/>
        <stp>##V3_BDPV12</stp>
        <stp>US718286CJ41 ISIN</stp>
        <stp>DUR_ADJ_MID</stp>
        <stp>[DIF_Risk_20200430.xlsm]Geneva investment position repo!R125C59</stp>
        <tr r="BG125" s="1"/>
      </tp>
      <tp>
        <v>7.2126897200466633</v>
        <stp/>
        <stp>##V3_BDPV12</stp>
        <stp>XS1976760782 ISIN</stp>
        <stp>YLD_YTM_MID</stp>
        <stp>[DIF_Risk_20200430.xlsm]Geneva investment position repo!R141C61</stp>
        <tr r="BI141" s="1"/>
      </tp>
      <tp t="s">
        <v>BBG00LSRS878</v>
        <stp/>
        <stp>##V3_BDPV12</stp>
        <stp>XS1870205819 ISIN</stp>
        <stp>ID_BB_GLOBAL</stp>
        <stp>[DIF_Risk_20200430.xlsm]Geneva investment position repo!R104C18</stp>
        <tr r="R104" s="1"/>
      </tp>
      <tp t="s">
        <v>BBG00NG9L0S8</v>
        <stp/>
        <stp>##V3_BDPV12</stp>
        <stp>XS1958110089 ISIN</stp>
        <stp>ID_BB_GLOBAL</stp>
        <stp>[DIF_Risk_20200430.xlsm]Geneva investment position repo!R134C18</stp>
        <tr r="R134" s="1"/>
      </tp>
      <tp>
        <v>1.1224250125679436</v>
        <stp/>
        <stp>##V3_BDPV12</stp>
        <stp>XS1950819729 ISIN</stp>
        <stp>DUR_ADJ_MID</stp>
        <stp>[DIF_Risk_20200430.xlsm]Geneva investment position repo!R140C59</stp>
        <tr r="BG140" s="1"/>
      </tp>
      <tp t="s">
        <v>BBG00NG9J699</v>
        <stp/>
        <stp>##V3_BDPV12</stp>
        <stp>XS1957481440 ISIN</stp>
        <stp>ID_BB_GLOBAL</stp>
        <stp>[DIF_Risk_20200430.xlsm]Geneva investment position repo!R139C18</stp>
        <tr r="R139" s="1"/>
      </tp>
      <tp t="s">
        <v>BBG00NDFM319</v>
        <stp/>
        <stp>##V3_BDPV12</stp>
        <stp>XS1950819729 ISIN</stp>
        <stp>ID_BB_GLOBAL</stp>
        <stp>[DIF_Risk_20200430.xlsm]Geneva investment position repo!R140C18</stp>
        <tr r="R140" s="1"/>
      </tp>
      <tp>
        <v>4.4469744725470131</v>
        <stp/>
        <stp>##V3_BDPV12</stp>
        <stp>US09681MAM01 ISIN</stp>
        <stp>DUR_ADJ_MID</stp>
        <stp>[DIF_Risk_20200430.xlsm]Geneva investment position repo!R38C59</stp>
        <tr r="BG38" s="1"/>
      </tp>
      <tp>
        <v>2.8126087539613489</v>
        <stp/>
        <stp>##V3_BDPV12</stp>
        <stp>US09681MAM01 ISIN</stp>
        <stp>YLD_YTM_MID</stp>
        <stp>[DIF_Risk_20200430.xlsm]Geneva investment position repo!R38C61</stp>
        <tr r="BI38" s="1"/>
      </tp>
      <tp t="s">
        <v>10/31/2026</v>
        <stp/>
        <stp>##V3_BDPV12</stp>
        <stp>BBG00F2W1SP3 FIGI</stp>
        <stp>CALC_MATURITY</stp>
        <stp>[DIF_Risk_20200430.xlsm]Geneva investment position repo!R105C55</stp>
        <tr r="BC105" s="1"/>
      </tp>
      <tp t="s">
        <v>6/4/2021</v>
        <stp/>
        <stp>##V3_BDPV12</stp>
        <stp>BBG00L1B1VB5 FIGI</stp>
        <stp>CALC_MATURITY</stp>
        <stp>[DIF_Risk_20200430.xlsm]Geneva investment position repo!R163C55</stp>
        <tr r="BC163" s="1"/>
      </tp>
      <tp t="s">
        <v>#N/A Field Not Applicable</v>
        <stp/>
        <stp>##V3_BDPV12</stp>
        <stp>BBG000BZWNT2 FIGI</stp>
        <stp>CAPITAL_CONTINGENT_SECURITY</stp>
        <stp>[DIF_Risk_20200430.xlsm]Geneva investment position repo!R11C42</stp>
        <tr r="AP11" s="1"/>
      </tp>
      <tp t="s">
        <v>9/6/2168</v>
        <stp/>
        <stp>##V3_BDPV12</stp>
        <stp>BBG00NGF27D6 FIGI</stp>
        <stp>CALC_MATURITY</stp>
        <stp>[DIF_Risk_20200430.xlsm]Geneva investment position repo!R114C55</stp>
        <tr r="BC114" s="1"/>
      </tp>
      <tp t="s">
        <v>#N/A Field Not Applicable</v>
        <stp/>
        <stp>##V3_BDPV12</stp>
        <stp>BBG000BDWNL9 FIGI</stp>
        <stp>CAPITAL_CONTINGENT_SECURITY</stp>
        <stp>[DIF_Risk_20200430.xlsm]Geneva investment position repo!R24C42</stp>
        <tr r="AP24" s="1"/>
      </tp>
      <tp t="s">
        <v>#N/A Field Not Applicable</v>
        <stp/>
        <stp>##V3_BDPV12</stp>
        <stp>BBG00TFTG847 FIGI</stp>
        <stp>CAPITAL_CONTINGENT_SECURITY</stp>
        <stp>[DIF_Risk_20200430.xlsm]Geneva investment position repo!R117C42</stp>
        <tr r="AP117" s="1"/>
      </tp>
      <tp t="s">
        <v>BBG00HDTX5P9</v>
        <stp/>
        <stp>##V3_BDPV12</stp>
        <stp>USY59515AA72 ISIN</stp>
        <stp>ID_BB_GLOBAL</stp>
        <stp>[DIF_Risk_20200430.xlsm]Geneva investment position repo!R111C18</stp>
        <tr r="R111" s="1"/>
      </tp>
      <tp t="s">
        <v>BBG00JVKTCJ1</v>
        <stp/>
        <stp>##V3_BDPV12</stp>
        <stp>USY59505AA82 ISIN</stp>
        <stp>ID_BB_GLOBAL</stp>
        <stp>[DIF_Risk_20200430.xlsm]Geneva investment position repo!R110C18</stp>
        <tr r="R110" s="1"/>
      </tp>
      <tp t="s">
        <v>#N/A Field Not Applicable</v>
        <stp/>
        <stp>##V3_BDPV12</stp>
        <stp>BBG00R9SLKK9 FIGI</stp>
        <stp>CAPITAL_CONTINGENT_SECURITY</stp>
        <stp>[DIF_Risk_20200430.xlsm]Geneva investment position repo!R148C42</stp>
        <tr r="AP148" s="1"/>
      </tp>
      <tp t="s">
        <v>#N/A Field Not Applicable</v>
        <stp/>
        <stp>##V3_BDPV12</stp>
        <stp>BBG00H4BZMF0 FIGI</stp>
        <stp>CAPITAL_CONTINGENT_SECURITY</stp>
        <stp>[DIF_Risk_20200430.xlsm]Geneva investment position repo!R130C42</stp>
        <tr r="AP130" s="1"/>
      </tp>
      <tp t="s">
        <v>#N/A Field Not Applicable</v>
        <stp/>
        <stp>##V3_BDPV12</stp>
        <stp>BBG00N0J9QB8 FIGI</stp>
        <stp>CAPITAL_CONTINGENT_SECURITY</stp>
        <stp>[DIF_Risk_20200430.xlsm]Geneva investment position repo!R132C42</stp>
        <tr r="AP132" s="1"/>
      </tp>
      <tp t="s">
        <v>#N/A Field Not Applicable</v>
        <stp/>
        <stp>##V3_BDPV12</stp>
        <stp>BBG00P1GZFC2 FIGI</stp>
        <stp>CAPITAL_CONTINGENT_SECURITY</stp>
        <stp>[DIF_Risk_20200430.xlsm]Geneva investment position repo!R112C42</stp>
        <tr r="AP112" s="1"/>
      </tp>
      <tp t="s">
        <v>#N/A Field Not Applicable</v>
        <stp/>
        <stp>##V3_BDPV12</stp>
        <stp>BBG00RB30509 FIGI</stp>
        <stp>CAPITAL_CONTINGENT_SECURITY</stp>
        <stp>[DIF_Risk_20200430.xlsm]Geneva investment position repo!R159C42</stp>
        <tr r="AP159" s="1"/>
      </tp>
      <tp t="s">
        <v>ACTV</v>
        <stp/>
        <stp>##V3_BDPV12</stp>
        <stp>BBG00NG9J699 FIGI</stp>
        <stp>EXCH_MARKET_STATUS</stp>
        <stp>[DIF_Risk_20200430.xlsm]Geneva investment position repo!R139C44</stp>
        <tr r="AR139" s="1"/>
        <tr r="AR139" s="1"/>
      </tp>
      <tp>
        <v>1.4307546366028916</v>
        <stp/>
        <stp>##V3_BDPV12</stp>
        <stp>XS2021226985 ISIN</stp>
        <stp>DUR_ADJ_MID</stp>
        <stp>[DIF_Risk_20200430.xlsm]Geneva investment position repo!R164C59</stp>
        <tr r="BG164" s="1"/>
      </tp>
      <tp t="s">
        <v>BBG00RZ2MZZ7</v>
        <stp/>
        <stp>##V3_BDPV12</stp>
        <stp>XS2115053626 ISIN</stp>
        <stp>ID_BB_GLOBAL</stp>
        <stp>[DIF_Risk_20200430.xlsm]Geneva investment position repo!R113C18</stp>
        <tr r="R113" s="1"/>
      </tp>
      <tp t="s">
        <v>BBG00GSCY4N6</v>
        <stp/>
        <stp>##V3_BDPV12</stp>
        <stp>XS1618163452 ISIN</stp>
        <stp>ID_BB_GLOBAL</stp>
        <stp>[DIF_Risk_20200430.xlsm]Geneva investment position repo!R116C18</stp>
        <tr r="R116" s="1"/>
      </tp>
      <tp t="s">
        <v>BBG00L1B1VB5</v>
        <stp/>
        <stp>##V3_BDPV12</stp>
        <stp>XS1831884702 ISIN</stp>
        <stp>ID_BB_GLOBAL</stp>
        <stp>[DIF_Risk_20200430.xlsm]Geneva investment position repo!R163C18</stp>
        <tr r="R163" s="1"/>
      </tp>
      <tp>
        <v>24.244596471992722</v>
        <stp/>
        <stp>##V3_BDPV12</stp>
        <stp>XS1592893546 ISIN</stp>
        <stp>YLD_YTM_MID</stp>
        <stp>[DIF_Risk_20200430.xlsm]Geneva investment position repo!R109C61</stp>
        <tr r="BI109" s="1"/>
      </tp>
      <tp t="s">
        <v>BBG00KMRGS75</v>
        <stp/>
        <stp>##V3_BDPV12</stp>
        <stp>XS1810024338 ISIN</stp>
        <stp>ID_BB_GLOBAL</stp>
        <stp>[DIF_Risk_20200430.xlsm]Geneva investment position repo!R152C18</stp>
        <tr r="R152" s="1"/>
      </tp>
      <tp>
        <v>0.70072481877748627</v>
        <stp/>
        <stp>##V3_BDPV12</stp>
        <stp>XS1958110089 ISIN</stp>
        <stp>DUR_ADJ_MID</stp>
        <stp>[DIF_Risk_20200430.xlsm]Geneva investment position repo!R134C59</stp>
        <tr r="BG134" s="1"/>
      </tp>
      <tp>
        <v>7.3311279986192552</v>
        <stp/>
        <stp>##V3_BDPV12</stp>
        <stp>XS1923588096 ISIN</stp>
        <stp>YLD_YTM_MID</stp>
        <stp>[DIF_Risk_20200430.xlsm]Geneva investment position repo!R157C61</stp>
        <tr r="BI157" s="1"/>
      </tp>
      <tp>
        <v>8.5538530950029905</v>
        <stp/>
        <stp>##V3_BDPV12</stp>
        <stp>XS2161921338 ISIN</stp>
        <stp>DUR_ADJ_MID</stp>
        <stp>[DIF_Risk_20200430.xlsm]Geneva investment position repo!R167C59</stp>
        <tr r="BG167" s="1"/>
      </tp>
      <tp t="s">
        <v>#N/A Field Not Applicable</v>
        <stp/>
        <stp>##V3_BDPV12</stp>
        <stp>BBG000GD4N44 FIGI</stp>
        <stp>CAPITAL_CONTINGENT_SECURITY</stp>
        <stp>[DIF_Risk_20200430.xlsm]Geneva investment position repo!R23C42</stp>
        <tr r="AP23" s="1"/>
      </tp>
      <tp t="s">
        <v>#N/A Field Not Applicable</v>
        <stp/>
        <stp>##V3_BDPV12</stp>
        <stp>BBG00Q2B8JR6 FIGI</stp>
        <stp>SECURITY_TYP2</stp>
        <stp>[DIF_Risk_20200430.xlsm]Geneva investment position repo!R170C21</stp>
        <tr r="U170" s="1"/>
      </tp>
      <tp t="s">
        <v>#N/A Field Not Applicable</v>
        <stp/>
        <stp>##V3_BDPV12</stp>
        <stp>BBG00N6M20C8 FIGI</stp>
        <stp>CAPITAL_CONTINGENT_SECURITY</stp>
        <stp>[DIF_Risk_20200430.xlsm]Geneva investment position repo!R79C42</stp>
        <tr r="AP79" s="1"/>
      </tp>
      <tp t="s">
        <v>#N/A Field Not Applicable</v>
        <stp/>
        <stp>##V3_BDPV12</stp>
        <stp>BBG00K7D75S0 FIGI</stp>
        <stp>CAPITAL_CONTINGENT_SECURITY</stp>
        <stp>[DIF_Risk_20200430.xlsm]Geneva investment position repo!R75C42</stp>
        <tr r="AP75" s="1"/>
      </tp>
      <tp t="s">
        <v>7/15/2019</v>
        <stp/>
        <stp>##V3_BDPV12</stp>
        <stp>BBG00PQ3QH67 FIGI</stp>
        <stp>MOODY_EFF_DT</stp>
        <stp>[DIF_Risk_20200430.xlsm]Geneva investment position repo!R73C72</stp>
        <tr r="BT73" s="1"/>
      </tp>
      <tp t="s">
        <v>2/20/2020</v>
        <stp/>
        <stp>##V3_BDPV12</stp>
        <stp>BBG00QJ3FR72 FIGI</stp>
        <stp>FITCH_EFF_DT</stp>
        <stp>[DIF_Risk_20200430.xlsm]Geneva investment position repo!R37C73</stp>
        <tr r="BU37" s="1"/>
      </tp>
      <tp t="s">
        <v>#N/A Field Not Applicable</v>
        <stp/>
        <stp>##V3_BDPV12</stp>
        <stp>BBG00LSR9049 FIGI</stp>
        <stp>SECURITY_TYP2</stp>
        <stp>[DIF_Risk_20200430.xlsm]Geneva investment position repo!R108C21</stp>
        <tr r="U108" s="1"/>
      </tp>
      <tp t="s">
        <v>5/30/2022</v>
        <stp/>
        <stp>##V3_BDPV12</stp>
        <stp>BBG00P7N38J5 FIGI</stp>
        <stp>CALC_MATURITY</stp>
        <stp>[DIF_Risk_20200430.xlsm]Geneva investment position repo!R175C55</stp>
        <tr r="BC175" s="1"/>
      </tp>
      <tp>
        <v>6.4685560257420951</v>
        <stp/>
        <stp>##V3_BDPV12</stp>
        <stp>USV3855GAB69 ISIN</stp>
        <stp>YLD_YTM_MID</stp>
        <stp>[DIF_Risk_20200430.xlsm]Geneva investment position repo!R82C61</stp>
        <tr r="BI82" s="1"/>
      </tp>
      <tp>
        <v>4.9787917079076038</v>
        <stp/>
        <stp>##V3_BDPV12</stp>
        <stp>USV3855GAB69 ISIN</stp>
        <stp>DUR_ADJ_MID</stp>
        <stp>[DIF_Risk_20200430.xlsm]Geneva investment position repo!R82C59</stp>
        <tr r="BG82" s="1"/>
      </tp>
      <tp t="s">
        <v>#N/A Field Not Applicable</v>
        <stp/>
        <stp>##V3_BDPV12</stp>
        <stp>BBG00NV899R9 FIGI</stp>
        <stp>SECURITY_TYP2</stp>
        <stp>[DIF_Risk_20200430.xlsm]Geneva investment position repo!R168C21</stp>
        <tr r="U168" s="1"/>
      </tp>
      <tp t="s">
        <v>#N/A Field Not Applicable</v>
        <stp/>
        <stp>##V3_BDPV12</stp>
        <stp>BBG00KVGG4W4 FIGI</stp>
        <stp>CAPITAL_CONTINGENT_SECURITY</stp>
        <stp>[DIF_Risk_20200430.xlsm]Geneva investment position repo!R83C42</stp>
        <tr r="AP83" s="1"/>
      </tp>
      <tp t="s">
        <v>CN</v>
        <stp/>
        <stp>##V3_BDPV12</stp>
        <stp>BBG00QT8QWY7 FIGI</stp>
        <stp>CNTRY_OF_RISK</stp>
        <stp>[DIF_Risk_20200430.xlsm]Geneva investment position repo!R46C38</stp>
        <tr r="AL46" s="1"/>
      </tp>
      <tp t="s">
        <v>CN</v>
        <stp/>
        <stp>##V3_BDPV12</stp>
        <stp>BBG00L07ZBX8 FIGI</stp>
        <stp>CNTRY_OF_RISK</stp>
        <stp>[DIF_Risk_20200430.xlsm]Geneva investment position repo!R66C38</stp>
        <tr r="AL66" s="1"/>
      </tp>
      <tp t="s">
        <v>#N/A Field Not Applicable</v>
        <stp/>
        <stp>##V3_BDPV12</stp>
        <stp>BBG00T5WB7F6 FIGI</stp>
        <stp>CAPITAL_CONTINGENT_SECURITY</stp>
        <stp>[DIF_Risk_20200430.xlsm]Geneva investment position repo!R123C42</stp>
        <tr r="AP123" s="1"/>
      </tp>
      <tp t="s">
        <v>BBG00T5WB757</v>
        <stp/>
        <stp>##V3_BDPV12</stp>
        <stp>USY68856AV83 ISIN</stp>
        <stp>ID_BB_GLOBAL</stp>
        <stp>[DIF_Risk_20200430.xlsm]Geneva investment position repo!R124C18</stp>
        <tr r="R124" s="1"/>
      </tp>
      <tp t="s">
        <v>BBG00RD35MV1</v>
        <stp/>
        <stp>##V3_BDPV12</stp>
        <stp>USJ54675AZ63 ISIN</stp>
        <stp>ID_BB_GLOBAL</stp>
        <stp>[DIF_Risk_20200430.xlsm]Geneva investment position repo!R118C18</stp>
        <tr r="R118" s="1"/>
      </tp>
      <tp t="s">
        <v>ACTV</v>
        <stp/>
        <stp>##V3_BDPV12</stp>
        <stp>BBG00NGF27D6 FIGI</stp>
        <stp>EXCH_MARKET_STATUS</stp>
        <stp>[DIF_Risk_20200430.xlsm]Geneva investment position repo!R114C44</stp>
        <tr r="AR114" s="1"/>
        <tr r="AR114" s="1"/>
      </tp>
      <tp t="s">
        <v>ACTV</v>
        <stp/>
        <stp>##V3_BDPV12</stp>
        <stp>BBG00MNS44N6 FIGI</stp>
        <stp>EXCH_MARKET_STATUS</stp>
        <stp>[DIF_Risk_20200430.xlsm]Geneva investment position repo!R129C44</stp>
        <tr r="AR129" s="1"/>
        <tr r="AR129" s="1"/>
      </tp>
      <tp t="s">
        <v>#N/A Field Not Applicable</v>
        <stp/>
        <stp>##V3_BDPV12</stp>
        <stp>BBG00L1B1VB5 FIGI</stp>
        <stp>CAPITAL_CONTINGENT_SECURITY</stp>
        <stp>[DIF_Risk_20200430.xlsm]Geneva investment position repo!R163C42</stp>
        <tr r="AP163" s="1"/>
      </tp>
      <tp>
        <v>0.71441176597689016</v>
        <stp/>
        <stp>##V3_BDPV12</stp>
        <stp>XS2122877330 ISIN</stp>
        <stp>DUR_ADJ_MID</stp>
        <stp>[DIF_Risk_20200430.xlsm]Geneva investment position repo!R177C59</stp>
        <tr r="BG177" s="1"/>
      </tp>
      <tp>
        <v>7.0742504030340072</v>
        <stp/>
        <stp>##V3_BDPV12</stp>
        <stp>XS1951935847 ISIN</stp>
        <stp>YLD_YTM_MID</stp>
        <stp>[DIF_Risk_20200430.xlsm]Geneva investment position repo!R180C61</stp>
        <tr r="BI180" s="1"/>
      </tp>
      <tp t="s">
        <v>BBG00LSR9049</v>
        <stp/>
        <stp>##V3_BDPV12</stp>
        <stp>XS1871087133 ISIN</stp>
        <stp>ID_BB_GLOBAL</stp>
        <stp>[DIF_Risk_20200430.xlsm]Geneva investment position repo!R108C18</stp>
        <tr r="R108" s="1"/>
      </tp>
      <tp>
        <v>6.8564699366669341E-2</v>
        <stp/>
        <stp>##V3_BDPV12</stp>
        <stp>XS1831884702 ISIN</stp>
        <stp>DUR_ADJ_MID</stp>
        <stp>[DIF_Risk_20200430.xlsm]Geneva investment position repo!R163C59</stp>
        <tr r="BG163" s="1"/>
      </tp>
      <tp t="s">
        <v>BBG00PDYXN26</v>
        <stp/>
        <stp>##V3_BDPV12</stp>
        <stp>XS2008157856 ISIN</stp>
        <stp>ID_BB_GLOBAL</stp>
        <stp>[DIF_Risk_20200430.xlsm]Geneva investment position repo!R156C18</stp>
        <tr r="R156" s="1"/>
      </tp>
      <tp t="s">
        <v>BBG00NQDZNG6</v>
        <stp/>
        <stp>##V3_BDPV12</stp>
        <stp>XS1973630889 ISIN</stp>
        <stp>ID_BB_GLOBAL</stp>
        <stp>[DIF_Risk_20200430.xlsm]Geneva investment position repo!R178C18</stp>
        <tr r="R178" s="1"/>
      </tp>
      <tp t="s">
        <v>BBG00RB30509</v>
        <stp/>
        <stp>##V3_BDPV12</stp>
        <stp>XS2100664544 ISIN</stp>
        <stp>ID_BB_GLOBAL</stp>
        <stp>[DIF_Risk_20200430.xlsm]Geneva investment position repo!R159C18</stp>
        <tr r="R159" s="1"/>
      </tp>
      <tp t="s">
        <v>BBG00LJTVJR4</v>
        <stp/>
        <stp>##V3_BDPV12</stp>
        <stp>XS1861032628 ISIN</stp>
        <stp>ID_BB_GLOBAL</stp>
        <stp>[DIF_Risk_20200430.xlsm]Geneva investment position repo!R154C18</stp>
        <tr r="R154" s="1"/>
      </tp>
      <tp>
        <v>1.6141866467805339</v>
        <stp/>
        <stp>##V3_BDPV12</stp>
        <stp>XS1953029284 ISIN</stp>
        <stp>DUR_ADJ_MID</stp>
        <stp>[DIF_Risk_20200430.xlsm]Geneva investment position repo!R143C59</stp>
        <tr r="BG143" s="1"/>
      </tp>
      <tp>
        <v>1.554475321897141</v>
        <stp/>
        <stp>##V3_BDPV12</stp>
        <stp>XS1953150197 ISIN</stp>
        <stp>DUR_ADJ_MID</stp>
        <stp>[DIF_Risk_20200430.xlsm]Geneva investment position repo!R150C59</stp>
        <tr r="BG150" s="1"/>
      </tp>
      <tp t="s">
        <v>8/20/2021</v>
        <stp/>
        <stp>##V3_BDPV12</stp>
        <stp>BBG00N9X3LW2 FIGI</stp>
        <stp>CALC_MATURITY</stp>
        <stp>[DIF_Risk_20200430.xlsm]Geneva investment position repo!R180C55</stp>
        <tr r="BC180" s="1"/>
      </tp>
      <tp t="s">
        <v>#N/A Field Not Applicable</v>
        <stp/>
        <stp>##V3_BDPV12</stp>
        <stp>BBG00MTS9QX5 FIGI</stp>
        <stp>SECURITY_TYP2</stp>
        <stp>[DIF_Risk_20200430.xlsm]Geneva investment position repo!R157C21</stp>
        <tr r="U157" s="1"/>
      </tp>
      <tp t="s">
        <v>3/20/2029</v>
        <stp/>
        <stp>##V3_BDPV12</stp>
        <stp>BBG00NL43H88 FIGI</stp>
        <stp>CALC_MATURITY</stp>
        <stp>[DIF_Risk_20200430.xlsm]Geneva investment position repo!R121C55</stp>
        <tr r="BC121" s="1"/>
      </tp>
      <tp t="s">
        <v>#N/A Field Not Applicable</v>
        <stp/>
        <stp>##V3_BDPV12</stp>
        <stp>BBG00N0J9QB8 FIGI</stp>
        <stp>SECURITY_TYP2</stp>
        <stp>[DIF_Risk_20200430.xlsm]Geneva investment position repo!R132C21</stp>
        <tr r="U132" s="1"/>
      </tp>
      <tp t="s">
        <v>#N/A Field Not Applicable</v>
        <stp/>
        <stp>##V3_BDPV12</stp>
        <stp>BBG000P9D267 FIGI</stp>
        <stp>MOODY_EFF_DT</stp>
        <stp>[DIF_Risk_20200430.xlsm]Geneva investment position repo!R20C72</stp>
        <tr r="BT20" s="1"/>
      </tp>
      <tp t="s">
        <v>#N/A Field Not Applicable</v>
        <stp/>
        <stp>##V3_BDPV12</stp>
        <stp>BBG00QDN9PZ4 FIGI</stp>
        <stp>SECURITY_TYP2</stp>
        <stp>[DIF_Risk_20200430.xlsm]Geneva investment position repo!R138C21</stp>
        <tr r="U138" s="1"/>
      </tp>
      <tp t="s">
        <v>#N/A Field Not Applicable</v>
        <stp/>
        <stp>##V3_BDPV12</stp>
        <stp>BBG00226B1T3 FIGI</stp>
        <stp>MOODY_EFF_DT</stp>
        <stp>[DIF_Risk_20200430.xlsm]Geneva investment position repo!R16C72</stp>
        <tr r="BT16" s="1"/>
      </tp>
      <tp t="s">
        <v>10/30/2018</v>
        <stp/>
        <stp>##V3_BDPV12</stp>
        <stp>BBG00M5BYXF5 FIGI</stp>
        <stp>FITCH_EFF_DT</stp>
        <stp>[DIF_Risk_20200430.xlsm]Geneva investment position repo!R32C73</stp>
        <tr r="BU32" s="1"/>
      </tp>
      <tp t="s">
        <v>#N/A Field Not Applicable</v>
        <stp/>
        <stp>##V3_BDPV12</stp>
        <stp>BBG000GD4N44 FIGI</stp>
        <stp>FITCH_EFF_DT</stp>
        <stp>[DIF_Risk_20200430.xlsm]Geneva investment position repo!R23C73</stp>
        <tr r="BU23" s="1"/>
      </tp>
      <tp t="s">
        <v>#N/A Field Not Applicable</v>
        <stp/>
        <stp>##V3_BDPV12</stp>
        <stp>BBG00GTY47H0 FIGI</stp>
        <stp>CAPITAL_CONTINGENT_SECURITY</stp>
        <stp>[DIF_Risk_20200430.xlsm]Geneva investment position repo!R26C42</stp>
        <tr r="AP26" s="1"/>
      </tp>
      <tp t="s">
        <v>BBG00LD1QR26</v>
        <stp/>
        <stp>##V3_BDPV12</stp>
        <stp>788 HK Equity</stp>
        <stp>ID_BB_GLOBAL</stp>
        <stp>[DIF_Risk_20200430.xlsm]Geneva investment position repo!R12C18</stp>
        <tr r="R12" s="1"/>
      </tp>
      <tp t="s">
        <v>BBG000BGW354</v>
        <stp/>
        <stp>##V3_BDPV12</stp>
        <stp>388 HK Equity</stp>
        <stp>ID_BB_GLOBAL</stp>
        <stp>[DIF_Risk_20200430.xlsm]Geneva investment position repo!R17C18</stp>
        <tr r="R17" s="1"/>
      </tp>
      <tp t="s">
        <v>CN</v>
        <stp/>
        <stp>##V3_BDPV12</stp>
        <stp>BBG00PQ3PWZ3 FIGI</stp>
        <stp>CNTRY_OF_RISK</stp>
        <stp>[DIF_Risk_20200430.xlsm]Geneva investment position repo!R84C38</stp>
        <tr r="AL84" s="1"/>
      </tp>
      <tp t="s">
        <v>1/8/2020</v>
        <stp/>
        <stp>##V3_BDPV12</stp>
        <stp>BBG00RCY5V08 FIGI</stp>
        <stp>FITCH_EFF_DT</stp>
        <stp>[DIF_Risk_20200430.xlsm]Geneva investment position repo!R39C73</stp>
        <tr r="BU39" s="1"/>
      </tp>
      <tp t="s">
        <v>ACTV</v>
        <stp/>
        <stp>##V3_BDPV12</stp>
        <stp>BBG00GDDS1Y1 FIGI</stp>
        <stp>EXCH_MARKET_STATUS</stp>
        <stp>[DIF_Risk_20200430.xlsm]Geneva investment position repo!R109C44</stp>
        <tr r="AR109" s="1"/>
        <tr r="AR109" s="1"/>
      </tp>
      <tp t="s">
        <v>#N/A Field Not Applicable</v>
        <stp/>
        <stp>##V3_BDPV12</stp>
        <stp>BBG00K67R1J1 FIGI</stp>
        <stp>CAPITAL_CONTINGENT_SECURITY</stp>
        <stp>[DIF_Risk_20200430.xlsm]Geneva investment position repo!R171C42</stp>
        <tr r="AP171" s="1"/>
      </tp>
      <tp>
        <v>9.6494680515140931</v>
        <stp/>
        <stp>##V3_BDPV12</stp>
        <stp>XS2100653778 ISIN</stp>
        <stp>YLD_YTM_MID</stp>
        <stp>[DIF_Risk_20200430.xlsm]Geneva investment position repo!R172C61</stp>
        <tr r="BI172" s="1"/>
      </tp>
      <tp t="s">
        <v>BBG00R9LVRX4</v>
        <stp/>
        <stp>##V3_BDPV12</stp>
        <stp>XS2100653778 ISIN</stp>
        <stp>ID_BB_GLOBAL</stp>
        <stp>[DIF_Risk_20200430.xlsm]Geneva investment position repo!R172C18</stp>
        <tr r="R172" s="1"/>
      </tp>
      <tp>
        <v>1.581305827123471</v>
        <stp/>
        <stp>##V3_BDPV12</stp>
        <stp>XS2008157856 ISIN</stp>
        <stp>DUR_ADJ_MID</stp>
        <stp>[DIF_Risk_20200430.xlsm]Geneva investment position repo!R156C59</stp>
        <tr r="BG156" s="1"/>
      </tp>
      <tp>
        <v>5.6849342822458411</v>
        <stp/>
        <stp>##V3_BDPV12</stp>
        <stp>XS1788498167 ISIN</stp>
        <stp>YLD_YTM_MID</stp>
        <stp>[DIF_Risk_20200430.xlsm]Geneva investment position repo!R171C61</stp>
        <tr r="BI171" s="1"/>
      </tp>
      <tp>
        <v>4.3277453275396613</v>
        <stp/>
        <stp>##V3_BDPV12</stp>
        <stp>XS2120069047 ISIN</stp>
        <stp>DUR_ADJ_MID</stp>
        <stp>[DIF_Risk_20200430.xlsm]Geneva investment position repo!R137C59</stp>
        <tr r="BG137" s="1"/>
      </tp>
      <tp>
        <v>2.6391158974667377</v>
        <stp/>
        <stp>##V3_BDPV12</stp>
        <stp>US948596AD39 ISIN</stp>
        <stp>YLD_YTM_MID</stp>
        <stp>[DIF_Risk_20200430.xlsm]Geneva investment position repo!R166C61</stp>
        <tr r="BI166" s="1"/>
      </tp>
      <tp>
        <v>5.311032732062551</v>
        <stp/>
        <stp>##V3_BDPV12</stp>
        <stp>XS1772325210 ISIN</stp>
        <stp>YLD_YTM_MID</stp>
        <stp>[DIF_Risk_20200430.xlsm]Geneva investment position repo!R101C61</stp>
        <tr r="BI101" s="1"/>
      </tp>
      <tp>
        <v>5.0686814530520774</v>
        <stp/>
        <stp>##V3_BDPV12</stp>
        <stp>XS1645451565 ISIN</stp>
        <stp>YLD_YTM_MID</stp>
        <stp>[DIF_Risk_20200430.xlsm]Geneva investment position repo!R130C61</stp>
        <tr r="BI130" s="1"/>
      </tp>
      <tp t="s">
        <v>BBG00HC2ZDQ9</v>
        <stp/>
        <stp>##V3_BDPV12</stp>
        <stp>XS1594400449 ISIN</stp>
        <stp>ID_BB_GLOBAL</stp>
        <stp>[DIF_Risk_20200430.xlsm]Geneva investment position repo!R151C18</stp>
        <tr r="R151" s="1"/>
      </tp>
      <tp>
        <v>7.2167792263130908</v>
        <stp/>
        <stp>##V3_BDPV12</stp>
        <stp>XS2078556342 ISIN</stp>
        <stp>YLD_YTM_MID</stp>
        <stp>[DIF_Risk_20200430.xlsm]Geneva investment position repo!R131C61</stp>
        <tr r="BI131" s="1"/>
      </tp>
      <tp>
        <v>0.36252351497553592</v>
        <stp/>
        <stp>##V3_BDPV12</stp>
        <stp>XS1692254359 ISIN</stp>
        <stp>DUR_ADJ_MID</stp>
        <stp>[DIF_Risk_20200430.xlsm]Geneva investment position repo!R119C59</stp>
        <tr r="BG119" s="1"/>
      </tp>
      <tp>
        <v>12.843951791596956</v>
        <stp/>
        <stp>##V3_BDPV12</stp>
        <stp>XS2099273737 ISIN</stp>
        <stp>YLD_YTM_MID</stp>
        <stp>[DIF_Risk_20200430.xlsm]Geneva investment position repo!R106C61</stp>
        <tr r="BI106" s="1"/>
      </tp>
      <tp t="s">
        <v>ACTV</v>
        <stp/>
        <stp>##V3_BDPV12</stp>
        <stp>BBG00NB7K829 FIGI</stp>
        <stp>EXCH_MARKET_STATUS</stp>
        <stp>[DIF_Risk_20200430.xlsm]Geneva investment position repo!R162C44</stp>
        <tr r="AR162" s="1"/>
        <tr r="AR162" s="1"/>
      </tp>
      <tp>
        <v>5.2130272496953447</v>
        <stp/>
        <stp>##V3_BDPV12</stp>
        <stp>XS1861032628 ISIN</stp>
        <stp>YLD_YTM_MID</stp>
        <stp>[DIF_Risk_20200430.xlsm]Geneva investment position repo!R154C61</stp>
        <tr r="BI154" s="1"/>
      </tp>
      <tp t="s">
        <v>CN</v>
        <stp/>
        <stp>##V3_BDPV12</stp>
        <stp>BBG00NV886P8 FIGI</stp>
        <stp>CNTRY_OF_RISK</stp>
        <stp>[DIF_Risk_20200430.xlsm]Geneva investment position repo!R72C38</stp>
        <tr r="AL72" s="1"/>
      </tp>
      <tp t="s">
        <v>#N/A Field Not Applicable</v>
        <stp/>
        <stp>##V3_BDPV12</stp>
        <stp>BBG00LNF6KZ5 FIGI</stp>
        <stp>SECURITY_TYP2</stp>
        <stp>[DIF_Risk_20200430.xlsm]Geneva investment position repo!R144C21</stp>
        <tr r="U144" s="1"/>
      </tp>
      <tp t="s">
        <v>6/21/2019</v>
        <stp/>
        <stp>##V3_BDPV12</stp>
        <stp>BBG00PGHK257 FIGI</stp>
        <stp>FITCH_EFF_DT</stp>
        <stp>[DIF_Risk_20200430.xlsm]Geneva investment position repo!R87C73</stp>
        <tr r="BU87" s="1"/>
      </tp>
      <tp t="s">
        <v>#N/A N/A</v>
        <stp/>
        <stp>##V3_BDPV12</stp>
        <stp>BBG00MKJ4690 FIGI</stp>
        <stp>FITCH_EFF_DT</stp>
        <stp>[DIF_Risk_20200430.xlsm]Geneva investment position repo!R54C73</stp>
        <tr r="BU54" s="1"/>
      </tp>
      <tp t="s">
        <v>IN</v>
        <stp/>
        <stp>##V3_BDPV12</stp>
        <stp>BBG00QJ3FR72 FIGI</stp>
        <stp>CNTRY_OF_RISK</stp>
        <stp>[DIF_Risk_20200430.xlsm]Geneva investment position repo!R37C38</stp>
        <tr r="AL37" s="1"/>
      </tp>
      <tp t="s">
        <v>4/17/2020</v>
        <stp/>
        <stp>##V3_BDPV12</stp>
        <stp>BBG00T6LY8D4 FIGI</stp>
        <stp>FITCH_EFF_DT</stp>
        <stp>[DIF_Risk_20200430.xlsm]Geneva investment position repo!R94C73</stp>
        <tr r="BU94" s="1"/>
      </tp>
      <tp t="s">
        <v>#N/A Field Not Applicable</v>
        <stp/>
        <stp>##V3_BDPV12</stp>
        <stp>BBG00PF578H3 FIGI</stp>
        <stp>SECURITY_TYP2</stp>
        <stp>[DIF_Risk_20200430.xlsm]Geneva investment position repo!R181C21</stp>
        <tr r="U181" s="1"/>
      </tp>
      <tp t="s">
        <v>#N/A Field Not Applicable</v>
        <stp/>
        <stp>##V3_BDPV12</stp>
        <stp>BBG00KMQKL04 FIGI</stp>
        <stp>CAPITAL_CONTINGENT_SECURITY</stp>
        <stp>[DIF_Risk_20200430.xlsm]Geneva investment position repo!R169C42</stp>
        <tr r="AP169" s="1"/>
      </tp>
      <tp t="s">
        <v>ACTV</v>
        <stp/>
        <stp>##V3_BDPV12</stp>
        <stp>BBG00NV899R9 FIGI</stp>
        <stp>EXCH_MARKET_STATUS</stp>
        <stp>[DIF_Risk_20200430.xlsm]Geneva investment position repo!R168C44</stp>
        <tr r="AR168" s="1"/>
        <tr r="AR168" s="1"/>
      </tp>
      <tp t="s">
        <v>#N/A Field Not Applicable</v>
        <stp/>
        <stp>##V3_BDPV12</stp>
        <stp>BBG00PKGTF65 FIGI</stp>
        <stp>CAPITAL_CONTINGENT_SECURITY</stp>
        <stp>[DIF_Risk_20200430.xlsm]Geneva investment position repo!R164C42</stp>
        <tr r="AP164" s="1"/>
      </tp>
      <tp t="s">
        <v>#N/A Field Not Applicable</v>
        <stp/>
        <stp>##V3_BDPV12</stp>
        <stp>BBG00P7N38J5 FIGI</stp>
        <stp>CAPITAL_CONTINGENT_SECURITY</stp>
        <stp>[DIF_Risk_20200430.xlsm]Geneva investment position repo!R175C42</stp>
        <tr r="AP175" s="1"/>
      </tp>
      <tp t="s">
        <v>#N/A Field Not Applicable</v>
        <stp/>
        <stp>##V3_BDPV12</stp>
        <stp>BBG00PKD4F69 FIGI</stp>
        <stp>CAPITAL_CONTINGENT_SECURITY</stp>
        <stp>[DIF_Risk_20200430.xlsm]Geneva investment position repo!R145C42</stp>
        <tr r="AP145" s="1"/>
      </tp>
      <tp t="s">
        <v>#N/A Field Not Applicable</v>
        <stp/>
        <stp>##V3_BDPV12</stp>
        <stp>BBG00TJ8VS75 FIGI</stp>
        <stp>CAPITAL_CONTINGENT_SECURITY</stp>
        <stp>[DIF_Risk_20200430.xlsm]Geneva investment position repo!R167C42</stp>
        <tr r="AP167" s="1"/>
      </tp>
      <tp>
        <v>6.4168030382869619</v>
        <stp/>
        <stp>##V3_BDPV12</stp>
        <stp>XS1945401674 ISIN</stp>
        <stp>YLD_YTM_MID</stp>
        <stp>[DIF_Risk_20200430.xlsm]Geneva investment position repo!R162C61</stp>
        <tr r="BI162" s="1"/>
      </tp>
      <tp>
        <v>6.9504190022966492</v>
        <stp/>
        <stp>##V3_BDPV12</stp>
        <stp>XS1809258210 ISIN</stp>
        <stp>YLD_YTM_MID</stp>
        <stp>[DIF_Risk_20200430.xlsm]Geneva investment position repo!R169C61</stp>
        <tr r="BI169" s="1"/>
      </tp>
      <tp t="s">
        <v>BBG00N14RT60</v>
        <stp/>
        <stp>##V3_BDPV12</stp>
        <stp>XS1936202644 ISIN</stp>
        <stp>ID_BB_GLOBAL</stp>
        <stp>[DIF_Risk_20200430.xlsm]Geneva investment position repo!R153C18</stp>
        <tr r="R153" s="1"/>
      </tp>
      <tp t="s">
        <v>BBG00KNCMN62</v>
        <stp/>
        <stp>##V3_BDPV12</stp>
        <stp>XS1808311424 ISIN</stp>
        <stp>ID_BB_GLOBAL</stp>
        <stp>[DIF_Risk_20200430.xlsm]Geneva investment position repo!R102C18</stp>
        <tr r="R102" s="1"/>
      </tp>
      <tp t="s">
        <v>BBG00N9X3LW2</v>
        <stp/>
        <stp>##V3_BDPV12</stp>
        <stp>XS1951935847 ISIN</stp>
        <stp>ID_BB_GLOBAL</stp>
        <stp>[DIF_Risk_20200430.xlsm]Geneva investment position repo!R180C18</stp>
        <tr r="R180" s="1"/>
      </tp>
      <tp>
        <v>3.4841296074986823</v>
        <stp/>
        <stp>##V3_BDPV12</stp>
        <stp>XS1856024432 ISIN</stp>
        <stp>YLD_YTM_MID</stp>
        <stp>[DIF_Risk_20200430.xlsm]Geneva investment position repo!R144C61</stp>
        <tr r="BI144" s="1"/>
      </tp>
      <tp t="s">
        <v>BBG00NHNXCH9</v>
        <stp/>
        <stp>##V3_BDPV12</stp>
        <stp>XS1960071303 ISIN</stp>
        <stp>ID_BB_GLOBAL</stp>
        <stp>[DIF_Risk_20200430.xlsm]Geneva investment position repo!R179C18</stp>
        <tr r="R179" s="1"/>
      </tp>
      <tp t="s">
        <v>BBG00NWVJPB7</v>
        <stp/>
        <stp>##V3_BDPV12</stp>
        <stp>XS1976760782 ISIN</stp>
        <stp>ID_BB_GLOBAL</stp>
        <stp>[DIF_Risk_20200430.xlsm]Geneva investment position repo!R141C18</stp>
        <tr r="R141" s="1"/>
      </tp>
      <tp>
        <v>8.3207219210710548</v>
        <stp/>
        <stp>##V3_BDPV12</stp>
        <stp>XS2155352664 ISIN</stp>
        <stp>DUR_ADJ_MID</stp>
        <stp>[DIF_Risk_20200430.xlsm]Geneva investment position repo!R133C59</stp>
        <tr r="BG133" s="1"/>
      </tp>
      <tp>
        <v>9.1755444129536521</v>
        <stp/>
        <stp>##V3_BDPV12</stp>
        <stp>XS1976766045 ISIN</stp>
        <stp>YLD_YTM_MID</stp>
        <stp>[DIF_Risk_20200430.xlsm]Geneva investment position repo!R165C61</stp>
        <tr r="BI165" s="1"/>
      </tp>
      <tp t="s">
        <v>BBG00NB7K829</v>
        <stp/>
        <stp>##V3_BDPV12</stp>
        <stp>XS1945401674 ISIN</stp>
        <stp>ID_BB_GLOBAL</stp>
        <stp>[DIF_Risk_20200430.xlsm]Geneva investment position repo!R162C18</stp>
        <tr r="R162" s="1"/>
      </tp>
      <tp t="s">
        <v>BBG00MNS44N6</v>
        <stp/>
        <stp>##V3_BDPV12</stp>
        <stp>XS1917764372 ISIN</stp>
        <stp>ID_BB_GLOBAL</stp>
        <stp>[DIF_Risk_20200430.xlsm]Geneva investment position repo!R129C18</stp>
        <tr r="R129" s="1"/>
      </tp>
      <tp t="s">
        <v>BBG00N0J9QB8</v>
        <stp/>
        <stp>##V3_BDPV12</stp>
        <stp>XS1932406314 ISIN</stp>
        <stp>ID_BB_GLOBAL</stp>
        <stp>[DIF_Risk_20200430.xlsm]Geneva investment position repo!R132C18</stp>
        <tr r="R132" s="1"/>
      </tp>
      <tp>
        <v>3.2404887800113267</v>
        <stp/>
        <stp>##V3_BDPV12</stp>
        <stp>XS1892105823 ISIN</stp>
        <stp>YLD_YTM_MID</stp>
        <stp>[DIF_Risk_20200430.xlsm]Geneva investment position repo!R142C61</stp>
        <tr r="BI142" s="1"/>
      </tp>
      <tp>
        <v>0.4566040031019174</v>
        <stp/>
        <stp>##V3_BDPV12</stp>
        <stp>XS1908223545 ISIN</stp>
        <stp>DUR_ADJ_MID</stp>
        <stp>[DIF_Risk_20200430.xlsm]Geneva investment position repo!R135C59</stp>
        <tr r="BG135" s="1"/>
      </tp>
      <tp>
        <v>7.6776086143575943</v>
        <stp/>
        <stp>##V3_BDPV12</stp>
        <stp>XS2075937297 ISIN</stp>
        <stp>YLD_YTM_MID</stp>
        <stp>[DIF_Risk_20200430.xlsm]Geneva investment position repo!R149C61</stp>
        <tr r="BI149" s="1"/>
      </tp>
      <tp>
        <v>9.7588541417399153</v>
        <stp/>
        <stp>##V3_BDPV12</stp>
        <stp>XS2056435246 ISIN</stp>
        <stp>YLD_YTM_MID</stp>
        <stp>[DIF_Risk_20200430.xlsm]Geneva investment position repo!R155C61</stp>
        <tr r="BI155" s="1"/>
      </tp>
      <tp>
        <v>0.59620009571861965</v>
        <stp/>
        <stp>##V3_BDPV12</stp>
        <stp>XS1936202644 ISIN</stp>
        <stp>DUR_ADJ_MID</stp>
        <stp>[DIF_Risk_20200430.xlsm]Geneva investment position repo!R153C59</stp>
        <tr r="BG153" s="1"/>
      </tp>
      <tp t="s">
        <v>BBG00KMQKL04</v>
        <stp/>
        <stp>##V3_BDPV12</stp>
        <stp>XS1809258210 ISIN</stp>
        <stp>ID_BB_GLOBAL</stp>
        <stp>[DIF_Risk_20200430.xlsm]Geneva investment position repo!R169C18</stp>
        <tr r="R169" s="1"/>
      </tp>
      <tp>
        <v>5.6221762776169264</v>
        <stp/>
        <stp>##V3_BDPV12</stp>
        <stp>XS1870205819 ISIN</stp>
        <stp>YLD_YTM_MID</stp>
        <stp>[DIF_Risk_20200430.xlsm]Geneva investment position repo!R104C61</stp>
        <tr r="BI104" s="1"/>
      </tp>
      <tp>
        <v>7.3698430160793507</v>
        <stp/>
        <stp>##V3_BDPV12</stp>
        <stp>XS1810024338 ISIN</stp>
        <stp>YLD_YTM_MID</stp>
        <stp>[DIF_Risk_20200430.xlsm]Geneva investment position repo!R152C61</stp>
        <tr r="BI152" s="1"/>
      </tp>
      <tp>
        <v>1.4067556151193079</v>
        <stp/>
        <stp>##V3_BDPV12</stp>
        <stp>XS2013512608 ISIN</stp>
        <stp>DUR_ADJ_MID</stp>
        <stp>[DIF_Risk_20200430.xlsm]Geneva investment position repo!R181C59</stp>
        <tr r="BG181" s="1"/>
      </tp>
      <tp>
        <v>30.442064682618796</v>
        <stp/>
        <stp>##V3_BDPV12</stp>
        <stp>XS1871087133 ISIN</stp>
        <stp>YLD_YTM_MID</stp>
        <stp>[DIF_Risk_20200430.xlsm]Geneva investment position repo!R108C61</stp>
        <tr r="BI108" s="1"/>
      </tp>
      <tp t="s">
        <v>#N/A Field Not Applicable</v>
        <stp/>
        <stp>##V3_BDPV12</stp>
        <stp>BBG00NDM7WZ0 FIGI</stp>
        <stp>SECURITY_TYP2</stp>
        <stp>[DIF_Risk_20200430.xlsm]Geneva investment position repo!R103C21</stp>
        <tr r="U103" s="1"/>
      </tp>
      <tp>
        <v>8.2143479491419527</v>
        <stp/>
        <stp>##V3_BDPV12</stp>
        <stp>US00131MAJ27 ISIN</stp>
        <stp>DUR_ADJ_MID</stp>
        <stp>[DIF_Risk_20200430.xlsm]Geneva investment position repo!R31C59</stp>
        <tr r="BG31" s="1"/>
      </tp>
      <tp>
        <v>2.4383360746908429</v>
        <stp/>
        <stp>##V3_BDPV12</stp>
        <stp>US00131MAJ27 ISIN</stp>
        <stp>YLD_YTM_MID</stp>
        <stp>[DIF_Risk_20200430.xlsm]Geneva investment position repo!R31C61</stp>
        <tr r="BI31" s="1"/>
      </tp>
      <tp t="s">
        <v>#N/A N/A</v>
        <stp/>
        <stp>##V3_BDPV12</stp>
        <stp>BBG00FP0FP88 FIGI</stp>
        <stp>MOODY_EFF_DT</stp>
        <stp>[DIF_Risk_20200430.xlsm]Geneva investment position repo!R96C72</stp>
        <tr r="BT96" s="1"/>
      </tp>
      <tp t="s">
        <v>5/11/2018</v>
        <stp/>
        <stp>##V3_BDPV12</stp>
        <stp>BBG00L07ZBX8 FIGI</stp>
        <stp>MOODY_EFF_DT</stp>
        <stp>[DIF_Risk_20200430.xlsm]Geneva investment position repo!R66C72</stp>
        <tr r="BT66" s="1"/>
      </tp>
      <tp t="s">
        <v>4/29/2020</v>
        <stp/>
        <stp>##V3_BDPV12</stp>
        <stp>BBG00T8645P1 FIGI</stp>
        <stp>MOODY_EFF_DT</stp>
        <stp>[DIF_Risk_20200430.xlsm]Geneva investment position repo!R70C72</stp>
        <tr r="BT70" s="1"/>
      </tp>
      <tp t="s">
        <v>#N/A Field Not Applicable</v>
        <stp/>
        <stp>##V3_BDPV12</stp>
        <stp>BBG00MNS44N6 FIGI</stp>
        <stp>SECURITY_TYP2</stp>
        <stp>[DIF_Risk_20200430.xlsm]Geneva investment position repo!R129C21</stp>
        <tr r="U129" s="1"/>
      </tp>
      <tp t="s">
        <v>#N/A N/A</v>
        <stp/>
        <stp>##V3_BDPV12</stp>
        <stp>BBG00RYDWX24 FIGI</stp>
        <stp>MOODY_EFF_DT</stp>
        <stp>[DIF_Risk_20200430.xlsm]Geneva investment position repo!R85C72</stp>
        <tr r="BT85" s="1"/>
      </tp>
      <tp t="s">
        <v>BBG00HPPFXF4</v>
        <stp/>
        <stp>##V3_BDPV12</stp>
        <stp>XS1684793018 Perfshs ISIN</stp>
        <stp>ID_BB_GLOBAL</stp>
        <stp>[DIF_Risk_20200430.xlsm]Geneva investment position repo!R127C18</stp>
        <tr r="R127" s="1"/>
      </tp>
      <tp>
        <v>2.6669742348404837</v>
        <stp/>
        <stp>##V3_BDPV12</stp>
        <stp>US74435KAA34 ISIN</stp>
        <stp>YLD_YTM_MID</stp>
        <stp>[DIF_Risk_20200430.xlsm]Geneva investment position repo!R128C61</stp>
        <tr r="BI128" s="1"/>
      </tp>
      <tp t="s">
        <v>#N/A Field Not Applicable</v>
        <stp/>
        <stp>##V3_BDPV12</stp>
        <stp>BBG00NG9J699 FIGI</stp>
        <stp>CAPITAL_CONTINGENT_SECURITY</stp>
        <stp>[DIF_Risk_20200430.xlsm]Geneva investment position repo!R139C42</stp>
        <tr r="AP139" s="1"/>
      </tp>
      <tp t="s">
        <v>ACTV</v>
        <stp/>
        <stp>##V3_BDPV12</stp>
        <stp>BBG00LSRS878 FIGI</stp>
        <stp>EXCH_MARKET_STATUS</stp>
        <stp>[DIF_Risk_20200430.xlsm]Geneva investment position repo!R104C44</stp>
        <tr r="AR104" s="1"/>
        <tr r="AR104" s="1"/>
      </tp>
      <tp>
        <v>0.48436782368843223</v>
        <stp/>
        <stp>##V3_BDPV12</stp>
        <stp>XS1728036952 ISIN</stp>
        <stp>DUR_ADJ_MID</stp>
        <stp>[DIF_Risk_20200430.xlsm]Geneva investment position repo!R176C59</stp>
        <tr r="BG176" s="1"/>
      </tp>
      <tp>
        <v>1.6484255349764605</v>
        <stp/>
        <stp>##V3_BDPV12</stp>
        <stp>XS1976473618 ISIN</stp>
        <stp>DUR_ADJ_MID</stp>
        <stp>[DIF_Risk_20200430.xlsm]Geneva investment position repo!R136C59</stp>
        <tr r="BG136" s="1"/>
      </tp>
      <tp>
        <v>6.9317466203667149</v>
        <stp/>
        <stp>##V3_BDPV12</stp>
        <stp>XS1594400449 ISIN</stp>
        <stp>YLD_YTM_MID</stp>
        <stp>[DIF_Risk_20200430.xlsm]Geneva investment position repo!R151C61</stp>
        <tr r="BI151" s="1"/>
      </tp>
      <tp t="s">
        <v>BBG00MNWHQT8</v>
        <stp/>
        <stp>##V3_BDPV12</stp>
        <stp>XS1908223545 ISIN</stp>
        <stp>ID_BB_GLOBAL</stp>
        <stp>[DIF_Risk_20200430.xlsm]Geneva investment position repo!R135C18</stp>
        <tr r="R135" s="1"/>
      </tp>
      <tp>
        <v>7.8862192091514274</v>
        <stp/>
        <stp>##V3_BDPV12</stp>
        <stp>XS1960071303 ISIN</stp>
        <stp>YLD_YTM_MID</stp>
        <stp>[DIF_Risk_20200430.xlsm]Geneva investment position repo!R179C61</stp>
        <tr r="BI179" s="1"/>
      </tp>
      <tp>
        <v>2.0888672835529056</v>
        <stp/>
        <stp>##V3_BDPV12</stp>
        <stp>XS1917764372 ISIN</stp>
        <stp>YLD_YTM_MID</stp>
        <stp>[DIF_Risk_20200430.xlsm]Geneva investment position repo!R129C61</stp>
        <tr r="BI129" s="1"/>
      </tp>
      <tp>
        <v>2.7194619606034447</v>
        <stp/>
        <stp>##V3_BDPV12</stp>
        <stp>XS2027426027 ISIN</stp>
        <stp>DUR_ADJ_MID</stp>
        <stp>[DIF_Risk_20200430.xlsm]Geneva investment position repo!R161C59</stp>
        <tr r="BG161" s="1"/>
      </tp>
      <tp>
        <v>7.9264053001960093</v>
        <stp/>
        <stp>##V3_BDPV12</stp>
        <stp>XS1973241125 ISIN</stp>
        <stp>YLD_YTM_MID</stp>
        <stp>[DIF_Risk_20200430.xlsm]Geneva investment position repo!R160C61</stp>
        <tr r="BI160" s="1"/>
      </tp>
      <tp>
        <v>1.1015849921588494</v>
        <stp/>
        <stp>##V3_BDPV12</stp>
        <stp>XS2163022739 ISIN</stp>
        <stp>YLD_YTM_MID</stp>
        <stp>[DIF_Risk_20200430.xlsm]Geneva investment position repo!R147C61</stp>
        <tr r="BI147" s="1"/>
      </tp>
      <tp>
        <v>5.6978060649017177</v>
        <stp/>
        <stp>##V3_BDPV12</stp>
        <stp>XS1954961295 ISIN</stp>
        <stp>YLD_YTM_MID</stp>
        <stp>[DIF_Risk_20200430.xlsm]Geneva investment position repo!R103C61</stp>
        <tr r="BI103" s="1"/>
      </tp>
      <tp>
        <v>3.7501790914003252</v>
        <stp/>
        <stp>##V3_BDPV12</stp>
        <stp>XS1958219922 ISIN</stp>
        <stp>YLD_YTM_MID</stp>
        <stp>[DIF_Risk_20200430.xlsm]Geneva investment position repo!R168C61</stp>
        <tr r="BI168" s="1"/>
      </tp>
      <tp>
        <v>3.9596902375807081</v>
        <stp/>
        <stp>##V3_BDPV12</stp>
        <stp>XS2010323009 ISIN</stp>
        <stp>YLD_YTM_MID</stp>
        <stp>[DIF_Risk_20200430.xlsm]Geneva investment position repo!R145C61</stp>
        <tr r="BI145" s="1"/>
      </tp>
      <tp>
        <v>0.59177959683091907</v>
        <stp/>
        <stp>##V3_BDPV12</stp>
        <stp>XS1932406314 ISIN</stp>
        <stp>DUR_ADJ_MID</stp>
        <stp>[DIF_Risk_20200430.xlsm]Geneva investment position repo!R132C59</stp>
        <tr r="BG132" s="1"/>
      </tp>
      <tp>
        <v>7.7210557805159521</v>
        <stp/>
        <stp>##V3_BDPV12</stp>
        <stp>XS2100444772 ISIN</stp>
        <stp>YLD_YTM_MID</stp>
        <stp>[DIF_Risk_20200430.xlsm]Geneva investment position repo!R148C61</stp>
        <tr r="BI148" s="1"/>
      </tp>
      <tp>
        <v>1.4887999104258627</v>
        <stp/>
        <stp>##V3_BDPV12</stp>
        <stp>XS1938265474 ISIN</stp>
        <stp>DUR_ADJ_MID</stp>
        <stp>[DIF_Risk_20200430.xlsm]Geneva investment position repo!R174C59</stp>
        <tr r="BG174" s="1"/>
      </tp>
      <tp>
        <v>3.1848683359331322</v>
        <stp/>
        <stp>##V3_BDPV12</stp>
        <stp>XS2030531938 ISIN</stp>
        <stp>DUR_ADJ_MID</stp>
        <stp>[DIF_Risk_20200430.xlsm]Geneva investment position repo!R170C59</stp>
        <tr r="BG170" s="1"/>
      </tp>
      <tp>
        <v>7.3050555124422782</v>
        <stp/>
        <stp>##V3_BDPV12</stp>
        <stp>XS1964673435 ISIN</stp>
        <stp>DUR_ADJ_MID</stp>
        <stp>[DIF_Risk_20200430.xlsm]Geneva investment position repo!R121C59</stp>
        <tr r="BG121" s="1"/>
      </tp>
      <tp>
        <v>7.0063634344418038</v>
        <stp/>
        <stp>##V3_BDPV12</stp>
        <stp>XS1957481440 ISIN</stp>
        <stp>YLD_YTM_MID</stp>
        <stp>[DIF_Risk_20200430.xlsm]Geneva investment position repo!R139C61</stp>
        <tr r="BI139" s="1"/>
      </tp>
      <tp t="s">
        <v>#N/A Field Not Applicable</v>
        <stp/>
        <stp>##V3_BDPV12</stp>
        <stp>BBG00PKD4F69 FIGI</stp>
        <stp>SECURITY_TYP2</stp>
        <stp>[DIF_Risk_20200430.xlsm]Geneva investment position repo!R145C21</stp>
        <tr r="U145" s="1"/>
      </tp>
      <tp>
        <v>3.9229199785178466</v>
        <stp/>
        <stp>##V3_BDPV12</stp>
        <stp>USY70902AB04 ISIN</stp>
        <stp>DUR_ADJ_MID</stp>
        <stp>[DIF_Risk_20200430.xlsm]Geneva investment position repo!R28C59</stp>
        <tr r="BG28" s="1"/>
      </tp>
      <tp t="s">
        <v>9/18/2018</v>
        <stp/>
        <stp>##V3_BDPV12</stp>
        <stp>BBG00M0MD1Z7 FIGI</stp>
        <stp>MOODY_EFF_DT</stp>
        <stp>[DIF_Risk_20200430.xlsm]Geneva investment position repo!R55C72</stp>
        <tr r="BT55" s="1"/>
      </tp>
      <tp t="s">
        <v>ID</v>
        <stp/>
        <stp>##V3_BDPV12</stp>
        <stp>BBG00QN3F2R0 FIGI</stp>
        <stp>CNTRY_OF_RISK</stp>
        <stp>[DIF_Risk_20200430.xlsm]Geneva investment position repo!R28C38</stp>
        <tr r="AL28" s="1"/>
      </tp>
      <tp t="s">
        <v>CN</v>
        <stp/>
        <stp>##V3_BDPV12</stp>
        <stp>BBG00RH7GJ34 FIGI</stp>
        <stp>CNTRY_OF_RISK</stp>
        <stp>[DIF_Risk_20200430.xlsm]Geneva investment position repo!R67C38</stp>
        <tr r="AL67" s="1"/>
      </tp>
      <tp>
        <v>6.4109379547407483</v>
        <stp/>
        <stp>##V3_BDPV12</stp>
        <stp>USY70902AB04 ISIN</stp>
        <stp>YLD_YTM_MID</stp>
        <stp>[DIF_Risk_20200430.xlsm]Geneva investment position repo!R28C61</stp>
        <tr r="BI28" s="1"/>
      </tp>
      <tp>
        <v>3.2307075208020515</v>
        <stp/>
        <stp>##V3_BDPV12</stp>
        <stp>US63111XAB73 ISIN</stp>
        <stp>YLD_YTM_MID</stp>
        <stp>[DIF_Risk_20200430.xlsm]Geneva investment position repo!R117C61</stp>
        <tr r="BI117" s="1"/>
      </tp>
      <tp t="s">
        <v>ACTV</v>
        <stp/>
        <stp>##V3_BDPV12</stp>
        <stp>BBG00CP5W6B3 FIGI</stp>
        <stp>EXCH_MARKET_STATUS</stp>
        <stp>[DIF_Risk_20200430.xlsm]Geneva investment position repo!R107C44</stp>
        <tr r="AR107" s="1"/>
        <tr r="AR107" s="1"/>
      </tp>
      <tp>
        <v>5.4296152309062862</v>
        <stp/>
        <stp>##V3_BDPV12</stp>
        <stp>XS1808311424 ISIN</stp>
        <stp>YLD_YTM_MID</stp>
        <stp>[DIF_Risk_20200430.xlsm]Geneva investment position repo!R102C61</stp>
        <tr r="BI102" s="1"/>
      </tp>
      <tp>
        <v>1.8418757493731024</v>
        <stp/>
        <stp>##V3_BDPV12</stp>
        <stp>XS1618163452 ISIN</stp>
        <stp>DUR_ADJ_MID</stp>
        <stp>[DIF_Risk_20200430.xlsm]Geneva investment position repo!R116C59</stp>
        <tr r="BG116" s="1"/>
      </tp>
      <tp>
        <v>12.41385469325644</v>
        <stp/>
        <stp>##V3_BDPV12</stp>
        <stp>XS1506085114 ISIN</stp>
        <stp>YLD_YTM_MID</stp>
        <stp>[DIF_Risk_20200430.xlsm]Geneva investment position repo!R105C61</stp>
        <tr r="BI105" s="1"/>
      </tp>
      <tp t="s">
        <v>BBG00CP5W6B3</v>
        <stp/>
        <stp>##V3_BDPV12</stp>
        <stp>XS1402194952 ISIN</stp>
        <stp>ID_BB_GLOBAL</stp>
        <stp>[DIF_Risk_20200430.xlsm]Geneva investment position repo!R107C18</stp>
        <tr r="R107" s="1"/>
      </tp>
      <tp>
        <v>1.3733791975132534</v>
        <stp/>
        <stp>##V3_BDPV12</stp>
        <stp>XS1402194952 ISIN</stp>
        <stp>DUR_ADJ_MID</stp>
        <stp>[DIF_Risk_20200430.xlsm]Geneva investment position repo!R107C59</stp>
        <tr r="BG107" s="1"/>
      </tp>
      <tp>
        <v>6.1411909313024804</v>
        <stp/>
        <stp>##V3_BDPV12</stp>
        <stp>XS2099677747 ISIN</stp>
        <stp>YLD_YTM_MID</stp>
        <stp>[DIF_Risk_20200430.xlsm]Geneva investment position repo!R100C61</stp>
        <tr r="BI100" s="1"/>
      </tp>
      <tp>
        <v>3.7696064354674088</v>
        <stp/>
        <stp>##V3_BDPV12</stp>
        <stp>XS2121187962 ISIN</stp>
        <stp>DUR_ADJ_MID</stp>
        <stp>[DIF_Risk_20200430.xlsm]Geneva investment position repo!R173C59</stp>
        <tr r="BG173" s="1"/>
      </tp>
      <tp>
        <v>1.8641826271087028</v>
        <stp/>
        <stp>##V3_BDPV12</stp>
        <stp>XS1831038143 ISIN</stp>
        <stp>DUR_ADJ_MID</stp>
        <stp>[DIF_Risk_20200430.xlsm]Geneva investment position repo!R175C59</stp>
        <tr r="BG175" s="1"/>
      </tp>
      <tp>
        <v>5.1024318794063808</v>
        <stp/>
        <stp>##V3_BDPV12</stp>
        <stp>XS2115053626 ISIN</stp>
        <stp>YLD_YTM_MID</stp>
        <stp>[DIF_Risk_20200430.xlsm]Geneva investment position repo!R113C61</stp>
        <tr r="BI113" s="1"/>
      </tp>
      <tp>
        <v>10.516916970837249</v>
        <stp/>
        <stp>##V3_BDPV12</stp>
        <stp>XS2100664544 ISIN</stp>
        <stp>YLD_YTM_MID</stp>
        <stp>[DIF_Risk_20200430.xlsm]Geneva investment position repo!R159C61</stp>
        <tr r="BI159" s="1"/>
      </tp>
      <tp t="s">
        <v>BBG00NB7HXS0</v>
        <stp/>
        <stp>##V3_BDPV12</stp>
        <stp>XS1953029284 ISIN</stp>
        <stp>ID_BB_GLOBAL</stp>
        <stp>[DIF_Risk_20200430.xlsm]Geneva investment position repo!R143C18</stp>
        <tr r="R143" s="1"/>
      </tp>
      <tp t="s">
        <v>#N/A Field Not Applicable</v>
        <stp/>
        <stp>##V3_BDPV12</stp>
        <stp>BBG00RD35MV1 FIGI</stp>
        <stp>SECURITY_TYP2</stp>
        <stp>[DIF_Risk_20200430.xlsm]Geneva investment position repo!R118C21</stp>
        <tr r="U118" s="1"/>
      </tp>
      <tp t="s">
        <v>#N/A Field Not Applicable</v>
        <stp/>
        <stp>##V3_BDPV12</stp>
        <stp>BBG00NGF27D6 FIGI</stp>
        <stp>SECURITY_TYP2</stp>
        <stp>[DIF_Risk_20200430.xlsm]Geneva investment position repo!R114C21</stp>
        <tr r="U114" s="1"/>
      </tp>
      <tp t="s">
        <v>#N/A N/A</v>
        <stp/>
        <stp>##V3_BDPV12</stp>
        <stp>BBG00MTKPX96 FIGI</stp>
        <stp>MOODY_EFF_DT</stp>
        <stp>[DIF_Risk_20200430.xlsm]Geneva investment position repo!R57C72</stp>
        <tr r="BT57" s="1"/>
      </tp>
      <tp t="s">
        <v>#N/A Field Not Applicable</v>
        <stp/>
        <stp>##V3_BDPV12</stp>
        <stp>BBG000BGW354 FIGI</stp>
        <stp>FITCH_EFF_DT</stp>
        <stp>[DIF_Risk_20200430.xlsm]Geneva investment position repo!R17C73</stp>
        <tr r="BU17" s="1"/>
      </tp>
      <tp t="s">
        <v>CN</v>
        <stp/>
        <stp>##V3_BDPV12</stp>
        <stp>BBG00PQ3QH67 FIGI</stp>
        <stp>CNTRY_OF_RISK</stp>
        <stp>[DIF_Risk_20200430.xlsm]Geneva investment position repo!R73C38</stp>
        <tr r="AL73" s="1"/>
      </tp>
      <tp t="s">
        <v>12/11/2017</v>
        <stp/>
        <stp>##V3_BDPV12</stp>
        <stp>BBG00JCQ6Y42 FIGI</stp>
        <stp>FITCH_EFF_DT</stp>
        <stp>[DIF_Risk_20200430.xlsm]Geneva investment position repo!R33C73</stp>
        <tr r="BU33" s="1"/>
      </tp>
      <tp t="s">
        <v>BBG00T5WB7F6</v>
        <stp/>
        <stp>##V3_BDPV12</stp>
        <stp>USY68856AT38 ISIN</stp>
        <stp>ID_BB_GLOBAL</stp>
        <stp>[DIF_Risk_20200430.xlsm]Geneva investment position repo!R123C18</stp>
        <tr r="R123" s="1"/>
      </tp>
      <tp t="s">
        <v>BBG00B6SDBV4</v>
        <stp/>
        <stp>##V3_BDPV12</stp>
        <stp>USJ41838AA14 ISIN</stp>
        <stp>ID_BB_GLOBAL</stp>
        <stp>[DIF_Risk_20200430.xlsm]Geneva investment position repo!R115C18</stp>
        <tr r="R115" s="1"/>
      </tp>
      <tp t="s">
        <v>#N/A Field Not Applicable</v>
        <stp/>
        <stp>##V3_BDPV12</stp>
        <stp>BBG00KNCMN62 FIGI</stp>
        <stp>CAPITAL_CONTINGENT_SECURITY</stp>
        <stp>[DIF_Risk_20200430.xlsm]Geneva investment position repo!R102C42</stp>
        <tr r="AP102" s="1"/>
      </tp>
      <tp t="s">
        <v>#N/A Field Not Applicable</v>
        <stp/>
        <stp>##V3_BDPV12</stp>
        <stp>BBG00T2MWMJ1 FIGI</stp>
        <stp>CAPITAL_CONTINGENT_SECURITY</stp>
        <stp>[DIF_Risk_20200430.xlsm]Geneva investment position repo!R128C42</stp>
        <tr r="AP128" s="1"/>
      </tp>
      <tp>
        <v>5.7954223189282441</v>
        <stp/>
        <stp>##V3_BDPV12</stp>
        <stp>XS1936202644 ISIN</stp>
        <stp>YLD_YTM_MID</stp>
        <stp>[DIF_Risk_20200430.xlsm]Geneva investment position repo!R153C61</stp>
        <tr r="BI153" s="1"/>
      </tp>
      <tp>
        <v>3.0345432832324666</v>
        <stp/>
        <stp>##V3_BDPV12</stp>
        <stp>XS2075937297 ISIN</stp>
        <stp>DUR_ADJ_MID</stp>
        <stp>[DIF_Risk_20200430.xlsm]Geneva investment position repo!R149C59</stp>
        <tr r="BG149" s="1"/>
      </tp>
      <tp>
        <v>12.519716912073525</v>
        <stp/>
        <stp>##V3_BDPV12</stp>
        <stp>XS1908223545 ISIN</stp>
        <stp>YLD_YTM_MID</stp>
        <stp>[DIF_Risk_20200430.xlsm]Geneva investment position repo!R135C61</stp>
        <tr r="BI135" s="1"/>
      </tp>
      <tp t="s">
        <v>BBG00LNF6KZ5</v>
        <stp/>
        <stp>##V3_BDPV12</stp>
        <stp>XS1856024432 ISIN</stp>
        <stp>ID_BB_GLOBAL</stp>
        <stp>[DIF_Risk_20200430.xlsm]Geneva investment position repo!R144C18</stp>
        <tr r="R144" s="1"/>
      </tp>
      <tp>
        <v>1.3172871056367059</v>
        <stp/>
        <stp>##V3_BDPV12</stp>
        <stp>XS2056435246 ISIN</stp>
        <stp>DUR_ADJ_MID</stp>
        <stp>[DIF_Risk_20200430.xlsm]Geneva investment position repo!R155C59</stp>
        <tr r="BG155" s="1"/>
      </tp>
      <tp>
        <v>2.5207812706538255</v>
        <stp/>
        <stp>##V3_BDPV12</stp>
        <stp>XS1810024338 ISIN</stp>
        <stp>DUR_ADJ_MID</stp>
        <stp>[DIF_Risk_20200430.xlsm]Geneva investment position repo!R152C59</stp>
        <tr r="BG152" s="1"/>
      </tp>
      <tp t="s">
        <v>Life/Health Insurance</v>
        <stp/>
        <stp>##V3_BDPV12</stp>
        <stp>BBG0016XR1Q8 FIGI</stp>
        <stp>INDUSTRY_SUBGROUP</stp>
        <stp>[DIF_Risk_20200430.xlsm]Geneva investment position repo!R6C41</stp>
        <tr r="AO6" s="1"/>
      </tp>
      <tp>
        <v>1.0167287009351149</v>
        <stp/>
        <stp>##V3_BDPV12</stp>
        <stp>XS1871087133 ISIN</stp>
        <stp>DUR_ADJ_MID</stp>
        <stp>[DIF_Risk_20200430.xlsm]Geneva investment position repo!R108C59</stp>
        <tr r="BG108" s="1"/>
      </tp>
      <tp>
        <v>13.902198620022657</v>
        <stp/>
        <stp>##V3_BDPV12</stp>
        <stp>XS2013512608 ISIN</stp>
        <stp>YLD_YTM_MID</stp>
        <stp>[DIF_Risk_20200430.xlsm]Geneva investment position repo!R181C61</stp>
        <tr r="BI181" s="1"/>
      </tp>
      <tp t="s">
        <v>BBG00NQF0SC2</v>
        <stp/>
        <stp>##V3_BDPV12</stp>
        <stp>XS1973241125 ISIN</stp>
        <stp>ID_BB_GLOBAL</stp>
        <stp>[DIF_Risk_20200430.xlsm]Geneva investment position repo!R160C18</stp>
        <tr r="R160" s="1"/>
      </tp>
      <tp>
        <v>1.1644601922860778</v>
        <stp/>
        <stp>##V3_BDPV12</stp>
        <stp>XS1870205819 ISIN</stp>
        <stp>DUR_ADJ_MID</stp>
        <stp>[DIF_Risk_20200430.xlsm]Geneva investment position repo!R104C59</stp>
        <tr r="BG104" s="1"/>
      </tp>
      <tp t="s">
        <v>BBG00P7N38J5</v>
        <stp/>
        <stp>##V3_BDPV12</stp>
        <stp>XS1831038143 ISIN</stp>
        <stp>ID_BB_GLOBAL</stp>
        <stp>[DIF_Risk_20200430.xlsm]Geneva investment position repo!R175C18</stp>
        <tr r="R175" s="1"/>
      </tp>
      <tp>
        <v>2.5806730844923194</v>
        <stp/>
        <stp>##V3_BDPV12</stp>
        <stp>XS1809258210 ISIN</stp>
        <stp>DUR_ADJ_MID</stp>
        <stp>[DIF_Risk_20200430.xlsm]Geneva investment position repo!R169C59</stp>
        <tr r="BG169" s="1"/>
      </tp>
      <tp>
        <v>0.69370282103818759</v>
        <stp/>
        <stp>##V3_BDPV12</stp>
        <stp>XS1945401674 ISIN</stp>
        <stp>DUR_ADJ_MID</stp>
        <stp>[DIF_Risk_20200430.xlsm]Geneva investment position repo!R162C59</stp>
        <tr r="BG162" s="1"/>
      </tp>
      <tp>
        <v>1.2684812087050925</v>
        <stp/>
        <stp>##V3_BDPV12</stp>
        <stp>XS1976766045 ISIN</stp>
        <stp>DUR_ADJ_MID</stp>
        <stp>[DIF_Risk_20200430.xlsm]Geneva investment position repo!R165C59</stp>
        <tr r="BG165" s="1"/>
      </tp>
      <tp>
        <v>2.3964029590415943</v>
        <stp/>
        <stp>##V3_BDPV12</stp>
        <stp>XS2155352664 ISIN</stp>
        <stp>YLD_YTM_MID</stp>
        <stp>[DIF_Risk_20200430.xlsm]Geneva investment position repo!R133C61</stp>
        <tr r="BI133" s="1"/>
      </tp>
      <tp>
        <v>3.2620859007528886</v>
        <stp/>
        <stp>##V3_BDPV12</stp>
        <stp>XS1892105823 ISIN</stp>
        <stp>DUR_ADJ_MID</stp>
        <stp>[DIF_Risk_20200430.xlsm]Geneva investment position repo!R142C59</stp>
        <tr r="BG142" s="1"/>
      </tp>
      <tp>
        <v>2.8728069382824515</v>
        <stp/>
        <stp>##V3_BDPV12</stp>
        <stp>XS1856024432 ISIN</stp>
        <stp>DUR_ADJ_MID</stp>
        <stp>[DIF_Risk_20200430.xlsm]Geneva investment position repo!R144C59</stp>
        <tr r="BG144" s="1"/>
      </tp>
      <tp t="s">
        <v>US</v>
        <stp/>
        <stp>##V3_BDPV12</stp>
        <stp>BBG00T8646V2 FIGI</stp>
        <stp>CNTRY_OF_RISK</stp>
        <stp>[DIF_Risk_20200430.xlsm]Geneva investment position repo!R71C38</stp>
        <tr r="AL71" s="1"/>
      </tp>
      <tp t="s">
        <v>CN</v>
        <stp/>
        <stp>##V3_BDPV12</stp>
        <stp>BBG00GQ752P3 FIGI</stp>
        <stp>CNTRY_OF_RISK</stp>
        <stp>[DIF_Risk_20200430.xlsm]Geneva investment position repo!R99C38</stp>
        <tr r="AL99" s="1"/>
      </tp>
      <tp t="s">
        <v>2/27/2024</v>
        <stp/>
        <stp>##V3_BDPV12</stp>
        <stp>BBG00Q2B8JR6 FIGI</stp>
        <stp>CALC_MATURITY</stp>
        <stp>[DIF_Risk_20200430.xlsm]Geneva investment position repo!R170C55</stp>
        <tr r="BC170" s="1"/>
      </tp>
      <tp t="s">
        <v>#N/A Field Not Applicable</v>
        <stp/>
        <stp>##V3_BDPV12</stp>
        <stp>BBG00P7N38J5 FIGI</stp>
        <stp>SECURITY_TYP2</stp>
        <stp>[DIF_Risk_20200430.xlsm]Geneva investment position repo!R175C21</stp>
        <tr r="U175" s="1"/>
      </tp>
      <tp t="s">
        <v>#N/A Field Not Applicable</v>
        <stp/>
        <stp>##V3_BDPV12</stp>
        <stp>BBG00GQ752P3 FIGI</stp>
        <stp>CAPITAL_CONTINGENT_SECURITY</stp>
        <stp>[DIF_Risk_20200430.xlsm]Geneva investment position repo!R99C42</stp>
        <tr r="AP99" s="1"/>
      </tp>
      <tp t="s">
        <v>4/17/2022</v>
        <stp/>
        <stp>##V3_BDPV12</stp>
        <stp>BBG00NV899R9 FIGI</stp>
        <stp>CALC_MATURITY</stp>
        <stp>[DIF_Risk_20200430.xlsm]Geneva investment position repo!R168C55</stp>
        <tr r="BC168" s="1"/>
      </tp>
      <tp>
        <v>6.9771957937255658E-2</v>
        <stp/>
        <stp>##V3_BDPV12</stp>
        <stp>USG24524AH67 ISIN</stp>
        <stp>DUR_ADJ_MID</stp>
        <stp>[DIF_Risk_20200430.xlsm]Geneva investment position repo!R65C59</stp>
        <tr r="BG65" s="1"/>
      </tp>
      <tp t="s">
        <v>8/30/2021</v>
        <stp/>
        <stp>##V3_BDPV12</stp>
        <stp>BBG00LSR9049 FIGI</stp>
        <stp>CALC_MATURITY</stp>
        <stp>[DIF_Risk_20200430.xlsm]Geneva investment position repo!R108C55</stp>
        <tr r="BC108" s="1"/>
      </tp>
      <tp>
        <v>6.0370319222646938</v>
        <stp/>
        <stp>##V3_BDPV12</stp>
        <stp>USG24524AH67 ISIN</stp>
        <stp>YLD_YTM_MID</stp>
        <stp>[DIF_Risk_20200430.xlsm]Geneva investment position repo!R65C61</stp>
        <tr r="BI65" s="1"/>
      </tp>
      <tp t="s">
        <v>ACTV</v>
        <stp/>
        <stp>##V3_BDPV12</stp>
        <stp>BBG00GSCY4N6 FIGI</stp>
        <stp>EXCH_MARKET_STATUS</stp>
        <stp>[DIF_Risk_20200430.xlsm]Geneva investment position repo!R116C44</stp>
        <tr r="AR116" s="1"/>
        <tr r="AR116" s="1"/>
      </tp>
      <tp>
        <v>0.14339459118912129</v>
        <stp/>
        <stp>##V3_BDPV12</stp>
        <stp>XS1645451565 ISIN</stp>
        <stp>DUR_ADJ_MID</stp>
        <stp>[DIF_Risk_20200430.xlsm]Geneva investment position repo!R130C59</stp>
        <tr r="BG130" s="1"/>
      </tp>
      <tp t="s">
        <v>BBG00PF578H3</v>
        <stp/>
        <stp>##V3_BDPV12</stp>
        <stp>XS2013512608 ISIN</stp>
        <stp>ID_BB_GLOBAL</stp>
        <stp>[DIF_Risk_20200430.xlsm]Geneva investment position repo!R181C18</stp>
        <tr r="R181" s="1"/>
      </tp>
      <tp>
        <v>2.2014058761845279</v>
        <stp/>
        <stp>##V3_BDPV12</stp>
        <stp>XS2078556342 ISIN</stp>
        <stp>DUR_ADJ_MID</stp>
        <stp>[DIF_Risk_20200430.xlsm]Geneva investment position repo!R131C59</stp>
        <tr r="BG131" s="1"/>
      </tp>
      <tp>
        <v>0.74268758566031845</v>
        <stp/>
        <stp>##V3_BDPV12</stp>
        <stp>XS1772325210 ISIN</stp>
        <stp>DUR_ADJ_MID</stp>
        <stp>[DIF_Risk_20200430.xlsm]Geneva investment position repo!R101C59</stp>
        <tr r="BG101" s="1"/>
      </tp>
      <tp t="s">
        <v>BBG00K67R1J1</v>
        <stp/>
        <stp>##V3_BDPV12</stp>
        <stp>XS1788498167 ISIN</stp>
        <stp>ID_BB_GLOBAL</stp>
        <stp>[DIF_Risk_20200430.xlsm]Geneva investment position repo!R171C18</stp>
        <tr r="R171" s="1"/>
      </tp>
      <tp>
        <v>0.16523107653943264</v>
        <stp/>
        <stp>##V3_BDPV12</stp>
        <stp>XS1861032628 ISIN</stp>
        <stp>DUR_ADJ_MID</stp>
        <stp>[DIF_Risk_20200430.xlsm]Geneva investment position repo!R154C59</stp>
        <tr r="BG154" s="1"/>
      </tp>
      <tp>
        <v>3.54047830797994</v>
        <stp/>
        <stp>##V3_BDPV12</stp>
        <stp>XS2099273737 ISIN</stp>
        <stp>DUR_ADJ_MID</stp>
        <stp>[DIF_Risk_20200430.xlsm]Geneva investment position repo!R106C59</stp>
        <tr r="BG106" s="1"/>
      </tp>
      <tp>
        <v>7.8414967291929605</v>
        <stp/>
        <stp>##V3_BDPV12</stp>
        <stp>XS1692254359 ISIN</stp>
        <stp>YLD_YTM_MID</stp>
        <stp>[DIF_Risk_20200430.xlsm]Geneva investment position repo!R119C61</stp>
        <tr r="BI119" s="1"/>
      </tp>
      <tp t="s">
        <v>BBG00F2W1SP3</v>
        <stp/>
        <stp>##V3_BDPV12</stp>
        <stp>XS1506085114 ISIN</stp>
        <stp>ID_BB_GLOBAL</stp>
        <stp>[DIF_Risk_20200430.xlsm]Geneva investment position repo!R105C18</stp>
        <tr r="R105" s="1"/>
      </tp>
      <tp>
        <v>4.3067411499583921</v>
        <stp/>
        <stp>##V3_BDPV12</stp>
        <stp>XS2100653778 ISIN</stp>
        <stp>DUR_ADJ_MID</stp>
        <stp>[DIF_Risk_20200430.xlsm]Geneva investment position repo!R172C59</stp>
        <tr r="BG172" s="1"/>
      </tp>
      <tp>
        <v>2.8518273101324376</v>
        <stp/>
        <stp>##V3_BDPV12</stp>
        <stp>XS2120069047 ISIN</stp>
        <stp>YLD_YTM_MID</stp>
        <stp>[DIF_Risk_20200430.xlsm]Geneva investment position repo!R137C61</stp>
        <tr r="BI137" s="1"/>
      </tp>
      <tp>
        <v>3.69328394151642</v>
        <stp/>
        <stp>##V3_BDPV12</stp>
        <stp>US948596AD39 ISIN</stp>
        <stp>DUR_ADJ_MID</stp>
        <stp>[DIF_Risk_20200430.xlsm]Geneva investment position repo!R166C59</stp>
        <tr r="BG166" s="1"/>
      </tp>
      <tp t="s">
        <v>#N/A Field Not Applicable</v>
        <stp/>
        <stp>##V3_BDPV12</stp>
        <stp>BBG000PXTGY5 FIGI</stp>
        <stp>BOND_CLASSIFICATION_NAME</stp>
        <stp>[DIF_Risk_20200430.xlsm]Geneva investment position repo!R9C53</stp>
        <tr r="BA9" s="1"/>
      </tp>
      <tp>
        <v>0.73861012254936753</v>
        <stp/>
        <stp>##V3_BDPV12</stp>
        <stp>XS1788498167 ISIN</stp>
        <stp>DUR_ADJ_MID</stp>
        <stp>[DIF_Risk_20200430.xlsm]Geneva investment position repo!R171C59</stp>
        <tr r="BG171" s="1"/>
      </tp>
      <tp>
        <v>10.725619672152941</v>
        <stp/>
        <stp>##V3_BDPV12</stp>
        <stp>XS2008157856 ISIN</stp>
        <stp>YLD_YTM_MID</stp>
        <stp>[DIF_Risk_20200430.xlsm]Geneva investment position repo!R156C61</stp>
        <tr r="BI156" s="1"/>
      </tp>
      <tp t="s">
        <v>9/30/2024</v>
        <stp/>
        <stp>##V3_BDPV12</stp>
        <stp>BBG00QDN9PZ4 FIGI</stp>
        <stp>CALC_MATURITY</stp>
        <stp>[DIF_Risk_20200430.xlsm]Geneva investment position repo!R138C55</stp>
        <tr r="BC138" s="1"/>
      </tp>
      <tp t="s">
        <v>CN</v>
        <stp/>
        <stp>##V3_BDPV12</stp>
        <stp>BBG00RB35JZ6 FIGI</stp>
        <stp>CNTRY_OF_RISK</stp>
        <stp>[DIF_Risk_20200430.xlsm]Geneva investment position repo!R48C38</stp>
        <tr r="AL48" s="1"/>
      </tp>
      <tp t="s">
        <v>#N/A Field Not Applicable</v>
        <stp/>
        <stp>##V3_BDPV12</stp>
        <stp>BBG00LD1QR26 FIGI</stp>
        <stp>FITCH_EFF_DT</stp>
        <stp>[DIF_Risk_20200430.xlsm]Geneva investment position repo!R12C73</stp>
        <tr r="BU12" s="1"/>
      </tp>
      <tp t="s">
        <v>#N/A Field Not Applicable</v>
        <stp/>
        <stp>##V3_BDPV12</stp>
        <stp>BBG00N9X3LW2 FIGI</stp>
        <stp>SECURITY_TYP2</stp>
        <stp>[DIF_Risk_20200430.xlsm]Geneva investment position repo!R180C21</stp>
        <tr r="U180" s="1"/>
      </tp>
      <tp t="s">
        <v>7/2/2020</v>
        <stp/>
        <stp>##V3_BDPV12</stp>
        <stp>BBG00MTS9QX5 FIGI</stp>
        <stp>CALC_MATURITY</stp>
        <stp>[DIF_Risk_20200430.xlsm]Geneva investment position repo!R157C55</stp>
        <tr r="BC157" s="1"/>
      </tp>
      <tp t="s">
        <v>#N/A Field Not Applicable</v>
        <stp/>
        <stp>##V3_BDPV12</stp>
        <stp>BBG00NL43H88 FIGI</stp>
        <stp>SECURITY_TYP2</stp>
        <stp>[DIF_Risk_20200430.xlsm]Geneva investment position repo!R121C21</stp>
        <tr r="U121" s="1"/>
      </tp>
      <tp t="s">
        <v>1/14/2021</v>
        <stp/>
        <stp>##V3_BDPV12</stp>
        <stp>BBG00N0J9QB8 FIGI</stp>
        <stp>CALC_MATURITY</stp>
        <stp>[DIF_Risk_20200430.xlsm]Geneva investment position repo!R132C55</stp>
        <tr r="BC132" s="1"/>
      </tp>
      <tp t="s">
        <v>7/15/2019</v>
        <stp/>
        <stp>##V3_BDPV12</stp>
        <stp>BBG00H5KNJZ7 FIGI</stp>
        <stp>MOODY_EFF_DT</stp>
        <stp>[DIF_Risk_20200430.xlsm]Geneva investment position repo!R80C72</stp>
        <tr r="BT80" s="1"/>
      </tp>
      <tp t="s">
        <v>1/18/2019</v>
        <stp/>
        <stp>##V3_BDPV12</stp>
        <stp>BBG00N2K8LG0 FIGI</stp>
        <stp>FITCH_EFF_DT</stp>
        <stp>[DIF_Risk_20200430.xlsm]Geneva investment position repo!R43C73</stp>
        <tr r="BU43" s="1"/>
      </tp>
      <tp t="s">
        <v>#N/A N/A</v>
        <stp/>
        <stp>##V3_BDPV12</stp>
        <stp>BBG00N6M20C8 FIGI</stp>
        <stp>FITCH_EFF_DT</stp>
        <stp>[DIF_Risk_20200430.xlsm]Geneva investment position repo!R79C73</stp>
        <tr r="BU79" s="1"/>
      </tp>
      <tp t="s">
        <v>#N/A N/A</v>
        <stp/>
        <stp>##V3_BDPV12</stp>
        <stp>BBG00NGWHP25 FIGI</stp>
        <stp>FITCH_EFF_DT</stp>
        <stp>[DIF_Risk_20200430.xlsm]Geneva investment position repo!R29C73</stp>
        <tr r="BU29" s="1"/>
      </tp>
      <tp t="s">
        <v>#N/A Field Not Applicable</v>
        <stp/>
        <stp>##V3_BDPV12</stp>
        <stp>BBG00RB30509 FIGI</stp>
        <stp>SECURITY_TYP2</stp>
        <stp>[DIF_Risk_20200430.xlsm]Geneva investment position repo!R159C21</stp>
        <tr r="U159" s="1"/>
      </tp>
      <tp t="s">
        <v>#N/A Field Not Applicable</v>
        <stp/>
        <stp>##V3_BDPV12</stp>
        <stp>BBG00KMRGS75 FIGI</stp>
        <stp>CAPITAL_CONTINGENT_SECURITY</stp>
        <stp>[DIF_Risk_20200430.xlsm]Geneva investment position repo!R152C42</stp>
        <tr r="AP152" s="1"/>
      </tp>
      <tp>
        <v>18.825128949688718</v>
        <stp/>
        <stp>##V3_BDPV12</stp>
        <stp>US63111XAB73 ISIN</stp>
        <stp>DUR_ADJ_MID</stp>
        <stp>[DIF_Risk_20200430.xlsm]Geneva investment position repo!R117C59</stp>
        <tr r="BG117" s="1"/>
      </tp>
      <tp t="s">
        <v>BBG00NV0G541</v>
        <stp/>
        <stp>##V3_BDPV12</stp>
        <stp>XS1976766045 ISIN</stp>
        <stp>ID_BB_GLOBAL</stp>
        <stp>[DIF_Risk_20200430.xlsm]Geneva investment position repo!R165C18</stp>
        <tr r="R165" s="1"/>
      </tp>
      <tp>
        <v>2.9340676283150273</v>
        <stp/>
        <stp>##V3_BDPV12</stp>
        <stp>XS1402194952 ISIN</stp>
        <stp>YLD_YTM_MID</stp>
        <stp>[DIF_Risk_20200430.xlsm]Geneva investment position repo!R107C61</stp>
        <tr r="BI107" s="1"/>
      </tp>
      <tp>
        <v>3.9165679836624552</v>
        <stp/>
        <stp>##V3_BDPV12</stp>
        <stp>XS2115053626 ISIN</stp>
        <stp>DUR_ADJ_MID</stp>
        <stp>[DIF_Risk_20200430.xlsm]Geneva investment position repo!R113C59</stp>
        <tr r="BG113" s="1"/>
      </tp>
      <tp>
        <v>3.9975960902153553</v>
        <stp/>
        <stp>##V3_BDPV12</stp>
        <stp>XS1831038143 ISIN</stp>
        <stp>YLD_YTM_MID</stp>
        <stp>[DIF_Risk_20200430.xlsm]Geneva investment position repo!R175C61</stp>
        <tr r="BI175" s="1"/>
      </tp>
      <tp>
        <v>2.3787693425717702</v>
        <stp/>
        <stp>##V3_BDPV12</stp>
        <stp>XS2100664544 ISIN</stp>
        <stp>DUR_ADJ_MID</stp>
        <stp>[DIF_Risk_20200430.xlsm]Geneva investment position repo!R159C59</stp>
        <tr r="BG159" s="1"/>
      </tp>
      <tp>
        <v>3.9201213099512064</v>
        <stp/>
        <stp>##V3_BDPV12</stp>
        <stp>XS2099677747 ISIN</stp>
        <stp>DUR_ADJ_MID</stp>
        <stp>[DIF_Risk_20200430.xlsm]Geneva investment position repo!R100C59</stp>
        <tr r="BG100" s="1"/>
      </tp>
      <tp>
        <v>9.2824044778791919</v>
        <stp/>
        <stp>##V3_BDPV12</stp>
        <stp>XS2121187962 ISIN</stp>
        <stp>YLD_YTM_MID</stp>
        <stp>[DIF_Risk_20200430.xlsm]Geneva investment position repo!R173C61</stp>
        <tr r="BI173" s="1"/>
      </tp>
      <tp t="s">
        <v>BBG00NDM7WZ0</v>
        <stp/>
        <stp>##V3_BDPV12</stp>
        <stp>XS1954961295 ISIN</stp>
        <stp>ID_BB_GLOBAL</stp>
        <stp>[DIF_Risk_20200430.xlsm]Geneva investment position repo!R103C18</stp>
        <tr r="R103" s="1"/>
      </tp>
      <tp t="s">
        <v>BBG00TDCM2R7</v>
        <stp/>
        <stp>##V3_BDPV12</stp>
        <stp>XS2163022739 ISIN</stp>
        <stp>ID_BB_GLOBAL</stp>
        <stp>[DIF_Risk_20200430.xlsm]Geneva investment position repo!R147C18</stp>
        <tr r="R147" s="1"/>
      </tp>
      <tp t="s">
        <v>BBG00GDDS1Y1</v>
        <stp/>
        <stp>##V3_BDPV12</stp>
        <stp>XS1592893546 ISIN</stp>
        <stp>ID_BB_GLOBAL</stp>
        <stp>[DIF_Risk_20200430.xlsm]Geneva investment position repo!R109C18</stp>
        <tr r="R109" s="1"/>
      </tp>
      <tp>
        <v>0.86825775723068821</v>
        <stp/>
        <stp>##V3_BDPV12</stp>
        <stp>XS1808311424 ISIN</stp>
        <stp>DUR_ADJ_MID</stp>
        <stp>[DIF_Risk_20200430.xlsm]Geneva investment position repo!R102C59</stp>
        <tr r="BG102" s="1"/>
      </tp>
      <tp>
        <v>3.693592324304217</v>
        <stp/>
        <stp>##V3_BDPV12</stp>
        <stp>XS1618163452 ISIN</stp>
        <stp>YLD_YTM_MID</stp>
        <stp>[DIF_Risk_20200430.xlsm]Geneva investment position repo!R116C61</stp>
        <tr r="BI116" s="1"/>
      </tp>
      <tp t="s">
        <v>BBG00HVHMY65</v>
        <stp/>
        <stp>##V3_BDPV12</stp>
        <stp>XS1692254359 ISIN</stp>
        <stp>ID_BB_GLOBAL</stp>
        <stp>[DIF_Risk_20200430.xlsm]Geneva investment position repo!R119C18</stp>
        <tr r="R119" s="1"/>
      </tp>
      <tp>
        <v>4.7869589543722189</v>
        <stp/>
        <stp>##V3_BDPV12</stp>
        <stp>XS1506085114 ISIN</stp>
        <stp>DUR_ADJ_MID</stp>
        <stp>[DIF_Risk_20200430.xlsm]Geneva investment position repo!R105C59</stp>
        <tr r="BG105" s="1"/>
      </tp>
      <tp t="s">
        <v>BBG00NV899R9</v>
        <stp/>
        <stp>##V3_BDPV12</stp>
        <stp>XS1958219922 ISIN</stp>
        <stp>ID_BB_GLOBAL</stp>
        <stp>[DIF_Risk_20200430.xlsm]Geneva investment position repo!R168C18</stp>
        <tr r="R168" s="1"/>
      </tp>
      <tp t="s">
        <v>#N/A Field Not Applicable</v>
        <stp/>
        <stp>##V3_BDPV12</stp>
        <stp>BBG00NQF0SC2 FIGI</stp>
        <stp>SECURITY_TYP2</stp>
        <stp>[DIF_Risk_20200430.xlsm]Geneva investment position repo!R160C21</stp>
        <tr r="U160" s="1"/>
      </tp>
      <tp t="s">
        <v>4/7/2020</v>
        <stp/>
        <stp>##V3_BDPV12</stp>
        <stp>BBG00SYNG075 FIGI</stp>
        <stp>MOODY_EFF_DT</stp>
        <stp>[DIF_Risk_20200430.xlsm]Geneva investment position repo!R40C72</stp>
        <tr r="BT40" s="1"/>
      </tp>
      <tp t="s">
        <v>#N/A Field Not Applicable</v>
        <stp/>
        <stp>##V3_BDPV12</stp>
        <stp>BBG00CNK44T9 FIGI</stp>
        <stp>CAPITAL_CONTINGENT_SECURITY</stp>
        <stp>[DIF_Risk_20200430.xlsm]Geneva investment position repo!R45C42</stp>
        <tr r="AP45" s="1"/>
      </tp>
      <tp t="s">
        <v>#N/A Field Not Applicable</v>
        <stp/>
        <stp>##V3_BDPV12</stp>
        <stp>BBG000BDV566 FIGI</stp>
        <stp>FITCH_EFF_DT</stp>
        <stp>[DIF_Risk_20200430.xlsm]Geneva investment position repo!R13C73</stp>
        <tr r="BU13" s="1"/>
      </tp>
      <tp t="s">
        <v>#N/A N/A</v>
        <stp/>
        <stp>##V3_BDPV12</stp>
        <stp>BBG00SBW5S62 FIGI</stp>
        <stp>FITCH_EFF_DT</stp>
        <stp>[DIF_Risk_20200430.xlsm]Geneva investment position repo!R88C73</stp>
        <tr r="BU88" s="1"/>
      </tp>
      <tp t="s">
        <v>#N/A Field Not Applicable</v>
        <stp/>
        <stp>##V3_BDPV12</stp>
        <stp>BBG00S6SWBM6 FIGI</stp>
        <stp>CAPITAL_CONTINGENT_SECURITY</stp>
        <stp>[DIF_Risk_20200430.xlsm]Geneva investment position repo!R158C42</stp>
        <tr r="AP158" s="1"/>
      </tp>
      <tp t="s">
        <v>BBG00PKGT0Y7</v>
        <stp/>
        <stp>##V3_BDPV12</stp>
        <stp>US948596AD39 ISIN</stp>
        <stp>ID_BB_GLOBAL</stp>
        <stp>[DIF_Risk_20200430.xlsm]Geneva investment position repo!R166C18</stp>
        <tr r="R166" s="1"/>
      </tp>
      <tp>
        <v>8.4643921373454347</v>
        <stp/>
        <stp>##V3_BDPV12</stp>
        <stp>US74435KAA34 ISIN</stp>
        <stp>DUR_ADJ_MID</stp>
        <stp>[DIF_Risk_20200430.xlsm]Geneva investment position repo!R128C59</stp>
        <tr r="BG128" s="1"/>
      </tp>
      <tp>
        <v>3.8005813616342183</v>
        <stp/>
        <stp>##V3_BDPV12</stp>
        <stp>XS2100444772 ISIN</stp>
        <stp>DUR_ADJ_MID</stp>
        <stp>[DIF_Risk_20200430.xlsm]Geneva investment position repo!R148C59</stp>
        <tr r="BG148" s="1"/>
      </tp>
      <tp>
        <v>5.8422498367495788</v>
        <stp/>
        <stp>##V3_BDPV12</stp>
        <stp>XS1932406314 ISIN</stp>
        <stp>YLD_YTM_MID</stp>
        <stp>[DIF_Risk_20200430.xlsm]Geneva investment position repo!R132C61</stp>
        <tr r="BI132" s="1"/>
      </tp>
      <tp t="s">
        <v>BBG00PKD4F69</v>
        <stp/>
        <stp>##V3_BDPV12</stp>
        <stp>XS2010323009 ISIN</stp>
        <stp>ID_BB_GLOBAL</stp>
        <stp>[DIF_Risk_20200430.xlsm]Geneva investment position repo!R145C18</stp>
        <tr r="R145" s="1"/>
      </tp>
      <tp t="s">
        <v>BBG00Q2B8JR6</v>
        <stp/>
        <stp>##V3_BDPV12</stp>
        <stp>XS2030531938 ISIN</stp>
        <stp>ID_BB_GLOBAL</stp>
        <stp>[DIF_Risk_20200430.xlsm]Geneva investment position repo!R170C18</stp>
        <tr r="R170" s="1"/>
      </tp>
      <tp t="s">
        <v>BBG00TJ8VS75</v>
        <stp/>
        <stp>##V3_BDPV12</stp>
        <stp>XS2161921338 ISIN</stp>
        <stp>ID_BB_GLOBAL</stp>
        <stp>[DIF_Risk_20200430.xlsm]Geneva investment position repo!R167C18</stp>
        <tr r="R167" s="1"/>
      </tp>
      <tp t="s">
        <v>BBG00N2KDB12</v>
        <stp/>
        <stp>##V3_BDPV12</stp>
        <stp>XS1938265474 ISIN</stp>
        <stp>ID_BB_GLOBAL</stp>
        <stp>[DIF_Risk_20200430.xlsm]Geneva investment position repo!R174C18</stp>
        <tr r="R174" s="1"/>
      </tp>
      <tp t="s">
        <v>BBG00NB0B2N4</v>
        <stp/>
        <stp>##V3_BDPV12</stp>
        <stp>XS1953150197 ISIN</stp>
        <stp>ID_BB_GLOBAL</stp>
        <stp>[DIF_Risk_20200430.xlsm]Geneva investment position repo!R150C18</stp>
        <tr r="R150" s="1"/>
      </tp>
      <tp t="s">
        <v>BBG00NL43H88</v>
        <stp/>
        <stp>##V3_BDPV12</stp>
        <stp>XS1964673435 ISIN</stp>
        <stp>ID_BB_GLOBAL</stp>
        <stp>[DIF_Risk_20200430.xlsm]Geneva investment position repo!R121C18</stp>
        <tr r="R121" s="1"/>
      </tp>
      <tp t="s">
        <v>BBG00RPXWXD8</v>
        <stp/>
        <stp>##V3_BDPV12</stp>
        <stp>XS2121187962 ISIN</stp>
        <stp>ID_BB_GLOBAL</stp>
        <stp>[DIF_Risk_20200430.xlsm]Geneva investment position repo!R173C18</stp>
        <tr r="R173" s="1"/>
      </tp>
      <tp>
        <v>1.5664400604717166</v>
        <stp/>
        <stp>##V3_BDPV12</stp>
        <stp>XS1957481440 ISIN</stp>
        <stp>DUR_ADJ_MID</stp>
        <stp>[DIF_Risk_20200430.xlsm]Geneva investment position repo!R139C59</stp>
        <tr r="BG139" s="1"/>
      </tp>
      <tp>
        <v>6.5358991469789292</v>
        <stp/>
        <stp>##V3_BDPV12</stp>
        <stp>XS1938265474 ISIN</stp>
        <stp>YLD_YTM_MID</stp>
        <stp>[DIF_Risk_20200430.xlsm]Geneva investment position repo!R174C61</stp>
        <tr r="BI174" s="1"/>
      </tp>
      <tp>
        <v>7.829579536521706</v>
        <stp/>
        <stp>##V3_BDPV12</stp>
        <stp>XS2030531938 ISIN</stp>
        <stp>YLD_YTM_MID</stp>
        <stp>[DIF_Risk_20200430.xlsm]Geneva investment position repo!R170C61</stp>
        <tr r="BI170" s="1"/>
      </tp>
      <tp>
        <v>2.9502472273195601</v>
        <stp/>
        <stp>##V3_BDPV12</stp>
        <stp>XS1964673435 ISIN</stp>
        <stp>YLD_YTM_MID</stp>
        <stp>[DIF_Risk_20200430.xlsm]Geneva investment position repo!R121C61</stp>
        <tr r="BI121" s="1"/>
      </tp>
      <tp>
        <v>6.7560575617395537</v>
        <stp/>
        <stp>##V3_BDPV12</stp>
        <stp>XS2027426027 ISIN</stp>
        <stp>YLD_YTM_MID</stp>
        <stp>[DIF_Risk_20200430.xlsm]Geneva investment position repo!R161C61</stp>
        <tr r="BI161" s="1"/>
      </tp>
      <tp>
        <v>1.9481165101256797</v>
        <stp/>
        <stp>##V3_BDPV12</stp>
        <stp>XS1594400449 ISIN</stp>
        <stp>DUR_ADJ_MID</stp>
        <stp>[DIF_Risk_20200430.xlsm]Geneva investment position repo!R151C59</stp>
        <tr r="BG151" s="1"/>
      </tp>
      <tp>
        <v>5.0980834104906334</v>
        <stp/>
        <stp>##V3_BDPV12</stp>
        <stp>XS1728036952 ISIN</stp>
        <stp>YLD_YTM_MID</stp>
        <stp>[DIF_Risk_20200430.xlsm]Geneva investment position repo!R176C61</stp>
        <tr r="BI176" s="1"/>
      </tp>
      <tp>
        <v>10.371349497856119</v>
        <stp/>
        <stp>##V3_BDPV12</stp>
        <stp>XS1976473618 ISIN</stp>
        <stp>YLD_YTM_MID</stp>
        <stp>[DIF_Risk_20200430.xlsm]Geneva investment position repo!R136C61</stp>
        <tr r="BI136" s="1"/>
      </tp>
      <tp>
        <v>1.5919384224020943</v>
        <stp/>
        <stp>##V3_BDPV12</stp>
        <stp>XS1960071303 ISIN</stp>
        <stp>DUR_ADJ_MID</stp>
        <stp>[DIF_Risk_20200430.xlsm]Geneva investment position repo!R179C59</stp>
        <tr r="BG179" s="1"/>
      </tp>
      <tp>
        <v>1.446526359857959</v>
        <stp/>
        <stp>##V3_BDPV12</stp>
        <stp>XS1917764372 ISIN</stp>
        <stp>DUR_ADJ_MID</stp>
        <stp>[DIF_Risk_20200430.xlsm]Geneva investment position repo!R129C59</stp>
        <tr r="BG129" s="1"/>
      </tp>
      <tp>
        <v>1.7907856594485676</v>
        <stp/>
        <stp>##V3_BDPV12</stp>
        <stp>XS1958219922 ISIN</stp>
        <stp>DUR_ADJ_MID</stp>
        <stp>[DIF_Risk_20200430.xlsm]Geneva investment position repo!R168C59</stp>
        <tr r="BG168" s="1"/>
      </tp>
      <tp>
        <v>4.5016847960751853</v>
        <stp/>
        <stp>##V3_BDPV12</stp>
        <stp>XS2163022739 ISIN</stp>
        <stp>DUR_ADJ_MID</stp>
        <stp>[DIF_Risk_20200430.xlsm]Geneva investment position repo!R147C59</stp>
        <tr r="BG147" s="1"/>
      </tp>
      <tp>
        <v>0.7092396569557915</v>
        <stp/>
        <stp>##V3_BDPV12</stp>
        <stp>XS1954961295 ISIN</stp>
        <stp>DUR_ADJ_MID</stp>
        <stp>[DIF_Risk_20200430.xlsm]Geneva investment position repo!R103C59</stp>
        <tr r="BG103" s="1"/>
      </tp>
      <tp>
        <v>4.3502161153425929</v>
        <stp/>
        <stp>##V3_BDPV12</stp>
        <stp>XS2010323009 ISIN</stp>
        <stp>DUR_ADJ_MID</stp>
        <stp>[DIF_Risk_20200430.xlsm]Geneva investment position repo!R145C59</stp>
        <tr r="BG145" s="1"/>
      </tp>
      <tp>
        <v>0.79594470487026125</v>
        <stp/>
        <stp>##V3_BDPV12</stp>
        <stp>XS1973241125 ISIN</stp>
        <stp>DUR_ADJ_MID</stp>
        <stp>[DIF_Risk_20200430.xlsm]Geneva investment position repo!R160C59</stp>
        <tr r="BG160" s="1"/>
      </tp>
      <tp t="s">
        <v>BBG00N14WRV0</v>
        <stp/>
        <stp>##V3_BDPV12</stp>
        <stp>XS1892105823 ISIN</stp>
        <stp>ID_BB_GLOBAL</stp>
        <stp>[DIF_Risk_20200430.xlsm]Geneva investment position repo!R142C18</stp>
        <tr r="R142" s="1"/>
      </tp>
      <tp t="s">
        <v>#N/A Field Not Applicable</v>
        <stp/>
        <stp>##V3_BDPV12</stp>
        <stp>BBG00L1B1VB5 FIGI</stp>
        <stp>SECURITY_TYP2</stp>
        <stp>[DIF_Risk_20200430.xlsm]Geneva investment position repo!R163C21</stp>
        <tr r="U163" s="1"/>
      </tp>
      <tp t="s">
        <v>#N/A Field Not Applicable</v>
        <stp/>
        <stp>##V3_BDPV12</stp>
        <stp>BBG00F2W1SP3 FIGI</stp>
        <stp>SECURITY_TYP2</stp>
        <stp>[DIF_Risk_20200430.xlsm]Geneva investment position repo!R105C21</stp>
        <tr r="U105" s="1"/>
      </tp>
      <tp t="s">
        <v>US</v>
        <stp/>
        <stp>##V3_BDPV12</stp>
        <stp>BBG00T8645P1 FIGI</stp>
        <stp>CNTRY_OF_RISK</stp>
        <stp>[DIF_Risk_20200430.xlsm]Geneva investment position repo!R70C38</stp>
        <tr r="AL70" s="1"/>
      </tp>
      <tp t="s">
        <v>4/29/2020</v>
        <stp/>
        <stp>##V3_BDPV12</stp>
        <stp>BBG00T8646V2 FIGI</stp>
        <stp>MOODY_EFF_DT</stp>
        <stp>[DIF_Risk_20200430.xlsm]Geneva investment position repo!R71C72</stp>
        <tr r="BT71" s="1"/>
      </tp>
      <tp t="s">
        <v>Real Estate</v>
        <stp/>
        <stp>##V3_BDPV12</stp>
        <stp>BBG00R9LVRX4 FIGI</stp>
        <stp>INDUSTRY_GROUP</stp>
        <stp>[DIF_Risk_20200430.xlsm]Geneva investment position repo!R172C40</stp>
        <tr r="AN172" s="1"/>
      </tp>
      <tp t="s">
        <v>Insurance</v>
        <stp/>
        <stp>##V3_BDPV12</stp>
        <stp>BBG00B6SDBV4 FIGI</stp>
        <stp>INDUSTRY_GROUP</stp>
        <stp>[DIF_Risk_20200430.xlsm]Geneva investment position repo!R115C40</stp>
        <tr r="AN115" s="1"/>
      </tp>
      <tp t="s">
        <v>Real Estate</v>
        <stp/>
        <stp>##V3_BDPV12</stp>
        <stp>BBG00L1B1VB5 FIGI</stp>
        <stp>GICS_SECTOR_NAME</stp>
        <stp>[DIF_Risk_20200430.xlsm]Geneva investment position repo!R163C51</stp>
        <tr r="AY163" s="1"/>
      </tp>
      <tp t="s">
        <v>#N/A Field Not Applicable</v>
        <stp/>
        <stp>##V3_BDPV12</stp>
        <stp>BBG00MTS9QX5 FIGI</stp>
        <stp>CAPITAL_TYP_COCO_INITIAL_TRIGGER</stp>
        <stp>[DIF_Risk_20200430.xlsm]Geneva investment position repo!R157C43</stp>
        <tr r="AQ157" s="1"/>
      </tp>
      <tp t="s">
        <v>A+</v>
        <stp/>
        <stp>##V3_BDPV12</stp>
        <stp>BBG00SXGDG60 FIGI</stp>
        <stp>RTG_SP</stp>
        <stp>[DIF_Risk_20200430.xlsm]Geneva investment position repo!R120C31</stp>
        <tr r="AE120" s="1"/>
        <tr r="AE120" s="1"/>
      </tp>
    </main>
    <main first="bloomberg.rtd">
      <tp t="s">
        <v>#N/A Field Not Applicable</v>
        <stp/>
        <stp>##V3_BDPV12</stp>
        <stp>BBG000Q16VR4 FIGI</stp>
        <stp>BOND_CLASSIFICATION_NAME</stp>
        <stp>[DIF_Risk_20200430.xlsm]Geneva investment position repo!R18C53</stp>
        <tr r="BA18" s="1"/>
      </tp>
      <tp t="s">
        <v>E-Commerce/Products</v>
        <stp/>
        <stp>##V3_BDPV12</stp>
        <stp>BBG00LLV9WW6 FIGI</stp>
        <stp>INDUSTRY_SUBGROUP</stp>
        <stp>[DIF_Risk_20200430.xlsm]Geneva investment position repo!R21C41</stp>
        <tr r="AO21" s="1"/>
      </tp>
      <tp t="s">
        <v>Real Estate</v>
        <stp/>
        <stp>##V3_BDPV12</stp>
        <stp>BBG00GQ752P3 FIGI</stp>
        <stp>GICS_SECTOR_NAME</stp>
        <stp>[DIF_Risk_20200430.xlsm]Geneva investment position repo!R99C51</stp>
        <tr r="AY99" s="1"/>
      </tp>
      <tp t="s">
        <v>#N/A N/A</v>
        <stp/>
        <stp>##V3_BDPV12</stp>
        <stp>BBG00MNWHQT8 FIGI</stp>
        <stp>RTG_MOODY</stp>
        <stp>[DIF_Risk_20200430.xlsm]Geneva investment position repo!R135C32</stp>
        <tr r="AF135" s="1"/>
      </tp>
      <tp t="s">
        <v>Ping An Insurance Group Co of</v>
        <stp/>
        <stp>##V3_BDPV12</stp>
        <stp>BBG000GD4N44 FIGI</stp>
        <stp>SECURITY_NAME</stp>
        <stp>[DIF_Risk_20200430.xlsm]SFC Report!R125C1</stp>
        <tr r="A125" s="6"/>
      </tp>
      <tp t="s">
        <v>B2</v>
        <stp/>
        <stp>##V3_BDPV12</stp>
        <stp>BBG00N0Q0RS1 FIGI</stp>
        <stp>RTG_MOODY</stp>
        <stp>[DIF_Risk_20200430.xlsm]Geneva investment position repo!R50C32</stp>
        <tr r="AF50" s="1"/>
        <tr r="AF50" s="1"/>
      </tp>
      <tp t="s">
        <v>INDUSTRIAL</v>
        <stp/>
        <stp>##V3_BDPV12</stp>
        <stp>BBG00M5BYXF5 FIGI</stp>
        <stp>ISSUER_INDUSTRY</stp>
        <stp>[DIF_Risk_20200430.xlsm]Geneva investment position repo!R32C52</stp>
        <tr r="AZ32" s="1"/>
      </tp>
      <tp t="s">
        <v>BB-</v>
        <stp/>
        <stp>##V3_BDPV12</stp>
        <stp>BBG00RHHSFZ2 FIGI</stp>
        <stp>RTG_FITCH</stp>
        <stp>[DIF_Risk_20200430.xlsm]Geneva investment position repo!R122C33</stp>
        <tr r="AG122" s="1"/>
        <tr r="AG122" s="1"/>
      </tp>
      <tp t="s">
        <v>Consumer, Cyclical</v>
        <stp/>
        <stp>##V3_BDPV12</stp>
        <stp>BBG00M5BYXF5 FIGI</stp>
        <stp>INDUSTRY_SECTOR</stp>
        <stp>[DIF_Risk_20200430.xlsm]Geneva investment position repo!R32C39</stp>
        <tr r="AM32" s="1"/>
      </tp>
      <tp t="s">
        <v>Real Estate Oper/Develop</v>
        <stp/>
        <stp>##V3_BDPV12</stp>
        <stp>BBG00N0Q0RS1 FIGI</stp>
        <stp>INDUSTRY_SUBGROUP</stp>
        <stp>[DIF_Risk_20200430.xlsm]Geneva investment position repo!R50C41</stp>
        <tr r="AO50" s="1"/>
      </tp>
      <tp t="s">
        <v>XS1801151371</v>
        <stp/>
        <stp>##V3_BDPV12</stp>
        <stp>BBG00KKDSP44 FIGI</stp>
        <stp>ID_ISIN</stp>
        <stp>[DIF_Risk_20200430.xlsm]Geneva investment position repo!R56C63</stp>
        <tr r="BK56" s="1"/>
      </tp>
      <tp t="s">
        <v>#N/A N/A</v>
        <stp/>
        <stp>##V3_BDPV12</stp>
        <stp>BBG00NB7HXS0 FIGI</stp>
        <stp>RTG_MOODY</stp>
        <stp>[DIF_Risk_20200430.xlsm]Geneva investment position repo!R143C32</stp>
        <tr r="AF143" s="1"/>
      </tp>
      <tp t="s">
        <v>#N/A N/A</v>
        <stp/>
        <stp>##V3_BDPV12</stp>
        <stp>BBG00BWQ0R57 FIGI</stp>
        <stp>RTG_FITCH</stp>
        <stp>[DIF_Risk_20200430.xlsm]Geneva investment position repo!R62C33</stp>
        <tr r="AG62" s="1"/>
      </tp>
      <tp t="s">
        <v>BYANIJ 6 1/8 01/24/23</v>
        <stp/>
        <stp>##V3_BDPV12</stp>
        <stp>BBG00RCY5V08 FIGI</stp>
        <stp>SECURITY_NAME</stp>
        <stp>[DIF_Risk_20200430.xlsm]SFC Report!R195C1</stp>
        <tr r="A195" s="6"/>
      </tp>
      <tp t="s">
        <v>FINANCIAL</v>
        <stp/>
        <stp>##V3_BDPV12</stp>
        <stp>BBG00MTKPX96 FIGI</stp>
        <stp>ISSUER_INDUSTRY</stp>
        <stp>[DIF_Risk_20200430.xlsm]Geneva investment position repo!R57C52</stp>
        <tr r="AZ57" s="1"/>
      </tp>
      <tp t="s">
        <v>BOND</v>
        <stp/>
        <stp>##V3_BDPV12</stp>
        <stp>BBG00N14RT60 FIGI</stp>
        <stp>MIFID_ASSET_CLASS</stp>
        <stp>[DIF_Risk_20200430.xlsm]Geneva investment position repo!R153C19</stp>
        <tr r="S153" s="1"/>
      </tp>
      <tp t="s">
        <v>Financial</v>
        <stp/>
        <stp>##V3_BDPV12</stp>
        <stp>BBG00MTKPX96 FIGI</stp>
        <stp>INDUSTRY_SECTOR</stp>
        <stp>[DIF_Risk_20200430.xlsm]Geneva investment position repo!R57C39</stp>
        <tr r="AM57" s="1"/>
      </tp>
      <tp t="s">
        <v>Real Estate Oper/Develop</v>
        <stp/>
        <stp>##V3_BDPV12</stp>
        <stp>BBG00R9SLKK9 FIGI</stp>
        <stp>INDUSTRY_SUBGROUP</stp>
        <stp>[DIF_Risk_20200430.xlsm]Geneva investment position repo!R148C41</stp>
        <tr r="AO148" s="1"/>
      </tp>
      <tp t="s">
        <v>Life/Health Insurance</v>
        <stp/>
        <stp>##V3_BDPV12</stp>
        <stp>BBG0016XR1Q8 FIGI</stp>
        <stp>ISSUER_INDUSTRY</stp>
        <stp>[DIF_Risk_20200430.xlsm]Geneva investment position repo!R6C52</stp>
        <tr r="AZ6" s="1"/>
      </tp>
      <tp t="s">
        <v>7/24/2018</v>
        <stp/>
        <stp>##V3_BDPV12</stp>
        <stp>BBG00LJTWWM9 FIGI</stp>
        <stp>SP_EFF_DT</stp>
        <stp>[DIF_Risk_20200430.xlsm]Geneva investment position repo!R60C71</stp>
        <tr r="BS60" s="1"/>
      </tp>
      <tp t="s">
        <v>Real Estate Oper/Develop</v>
        <stp/>
        <stp>##V3_BDPV12</stp>
        <stp>BBG00RT2L457 FIGI</stp>
        <stp>INDUSTRY_SUBGROUP</stp>
        <stp>[DIF_Risk_20200430.xlsm]Geneva investment position repo!R177C41</stp>
        <tr r="AO177" s="1"/>
      </tp>
      <tp t="s">
        <v>Real Estate</v>
        <stp/>
        <stp>##V3_BDPV12</stp>
        <stp>BBG00R9SNB81 FIGI</stp>
        <stp>GICS_SECTOR_NAME</stp>
        <stp>[DIF_Risk_20200430.xlsm]Geneva investment position repo!R64C51</stp>
        <tr r="AY64" s="1"/>
      </tp>
      <tp t="s">
        <v>Retail-Apparel/Shoe</v>
        <stp/>
        <stp>##V3_BDPV12</stp>
        <stp>BBG000QWR4M8 FIGI</stp>
        <stp>ISSUER_INDUSTRY</stp>
        <stp>[DIF_Risk_20200430.xlsm]Geneva investment position repo!R8C52</stp>
        <tr r="AZ8" s="1"/>
      </tp>
      <tp t="s">
        <v>BB+</v>
        <stp/>
        <stp>##V3_BDPV12</stp>
        <stp>BBG00QYPDPC6 FIGI</stp>
        <stp>RTG_FITCH</stp>
        <stp>[DIF_Risk_20200430.xlsm]Geneva investment position repo!R68C33</stp>
        <tr r="AG68" s="1"/>
        <tr r="AG68" s="1"/>
      </tp>
      <tp t="s">
        <v>BB</v>
        <stp/>
        <stp>##V3_BDPV12</stp>
        <stp>BBG00LSRS878 FIGI</stp>
        <stp>RTG_FITCH</stp>
        <stp>[DIF_Risk_20200430.xlsm]Geneva investment position repo!R104C33</stp>
        <tr r="AG104" s="1"/>
        <tr r="AG104" s="1"/>
      </tp>
      <tp t="s">
        <v>B *-</v>
        <stp/>
        <stp>##V3_BDPV12</stp>
        <stp>BBG00GDDS1Y1 FIGI</stp>
        <stp>RTG_FITCH</stp>
        <stp>[DIF_Risk_20200430.xlsm]Geneva investment position repo!R109C33</stp>
        <tr r="AG109" s="1"/>
        <tr r="AG109" s="1"/>
      </tp>
      <tp t="s">
        <v>#N/A Field Not Applicable</v>
        <stp/>
        <stp>##V3_BDPV12</stp>
        <stp>BBG00MSJ57C5 FIGI</stp>
        <stp>CAPITAL_TYP_COCO_INITIAL_TRIGGER</stp>
        <stp>[DIF_Risk_20200430.xlsm]Geneva investment position repo!R74C43</stp>
        <tr r="AQ74" s="1"/>
      </tp>
      <tp t="s">
        <v>KYG596691041</v>
        <stp/>
        <stp>##V3_BDPV12</stp>
        <stp>BBG00LLV9WW6 FIGI</stp>
        <stp>ID_ISIN</stp>
        <stp>[DIF_Risk_20200430.xlsm]Geneva investment position repo!R21C63</stp>
        <tr r="BK21" s="1"/>
      </tp>
      <tp t="s">
        <v>LPKRIJ 8 1/8 01/22/25</v>
        <stp/>
        <stp>##V3_BDPV12</stp>
        <stp>BBG00RD4VH41 FIGI</stp>
        <stp>SECURITY_NAME</stp>
        <stp>[DIF_Risk_20200430.xlsm]SFC Report!R136C1</stp>
        <tr r="A136" s="6"/>
      </tp>
      <tp t="s">
        <v>#N/A Field Not Applicable</v>
        <stp/>
        <stp>##V3_BDPV12</stp>
        <stp>BBG00KVGG4W4 FIGI</stp>
        <stp>GICS_SECTOR_NAME</stp>
        <stp>[DIF_Risk_20200430.xlsm]Geneva investment position repo!R83C51</stp>
        <tr r="AY83" s="1"/>
      </tp>
      <tp t="s">
        <v>XS1856799421</v>
        <stp/>
        <stp>##V3_BDPV12</stp>
        <stp>BBG00LJTWWM9 FIGI</stp>
        <stp>ID_ISIN</stp>
        <stp>[DIF_Risk_20200430.xlsm]Geneva investment position repo!R60C63</stp>
        <tr r="BK60" s="1"/>
      </tp>
      <tp t="s">
        <v>BOND</v>
        <stp/>
        <stp>##V3_BDPV12</stp>
        <stp>BBG00K67R1J1 FIGI</stp>
        <stp>MIFID_ASSET_CLASS</stp>
        <stp>[DIF_Risk_20200430.xlsm]Geneva investment position repo!R171C19</stp>
        <tr r="S171" s="1"/>
      </tp>
      <tp t="s">
        <v>Real Estate Oper/Develop</v>
        <stp/>
        <stp>##V3_BDPV12</stp>
        <stp>BBG00NG9L0S8 FIGI</stp>
        <stp>INDUSTRY_SUBGROUP</stp>
        <stp>[DIF_Risk_20200430.xlsm]Geneva investment position repo!R134C41</stp>
        <tr r="AO134" s="1"/>
      </tp>
      <tp t="s">
        <v>#N/A Field Not Applicable</v>
        <stp/>
        <stp>##V3_BDPV12</stp>
        <stp>BBG00T6LYC72 FIGI</stp>
        <stp>GICS_SECTOR_NAME</stp>
        <stp>[DIF_Risk_20200430.xlsm]Geneva investment position repo!R95C51</stp>
        <tr r="AY95" s="1"/>
      </tp>
      <tp t="s">
        <v>Real Estate</v>
        <stp/>
        <stp>##V3_BDPV12</stp>
        <stp>BBG00NHNXCH9 FIGI</stp>
        <stp>GICS_SECTOR_NAME</stp>
        <stp>[DIF_Risk_20200430.xlsm]Geneva investment position repo!R179C51</stp>
        <tr r="AY179" s="1"/>
      </tp>
      <tp t="s">
        <v>#N/A Field Not Applicable</v>
        <stp/>
        <stp>##V3_BDPV12</stp>
        <stp>BBG00KNCMN62 FIGI</stp>
        <stp>BOND_CLASSIFICATION_NAME</stp>
        <stp>[DIF_Risk_20200430.xlsm]Geneva investment position repo!R102C53</stp>
        <tr r="BA102" s="1"/>
      </tp>
      <tp t="s">
        <v>USG7150PAA87</v>
        <stp/>
        <stp>##V3_BDPV12</stp>
        <stp>BBG00D2WYB33 FIGI</stp>
        <stp>ID_ISIN</stp>
        <stp>[DIF_Risk_20200430.xlsm]Geneva investment position repo!R126C63</stp>
        <tr r="BK126" s="1"/>
      </tp>
      <tp t="s">
        <v>BBB</v>
        <stp/>
        <stp>##V3_BDPV12</stp>
        <stp>BBG00RHHSFZ2 FIGI</stp>
        <stp>RTG_SP</stp>
        <stp>[DIF_Risk_20200430.xlsm]Geneva investment position repo!R122C31</stp>
        <tr r="AE122" s="1"/>
        <tr r="AE122" s="1"/>
      </tp>
      <tp t="s">
        <v>Information Technology</v>
        <stp/>
        <stp>##V3_BDPV12</stp>
        <stp>BBG00SXGDG60 FIGI</stp>
        <stp>GICS_SECTOR_NAME</stp>
        <stp>[DIF_Risk_20200430.xlsm]Geneva investment position repo!R120C51</stp>
        <tr r="AY120" s="1"/>
      </tp>
      <tp t="s">
        <v>Real Estate</v>
        <stp/>
        <stp>##V3_BDPV12</stp>
        <stp>BBG00NQDZNG6 FIGI</stp>
        <stp>INDUSTRY_GROUP</stp>
        <stp>[DIF_Risk_20200430.xlsm]Geneva investment position repo!R178C40</stp>
        <tr r="AN178" s="1"/>
      </tp>
      <tp t="s">
        <v>ACTV</v>
        <stp/>
        <stp>##V3_BDPV12</stp>
        <stp>BBG00R9SNB81 FIGI</stp>
        <stp>EXCH_MARKET_STATUS</stp>
        <stp>[DIF_Risk_20200430.xlsm]Geneva investment position repo!R64C44</stp>
        <tr r="AR64" s="1"/>
        <tr r="AR64" s="1"/>
      </tp>
      <tp t="s">
        <v>#N/A N/A</v>
        <stp/>
        <stp>##V3_BDPV12</stp>
        <stp>BBG00RB0MG61 FIGI</stp>
        <stp>RTG_SP</stp>
        <stp>[DIF_Risk_20200430.xlsm]Geneva investment position repo!R100C31</stp>
        <tr r="AE100" s="1"/>
      </tp>
      <tp t="s">
        <v>XS2115053626</v>
        <stp/>
        <stp>##V3_BDPV12</stp>
        <stp>BBG00RZ2MZZ7 FIGI</stp>
        <stp>ID_ISIN</stp>
        <stp>[DIF_Risk_20200430.xlsm]Geneva investment position repo!R113C63</stp>
        <tr r="BK113" s="1"/>
      </tp>
      <tp t="s">
        <v>FINANCIAL</v>
        <stp/>
        <stp>##V3_BDPV12</stp>
        <stp>BBG00NB0B2N4 FIGI</stp>
        <stp>ISSUER_INDUSTRY</stp>
        <stp>[DIF_Risk_20200430.xlsm]Geneva investment position repo!R150C52</stp>
        <tr r="AZ150" s="1"/>
      </tp>
      <tp t="s">
        <v>#N/A Field Not Applicable</v>
        <stp/>
        <stp>##V3_BDPV12</stp>
        <stp>BBG00NGF27D6 FIGI</stp>
        <stp>BOND_CLASSIFICATION_NAME</stp>
        <stp>[DIF_Risk_20200430.xlsm]Geneva investment position repo!R114C53</stp>
        <tr r="BA114" s="1"/>
      </tp>
      <tp t="s">
        <v>#N/A Field Not Applicable</v>
        <stp/>
        <stp>##V3_BDPV12</stp>
        <stp>BBG000QWR4M8 FIGI</stp>
        <stp>MOODY_EFF_DT</stp>
        <stp>[DIF_Risk_20200430.xlsm]Geneva investment position repo!R8C72</stp>
        <tr r="BT8" s="1"/>
      </tp>
      <tp t="s">
        <v>ACTV</v>
        <stp/>
        <stp>##V3_BDPV12</stp>
        <stp>BBG00H5KNJZ7 FIGI</stp>
        <stp>EXCH_MARKET_STATUS</stp>
        <stp>[DIF_Risk_20200430.xlsm]Geneva investment position repo!R80C44</stp>
        <tr r="AR80" s="1"/>
        <tr r="AR80" s="1"/>
      </tp>
      <tp t="s">
        <v>B-</v>
        <stp/>
        <stp>##V3_BDPV12</stp>
        <stp>BBG00F2W1SP3 FIGI</stp>
        <stp>RTG_SP</stp>
        <stp>[DIF_Risk_20200430.xlsm]Geneva investment position repo!R105C31</stp>
        <tr r="AE105" s="1"/>
        <tr r="AE105" s="1"/>
      </tp>
      <tp t="s">
        <v>Real Estate Oper/Develop</v>
        <stp/>
        <stp>##V3_BDPV12</stp>
        <stp>BBG00KNCMN62 FIGI</stp>
        <stp>INDUSTRY_SUBGROUP</stp>
        <stp>[DIF_Risk_20200430.xlsm]Geneva investment position repo!R102C41</stp>
        <tr r="AO102" s="1"/>
      </tp>
      <tp t="s">
        <v>GRNCH 8 1/8 PERP</v>
        <stp/>
        <stp>##V3_BDPV12</stp>
        <stp>BBG00N6M20C8 FIGI</stp>
        <stp>SECURITY_NAME</stp>
        <stp>[DIF_Risk_20200430.xlsm]SFC Report!R122C8</stp>
        <tr r="H122" s="6"/>
      </tp>
      <tp t="s">
        <v>BB</v>
        <stp/>
        <stp>##V3_BDPV12</stp>
        <stp>BBG00N14RT60 FIGI</stp>
        <stp>RTG_FITCH</stp>
        <stp>[DIF_Risk_20200430.xlsm]Geneva investment position repo!R153C33</stp>
        <tr r="AG153" s="1"/>
        <tr r="AG153" s="1"/>
      </tp>
      <tp t="s">
        <v>Energy</v>
        <stp/>
        <stp>##V3_BDPV12</stp>
        <stp>BBG00PV1L0V9 FIGI</stp>
        <stp>GICS_SECTOR_NAME</stp>
        <stp>[DIF_Risk_20200430.xlsm]Geneva investment position repo!R86C51</stp>
        <tr r="AY86" s="1"/>
      </tp>
      <tp t="s">
        <v>Metal-Diversified</v>
        <stp/>
        <stp>##V3_BDPV12</stp>
        <stp>BBG00RZ2MZZ7 FIGI</stp>
        <stp>INDUSTRY_SUBGROUP</stp>
        <stp>[DIF_Risk_20200430.xlsm]Geneva investment position repo!R113C41</stp>
        <tr r="AO113" s="1"/>
      </tp>
      <tp t="s">
        <v>Ba3</v>
        <stp/>
        <stp>##V3_BDPV12</stp>
        <stp>BBG00RCY5V08 FIGI</stp>
        <stp>RTG_MOODY</stp>
        <stp>[DIF_Risk_20200430.xlsm]Geneva investment position repo!R39C32</stp>
        <tr r="AF39" s="1"/>
        <tr r="AF39" s="1"/>
      </tp>
      <tp t="s">
        <v>Coal</v>
        <stp/>
        <stp>##V3_BDPV12</stp>
        <stp>BBG00RCY5V08 FIGI</stp>
        <stp>INDUSTRY_SUBGROUP</stp>
        <stp>[DIF_Risk_20200430.xlsm]Geneva investment position repo!R39C41</stp>
        <tr r="AO39" s="1"/>
      </tp>
      <tp t="s">
        <v>BOND</v>
        <stp/>
        <stp>##V3_BDPV12</stp>
        <stp>BBG00DKQ0MQ4 FIGI</stp>
        <stp>MIFID_ASSET_CLASS</stp>
        <stp>[DIF_Risk_20200430.xlsm]Geneva investment position repo!R78C19</stp>
        <tr r="S78" s="1"/>
      </tp>
      <tp t="s">
        <v>Real Estate Oper/Develop</v>
        <stp/>
        <stp>##V3_BDPV12</stp>
        <stp>BBG00RB0MG61 FIGI</stp>
        <stp>INDUSTRY_SUBGROUP</stp>
        <stp>[DIF_Risk_20200430.xlsm]Geneva investment position repo!R100C41</stp>
        <tr r="AO100" s="1"/>
      </tp>
      <tp t="s">
        <v>Real Estate Oper/Develop</v>
        <stp/>
        <stp>##V3_BDPV12</stp>
        <stp>BBG00HVHMY65 FIGI</stp>
        <stp>INDUSTRY_SUBGROUP</stp>
        <stp>[DIF_Risk_20200430.xlsm]Geneva investment position repo!R119C41</stp>
        <tr r="AO119" s="1"/>
      </tp>
      <tp t="s">
        <v>BOND</v>
        <stp/>
        <stp>##V3_BDPV12</stp>
        <stp>BBG00RHHSFZ2 FIGI</stp>
        <stp>MIFID_ASSET_CLASS</stp>
        <stp>[DIF_Risk_20200430.xlsm]Geneva investment position repo!R122C19</stp>
        <tr r="S122" s="1"/>
      </tp>
      <tp t="s">
        <v>#N/A Field Not Applicable</v>
        <stp/>
        <stp>##V3_BDPV12</stp>
        <stp>BBG00SY1QXH9 FIGI</stp>
        <stp>CAPITAL_TYP_COCO_INITIAL_TRIGGER</stp>
        <stp>[DIF_Risk_20200430.xlsm]Geneva investment position repo!R31C43</stp>
        <tr r="AQ31" s="1"/>
      </tp>
      <tp t="s">
        <v>#N/A N/A</v>
        <stp/>
        <stp>##V3_BDPV12</stp>
        <stp>BBG00KDP8LC7 FIGI</stp>
        <stp>RTG_FITCH</stp>
        <stp>[DIF_Risk_20200430.xlsm]Geneva investment position repo!R49C33</stp>
        <tr r="AG49" s="1"/>
      </tp>
      <tp t="s">
        <v>HK</v>
        <stp/>
        <stp>##V3_BDPV12</stp>
        <stp>BBG000BDV566 FIGI</stp>
        <stp>CNTRY_ISSUE_ISO</stp>
        <stp>[DIF_Risk_20200430.xlsm]Geneva investment position repo!R13C38</stp>
        <tr r="AL13" s="1"/>
      </tp>
      <tp t="s">
        <v>Consumer, Cyclical</v>
        <stp/>
        <stp>##V3_BDPV12</stp>
        <stp>BBG000QWR4M8 FIGI</stp>
        <stp>INDUSTRY_SECTOR</stp>
        <stp>[DIF_Risk_20200430.xlsm]Geneva investment position repo!R8C39</stp>
        <tr r="AM8" s="1"/>
      </tp>
      <tp t="s">
        <v>Aerospace/Defense</v>
        <stp/>
        <stp>##V3_BDPV12</stp>
        <stp>BBG00TDCM2R7 FIGI</stp>
        <stp>INDUSTRY_SUBGROUP</stp>
        <stp>[DIF_Risk_20200430.xlsm]Geneva investment position repo!R147C41</stp>
        <tr r="AO147" s="1"/>
      </tp>
      <tp t="s">
        <v>Financial</v>
        <stp/>
        <stp>##V3_BDPV12</stp>
        <stp>BBG0016XR1Q8 FIGI</stp>
        <stp>INDUSTRY_SECTOR</stp>
        <stp>[DIF_Risk_20200430.xlsm]Geneva investment position repo!R6C39</stp>
        <tr r="AM6" s="1"/>
      </tp>
      <tp t="s">
        <v>BB-</v>
        <stp/>
        <stp>##V3_BDPV12</stp>
        <stp>BBG00K67R1J1 FIGI</stp>
        <stp>RTG_FITCH</stp>
        <stp>[DIF_Risk_20200430.xlsm]Geneva investment position repo!R171C33</stp>
        <tr r="AG171" s="1"/>
        <tr r="AG171" s="1"/>
      </tp>
      <tp t="s">
        <v>HK</v>
        <stp/>
        <stp>##V3_BDPV12</stp>
        <stp>BBG000BJ35N5 FIGI</stp>
        <stp>CNTRY_ISSUE_ISO</stp>
        <stp>[DIF_Risk_20200430.xlsm]Geneva investment position repo!R25C38</stp>
        <tr r="AL25" s="1"/>
      </tp>
      <tp t="s">
        <v>Industrial</v>
        <stp/>
        <stp>##V3_BDPV12</stp>
        <stp>BBG00PDL9DV1 FIGI</stp>
        <stp>INDUSTRY_SECTOR</stp>
        <stp>[DIF_Risk_20200430.xlsm]Geneva investment position repo!R53C39</stp>
        <tr r="AM53" s="1"/>
      </tp>
      <tp t="s">
        <v>SPECIAL PURPOSE</v>
        <stp/>
        <stp>##V3_BDPV12</stp>
        <stp>BBG00PDL9DV1 FIGI</stp>
        <stp>ISSUER_INDUSTRY</stp>
        <stp>[DIF_Risk_20200430.xlsm]Geneva investment position repo!R53C52</stp>
        <tr r="AZ53" s="1"/>
      </tp>
      <tp t="s">
        <v>SPECIAL PURPOSE</v>
        <stp/>
        <stp>##V3_BDPV12</stp>
        <stp>BBG00PCCVDV7 FIGI</stp>
        <stp>ISSUER_INDUSTRY</stp>
        <stp>[DIF_Risk_20200430.xlsm]Geneva investment position repo!R76C52</stp>
        <tr r="AZ76" s="1"/>
      </tp>
      <tp t="s">
        <v>#N/A Field Not Applicable</v>
        <stp/>
        <stp>##V3_BDPV12</stp>
        <stp>BBG00PSJD0B5 FIGI</stp>
        <stp>CAPITAL_TYP_COCO_INITIAL_TRIGGER</stp>
        <stp>[DIF_Risk_20200430.xlsm]Geneva investment position repo!R81C43</stp>
        <tr r="AQ81" s="1"/>
      </tp>
      <tp t="s">
        <v>Financial</v>
        <stp/>
        <stp>##V3_BDPV12</stp>
        <stp>BBG00PCCVDV7 FIGI</stp>
        <stp>INDUSTRY_SECTOR</stp>
        <stp>[DIF_Risk_20200430.xlsm]Geneva investment position repo!R76C39</stp>
        <tr r="AM76" s="1"/>
      </tp>
      <tp t="s">
        <v>Real Estate Oper/Develop</v>
        <stp/>
        <stp>##V3_BDPV12</stp>
        <stp>BBG005BTJ9P5 FIGI</stp>
        <stp>INDUSTRY_SUBGROUP</stp>
        <stp>[DIF_Risk_20200430.xlsm]Geneva investment position repo!R65C41</stp>
        <tr r="AO65" s="1"/>
      </tp>
      <tp t="s">
        <v>Ba2</v>
        <stp/>
        <stp>##V3_BDPV12</stp>
        <stp>BBG005BTJ9P5 FIGI</stp>
        <stp>RTG_MOODY</stp>
        <stp>[DIF_Risk_20200430.xlsm]Geneva investment position repo!R65C32</stp>
        <tr r="AF65" s="1"/>
        <tr r="AF65" s="1"/>
      </tp>
      <tp t="s">
        <v>#N/A Field Not Applicable</v>
        <stp/>
        <stp>##V3_BDPV12</stp>
        <stp>BBG00LLFHRL5 FIGI</stp>
        <stp>GICS_SECTOR_NAME</stp>
        <stp>[DIF_Risk_20200430.xlsm]Geneva investment position repo!R61C51</stp>
        <tr r="AY61" s="1"/>
      </tp>
      <tp t="s">
        <v>#N/A Field Not Applicable</v>
        <stp/>
        <stp>##V3_BDPV12</stp>
        <stp>BBG00TDCM8F7 FIGI</stp>
        <stp>BOND_CLASSIFICATION_NAME</stp>
        <stp>[DIF_Risk_20200430.xlsm]Geneva investment position repo!R38C53</stp>
        <tr r="BA38" s="1"/>
      </tp>
      <tp t="s">
        <v>Real Estate Oper/Develop</v>
        <stp/>
        <stp>##V3_BDPV12</stp>
        <stp>BBG00R9SN7F2 FIGI</stp>
        <stp>INDUSTRY_SUBGROUP</stp>
        <stp>[DIF_Risk_20200430.xlsm]Geneva investment position repo!R63C41</stp>
        <tr r="AO63" s="1"/>
      </tp>
      <tp t="s">
        <v>#N/A N/A</v>
        <stp/>
        <stp>##V3_BDPV12</stp>
        <stp>BBG00R9SN7F2 FIGI</stp>
        <stp>RTG_MOODY</stp>
        <stp>[DIF_Risk_20200430.xlsm]Geneva investment position repo!R63C32</stp>
        <tr r="AF63" s="1"/>
      </tp>
      <tp t="s">
        <v>Real Estate Oper/Develop</v>
        <stp/>
        <stp>##V3_BDPV12</stp>
        <stp>BBG00NDFM319 FIGI</stp>
        <stp>INDUSTRY_SUBGROUP</stp>
        <stp>[DIF_Risk_20200430.xlsm]Geneva investment position repo!R140C41</stp>
        <tr r="AO140" s="1"/>
      </tp>
      <tp t="s">
        <v>BOND</v>
        <stp/>
        <stp>##V3_BDPV12</stp>
        <stp>BBG00LSRS878 FIGI</stp>
        <stp>MIFID_ASSET_CLASS</stp>
        <stp>[DIF_Risk_20200430.xlsm]Geneva investment position repo!R104C19</stp>
        <tr r="S104" s="1"/>
      </tp>
      <tp t="s">
        <v>Real Estate Oper/Develop</v>
        <stp/>
        <stp>##V3_BDPV12</stp>
        <stp>BBG00NTXM180 FIGI</stp>
        <stp>INDUSTRY_SUBGROUP</stp>
        <stp>[DIF_Risk_20200430.xlsm]Geneva investment position repo!R136C41</stp>
        <tr r="AO136" s="1"/>
      </tp>
      <tp t="s">
        <v>BOND</v>
        <stp/>
        <stp>##V3_BDPV12</stp>
        <stp>BBG00GDDS1Y1 FIGI</stp>
        <stp>MIFID_ASSET_CLASS</stp>
        <stp>[DIF_Risk_20200430.xlsm]Geneva investment position repo!R109C19</stp>
        <tr r="S109" s="1"/>
      </tp>
      <tp t="s">
        <v>INDUSTRIAL</v>
        <stp/>
        <stp>##V3_BDPV12</stp>
        <stp>BBG00PDL9DC2 FIGI</stp>
        <stp>ISSUER_INDUSTRY</stp>
        <stp>[DIF_Risk_20200430.xlsm]Geneva investment position repo!R92C52</stp>
        <tr r="AZ92" s="1"/>
      </tp>
      <tp t="s">
        <v>#N/A Field Not Applicable</v>
        <stp/>
        <stp>##V3_BDPV12</stp>
        <stp>BBG00Q3NXL14 FIGI</stp>
        <stp>BOND_CLASSIFICATION_NAME</stp>
        <stp>[DIF_Risk_20200430.xlsm]Geneva investment position repo!R59C53</stp>
        <tr r="BA59" s="1"/>
      </tp>
      <tp t="s">
        <v>Financial</v>
        <stp/>
        <stp>##V3_BDPV12</stp>
        <stp>BBG00PDL9DC2 FIGI</stp>
        <stp>INDUSTRY_SECTOR</stp>
        <stp>[DIF_Risk_20200430.xlsm]Geneva investment position repo!R92C39</stp>
        <tr r="AM92" s="1"/>
      </tp>
      <tp t="s">
        <v>#N/A Field Not Applicable</v>
        <stp/>
        <stp>##V3_BDPV12</stp>
        <stp>BBG00LVCWLT9 FIGI</stp>
        <stp>BOND_CLASSIFICATION_NAME</stp>
        <stp>[DIF_Risk_20200430.xlsm]Geneva investment position repo!R42C53</stp>
        <tr r="BA42" s="1"/>
      </tp>
      <tp t="s">
        <v>XS1917764372</v>
        <stp/>
        <stp>##V3_BDPV12</stp>
        <stp>BBG00MNS44N6 FIGI</stp>
        <stp>ID_ISIN</stp>
        <stp>[DIF_Risk_20200430.xlsm]Geneva investment position repo!R129C63</stp>
        <tr r="BK129" s="1"/>
      </tp>
      <tp t="s">
        <v>USY68856AV83</v>
        <stp/>
        <stp>##V3_BDPV12</stp>
        <stp>BBG00T5WB757 FIGI</stp>
        <stp>ID_ISIN</stp>
        <stp>[DIF_Risk_20200430.xlsm]Geneva investment position repo!R124C63</stp>
        <tr r="BK124" s="1"/>
      </tp>
      <tp t="s">
        <v>#N/A Field Not Applicable</v>
        <stp/>
        <stp>##V3_BDPV12</stp>
        <stp>BBG00B6SDBV4 FIGI</stp>
        <stp>CAPITAL_TYP_COCO_INITIAL_TRIGGER</stp>
        <stp>[DIF_Risk_20200430.xlsm]Geneva investment position repo!R115C43</stp>
        <tr r="AQ115" s="1"/>
      </tp>
      <tp t="s">
        <v>SPECIAL PURPOSE</v>
        <stp/>
        <stp>##V3_BDPV12</stp>
        <stp>BBG00MTS9QX5 FIGI</stp>
        <stp>ISSUER_INDUSTRY</stp>
        <stp>[DIF_Risk_20200430.xlsm]Geneva investment position repo!R157C52</stp>
        <tr r="AZ157" s="1"/>
      </tp>
      <tp t="s">
        <v>#N/A Field Not Applicable</v>
        <stp/>
        <stp>##V3_BDPV12</stp>
        <stp>BBG00KMRGS75 FIGI</stp>
        <stp>CAPITAL_TYP_COCO_INITIAL_TRIGGER</stp>
        <stp>[DIF_Risk_20200430.xlsm]Geneva investment position repo!R152C43</stp>
        <tr r="AQ152" s="1"/>
      </tp>
      <tp t="s">
        <v>Real Estate</v>
        <stp/>
        <stp>##V3_BDPV12</stp>
        <stp>BBG00QDN9PZ4 FIGI</stp>
        <stp>INDUSTRY_GROUP</stp>
        <stp>[DIF_Risk_20200430.xlsm]Geneva investment position repo!R138C40</stp>
        <tr r="AN138" s="1"/>
      </tp>
      <tp t="s">
        <v>XS1960071303</v>
        <stp/>
        <stp>##V3_BDPV12</stp>
        <stp>BBG00NHNXCH9 FIGI</stp>
        <stp>ID_ISIN</stp>
        <stp>[DIF_Risk_20200430.xlsm]Geneva investment position repo!R179C63</stp>
        <tr r="BK179" s="1"/>
      </tp>
      <tp t="s">
        <v>#N/A Field Not Applicable</v>
        <stp/>
        <stp>##V3_BDPV12</stp>
        <stp>BBG00THTNZZ3 FIGI</stp>
        <stp>CAPITAL_TYP_COCO_INITIAL_TRIGGER</stp>
        <stp>[DIF_Risk_20200430.xlsm]Geneva investment position repo!R125C43</stp>
        <tr r="AQ125" s="1"/>
      </tp>
      <tp t="s">
        <v>ACTV</v>
        <stp/>
        <stp>##V3_BDPV12</stp>
        <stp>BBG00R9SN7F2 FIGI</stp>
        <stp>EXCH_MARKET_STATUS</stp>
        <stp>[DIF_Risk_20200430.xlsm]Geneva investment position repo!R63C44</stp>
        <tr r="AR63" s="1"/>
        <tr r="AR63" s="1"/>
      </tp>
      <tp t="s">
        <v>#N/A Field Not Applicable</v>
        <stp/>
        <stp>##V3_BDPV12</stp>
        <stp>BBG00PKGT0Y7 FIGI</stp>
        <stp>BOND_CLASSIFICATION_NAME</stp>
        <stp>[DIF_Risk_20200430.xlsm]Geneva investment position repo!R166C53</stp>
        <tr r="BA166" s="1"/>
      </tp>
      <tp t="s">
        <v>#N/A N/A</v>
        <stp/>
        <stp>##V3_BDPV12</stp>
        <stp>BBG00PKGTF65 FIGI</stp>
        <stp>RTG_SP</stp>
        <stp>[DIF_Risk_20200430.xlsm]Geneva investment position repo!R164C31</stp>
        <tr r="AE164" s="1"/>
      </tp>
      <tp t="s">
        <v>#N/A N/A</v>
        <stp/>
        <stp>##V3_BDPV12</stp>
        <stp>BBG00PKD4F69 FIGI</stp>
        <stp>RTG_SP</stp>
        <stp>[DIF_Risk_20200430.xlsm]Geneva investment position repo!R145C31</stp>
        <tr r="AE145" s="1"/>
      </tp>
      <tp t="s">
        <v>#N/A Field Not Applicable</v>
        <stp/>
        <stp>##V3_BDPV12</stp>
        <stp>BBG00F2W1SP3 FIGI</stp>
        <stp>CAPITAL_TYP_COCO_INITIAL_TRIGGER</stp>
        <stp>[DIF_Risk_20200430.xlsm]Geneva investment position repo!R105C43</stp>
        <tr r="AQ105" s="1"/>
      </tp>
      <tp t="s">
        <v>Real Estate</v>
        <stp/>
        <stp>##V3_BDPV12</stp>
        <stp>BBG00N9X3LW2 FIGI</stp>
        <stp>INDUSTRY_GROUP</stp>
        <stp>[DIF_Risk_20200430.xlsm]Geneva investment position repo!R180C40</stp>
        <tr r="AN180" s="1"/>
      </tp>
      <tp t="s">
        <v>BB- *-</v>
        <stp/>
        <stp>##V3_BDPV12</stp>
        <stp>BBG00P1GZFC2 FIGI</stp>
        <stp>RTG_SP</stp>
        <stp>[DIF_Risk_20200430.xlsm]Geneva investment position repo!R112C31</stp>
        <tr r="AE112" s="1"/>
        <tr r="AE112" s="1"/>
      </tp>
      <tp t="s">
        <v>Common Stock</v>
        <stp/>
        <stp>##V3_BDPV12</stp>
        <stp>BBG0016XR1Q8 FIGI</stp>
        <stp>SECURITY_TYP2</stp>
        <stp>[DIF_Risk_20200430.xlsm]Geneva investment position repo!R6C21</stp>
        <tr r="U6" s="1"/>
      </tp>
      <tp t="s">
        <v>#N/A Field Not Applicable</v>
        <stp/>
        <stp>##V3_BDPV12</stp>
        <stp>BBG00LNF6KZ5 FIGI</stp>
        <stp>BOND_CLASSIFICATION_NAME</stp>
        <stp>[DIF_Risk_20200430.xlsm]Geneva investment position repo!R144C53</stp>
        <tr r="BA144" s="1"/>
      </tp>
      <tp t="s">
        <v>ANHUII 4 7/8 10/18/21</v>
        <stp/>
        <stp>##V3_BDPV12</stp>
        <stp>BBG00M5BYXF5 FIGI</stp>
        <stp>SECURITY_NAME</stp>
        <stp>[DIF_Risk_20200430.xlsm]SFC Report!R177C8</stp>
        <tr r="H177" s="6"/>
      </tp>
      <tp t="s">
        <v>#N/A Field Not Applicable</v>
        <stp/>
        <stp>##V3_BDPV12</stp>
        <stp>BBG00GQ752P3 FIGI</stp>
        <stp>BOND_CLASSIFICATION_NAME</stp>
        <stp>[DIF_Risk_20200430.xlsm]Geneva investment position repo!R99C53</stp>
        <tr r="BA99" s="1"/>
      </tp>
      <tp t="s">
        <v>Financials</v>
        <stp/>
        <stp>##V3_BDPV12</stp>
        <stp>BBG000Q16VR4 FIGI</stp>
        <stp>GICS_SECTOR_NAME</stp>
        <stp>[DIF_Risk_20200430.xlsm]Geneva investment position repo!R18C51</stp>
        <tr r="AY18" s="1"/>
        <tr r="AY18" s="1"/>
      </tp>
      <tp t="s">
        <v>B2</v>
        <stp/>
        <stp>##V3_BDPV12</stp>
        <stp>BBG00NWVJPB7 FIGI</stp>
        <stp>RTG_MOODY</stp>
        <stp>[DIF_Risk_20200430.xlsm]Geneva investment position repo!R141C32</stp>
        <tr r="AF141" s="1"/>
        <tr r="AF141" s="1"/>
      </tp>
      <tp t="s">
        <v>Sovereign</v>
        <stp/>
        <stp>##V3_BDPV12</stp>
        <stp>BBG00THTNZZ3 FIGI</stp>
        <stp>INDUSTRY_SUBGROUP</stp>
        <stp>[DIF_Risk_20200430.xlsm]Geneva investment position repo!R125C41</stp>
        <tr r="AO125" s="1"/>
      </tp>
      <tp t="s">
        <v>Ba3</v>
        <stp/>
        <stp>##V3_BDPV12</stp>
        <stp>BBG00QNT5B76 FIGI</stp>
        <stp>RTG_MOODY</stp>
        <stp>[DIF_Risk_20200430.xlsm]Geneva investment position repo!R30C32</stp>
        <tr r="AF30" s="1"/>
        <tr r="AF30" s="1"/>
      </tp>
      <tp t="s">
        <v>Real Estate Oper/Develop</v>
        <stp/>
        <stp>##V3_BDPV12</stp>
        <stp>BBG00QNT5B76 FIGI</stp>
        <stp>INDUSTRY_SUBGROUP</stp>
        <stp>[DIF_Risk_20200430.xlsm]Geneva investment position repo!R30C41</stp>
        <tr r="AO30" s="1"/>
      </tp>
      <tp t="s">
        <v>BOND</v>
        <stp/>
        <stp>##V3_BDPV12</stp>
        <stp>BBG00BWQ0R57 FIGI</stp>
        <stp>MIFID_ASSET_CLASS</stp>
        <stp>[DIF_Risk_20200430.xlsm]Geneva investment position repo!R62C19</stp>
        <tr r="S62" s="1"/>
      </tp>
      <tp t="s">
        <v>XS2123967452</v>
        <stp/>
        <stp>##V3_BDPV12</stp>
        <stp>BBG00RRMFK74 FIGI</stp>
        <stp>ID_ISIN</stp>
        <stp>[DIF_Risk_20200430.xlsm]Geneva investment position repo!R41C63</stp>
        <tr r="BK41" s="1"/>
      </tp>
      <tp t="s">
        <v>BYANIJ 6 1/8 01/24/23</v>
        <stp/>
        <stp>##V3_BDPV12</stp>
        <stp>BBG00RCY5V08 FIGI</stp>
        <stp>SECURITY_NAME</stp>
        <stp>[DIF_Risk_20200430.xlsm]SFC Report!R137C1</stp>
        <tr r="A137" s="6"/>
      </tp>
      <tp t="s">
        <v>Real Estate Oper/Develop</v>
        <stp/>
        <stp>##V3_BDPV12</stp>
        <stp>BBG00PNSNLZ7 FIGI</stp>
        <stp>INDUSTRY_SUBGROUP</stp>
        <stp>[DIF_Risk_20200430.xlsm]Geneva investment position repo!R161C41</stp>
        <tr r="AO161" s="1"/>
      </tp>
      <tp t="s">
        <v>#N/A N/A</v>
        <stp/>
        <stp>##V3_BDPV12</stp>
        <stp>BBG00NG9J699 FIGI</stp>
        <stp>RTG_MOODY</stp>
        <stp>[DIF_Risk_20200430.xlsm]Geneva investment position repo!R139C32</stp>
        <tr r="AF139" s="1"/>
      </tp>
      <tp t="s">
        <v>BOND</v>
        <stp/>
        <stp>##V3_BDPV12</stp>
        <stp>BBG00QYPDPC6 FIGI</stp>
        <stp>MIFID_ASSET_CLASS</stp>
        <stp>[DIF_Risk_20200430.xlsm]Geneva investment position repo!R68C19</stp>
        <tr r="S68" s="1"/>
      </tp>
      <tp t="s">
        <v>#N/A Field Not Applicable</v>
        <stp/>
        <stp>##V3_BDPV12</stp>
        <stp>BBG00R9SNB81 FIGI</stp>
        <stp>BOND_CLASSIFICATION_NAME</stp>
        <stp>[DIF_Risk_20200430.xlsm]Geneva investment position repo!R64C53</stp>
        <tr r="BA64" s="1"/>
      </tp>
      <tp t="s">
        <v>4/6/2020</v>
        <stp/>
        <stp>##V3_BDPV12</stp>
        <stp>BBG00T5WB757 FIGI</stp>
        <stp>SP_EFF_DT</stp>
        <stp>[DIF_Risk_20200430.xlsm]Geneva investment position repo!R124C71</stp>
        <tr r="BS124" s="1"/>
      </tp>
      <tp t="s">
        <v>4/6/2020</v>
        <stp/>
        <stp>##V3_BDPV12</stp>
        <stp>BBG00T5WB7F6 FIGI</stp>
        <stp>SP_EFF_DT</stp>
        <stp>[DIF_Risk_20200430.xlsm]Geneva investment position repo!R123C71</stp>
        <tr r="BS123" s="1"/>
      </tp>
      <tp t="s">
        <v>4/9/2020</v>
        <stp/>
        <stp>##V3_BDPV12</stp>
        <stp>BBG00T21B8F5 FIGI</stp>
        <stp>SP_EFF_DT</stp>
        <stp>[DIF_Risk_20200430.xlsm]Geneva investment position repo!R133C71</stp>
        <tr r="BS133" s="1"/>
      </tp>
      <tp t="s">
        <v>INDUSTRIAL</v>
        <stp/>
        <stp>##V3_BDPV12</stp>
        <stp>BBG00NBG3YQ5 FIGI</stp>
        <stp>ISSUER_INDUSTRY</stp>
        <stp>[DIF_Risk_20200430.xlsm]Geneva investment position repo!R91C52</stp>
        <tr r="AZ91" s="1"/>
      </tp>
      <tp t="s">
        <v>Industrial</v>
        <stp/>
        <stp>##V3_BDPV12</stp>
        <stp>BBG00NBG3YQ5 FIGI</stp>
        <stp>INDUSTRY_SECTOR</stp>
        <stp>[DIF_Risk_20200430.xlsm]Geneva investment position repo!R91C39</stp>
        <tr r="AM91" s="1"/>
      </tp>
      <tp t="s">
        <v>#N/A Field Not Applicable</v>
        <stp/>
        <stp>##V3_BDPV12</stp>
        <stp>BBG00RPNYQB5 FIGI</stp>
        <stp>CAPITAL_TYP_COCO_INITIAL_TRIGGER</stp>
        <stp>[DIF_Risk_20200430.xlsm]Geneva investment position repo!R47C43</stp>
        <tr r="AQ47" s="1"/>
      </tp>
      <tp t="s">
        <v>XS2123115029</v>
        <stp/>
        <stp>##V3_BDPV12</stp>
        <stp>BBG00RYDYKF6 FIGI</stp>
        <stp>ID_ISIN</stp>
        <stp>[DIF_Risk_20200430.xlsm]Geneva investment position repo!R89C63</stp>
        <tr r="BK89" s="1"/>
      </tp>
      <tp t="s">
        <v>#N/A Field Not Applicable</v>
        <stp/>
        <stp>##V3_BDPV12</stp>
        <stp>BBG00PDL9DV1 FIGI</stp>
        <stp>CAPITAL_TYP_COCO_INITIAL_TRIGGER</stp>
        <stp>[DIF_Risk_20200430.xlsm]Geneva investment position repo!R53C43</stp>
        <tr r="AQ53" s="1"/>
      </tp>
      <tp t="s">
        <v>Ba3</v>
        <stp/>
        <stp>##V3_BDPV12</stp>
        <stp>BBG00NGWHP25 FIGI</stp>
        <stp>RTG_MOODY</stp>
        <stp>[DIF_Risk_20200430.xlsm]Geneva investment position repo!R29C32</stp>
        <tr r="AF29" s="1"/>
        <tr r="AF29" s="1"/>
      </tp>
      <tp t="s">
        <v>#N/A Field Not Applicable</v>
        <stp/>
        <stp>##V3_BDPV12</stp>
        <stp>BBG005BTJ9P5 FIGI</stp>
        <stp>CAPITAL_TYP_COCO_INITIAL_TRIGGER</stp>
        <stp>[DIF_Risk_20200430.xlsm]Geneva investment position repo!R65C43</stp>
        <tr r="AQ65" s="1"/>
      </tp>
      <tp t="s">
        <v>LPKRIJ 8 1/8 01/22/25</v>
        <stp/>
        <stp>##V3_BDPV12</stp>
        <stp>BBG00RD4VH41 FIGI</stp>
        <stp>SECURITY_NAME</stp>
        <stp>[DIF_Risk_20200430.xlsm]SFC Report!R194C1</stp>
        <tr r="A194" s="6"/>
      </tp>
      <tp t="s">
        <v>Real Estate Oper/Develop</v>
        <stp/>
        <stp>##V3_BDPV12</stp>
        <stp>BBG00NGWHP25 FIGI</stp>
        <stp>INDUSTRY_SUBGROUP</stp>
        <stp>[DIF_Risk_20200430.xlsm]Geneva investment position repo!R29C41</stp>
        <tr r="AO29" s="1"/>
      </tp>
      <tp t="s">
        <v>#N/A Field Not Applicable</v>
        <stp/>
        <stp>##V3_BDPV12</stp>
        <stp>BBG00KVGG4W4 FIGI</stp>
        <stp>BOND_CLASSIFICATION_NAME</stp>
        <stp>[DIF_Risk_20200430.xlsm]Geneva investment position repo!R83C53</stp>
        <tr r="BA83" s="1"/>
      </tp>
      <tp t="s">
        <v>Real Estate Oper/Develop</v>
        <stp/>
        <stp>##V3_BDPV12</stp>
        <stp>BBG00R9SNB81 FIGI</stp>
        <stp>INDUSTRY_SUBGROUP</stp>
        <stp>[DIF_Risk_20200430.xlsm]Geneva investment position repo!R64C41</stp>
        <tr r="AO64" s="1"/>
      </tp>
      <tp t="s">
        <v>#N/A N/A</v>
        <stp/>
        <stp>##V3_BDPV12</stp>
        <stp>BBG00R9SNB81 FIGI</stp>
        <stp>RTG_MOODY</stp>
        <stp>[DIF_Risk_20200430.xlsm]Geneva investment position repo!R64C32</stp>
        <tr r="AF64" s="1"/>
      </tp>
      <tp t="s">
        <v>4/1/2019</v>
        <stp/>
        <stp>##V3_BDPV12</stp>
        <stp>BBG00NB0B2N4 FIGI</stp>
        <stp>SP_EFF_DT</stp>
        <stp>[DIF_Risk_20200430.xlsm]Geneva investment position repo!R150C71</stp>
        <tr r="BS150" s="1"/>
      </tp>
      <tp t="s">
        <v>#N/A Field Not Applicable</v>
        <stp/>
        <stp>##V3_BDPV12</stp>
        <stp>BBG00T6LYC72 FIGI</stp>
        <stp>BOND_CLASSIFICATION_NAME</stp>
        <stp>[DIF_Risk_20200430.xlsm]Geneva investment position repo!R95C53</stp>
        <tr r="BA95" s="1"/>
      </tp>
      <tp t="s">
        <v>GOVT NATIONAL</v>
        <stp/>
        <stp>##V3_BDPV12</stp>
        <stp>BBG00T6LYC72 FIGI</stp>
        <stp>ISSUER_INDUSTRY</stp>
        <stp>[DIF_Risk_20200430.xlsm]Geneva investment position repo!R95C52</stp>
        <tr r="AZ95" s="1"/>
      </tp>
      <tp t="s">
        <v>Government</v>
        <stp/>
        <stp>##V3_BDPV12</stp>
        <stp>BBG00T6LYC72 FIGI</stp>
        <stp>INDUSTRY_SECTOR</stp>
        <stp>[DIF_Risk_20200430.xlsm]Geneva investment position repo!R95C39</stp>
        <tr r="AM95" s="1"/>
      </tp>
      <tp t="s">
        <v>Consumer Discretionary</v>
        <stp/>
        <stp>##V3_BDPV12</stp>
        <stp>BBG00P1GZFC2 FIGI</stp>
        <stp>GICS_SECTOR_NAME</stp>
        <stp>[DIF_Risk_20200430.xlsm]Geneva investment position repo!R112C51</stp>
        <tr r="AY112" s="1"/>
      </tp>
      <tp t="s">
        <v>#N/A Field Not Applicable</v>
        <stp/>
        <stp>##V3_BDPV12</stp>
        <stp>BBG00GSCY4N6 FIGI</stp>
        <stp>GICS_SECTOR_NAME</stp>
        <stp>[DIF_Risk_20200430.xlsm]Geneva investment position repo!R116C51</stp>
        <tr r="AY116" s="1"/>
      </tp>
      <tp t="s">
        <v>#N/A Field Not Applicable</v>
        <stp/>
        <stp>##V3_BDPV12</stp>
        <stp>BBG00GDDS1Y1 FIGI</stp>
        <stp>GICS_SECTOR_NAME</stp>
        <stp>[DIF_Risk_20200430.xlsm]Geneva investment position repo!R109C51</stp>
        <tr r="AY109" s="1"/>
      </tp>
      <tp t="s">
        <v>#N/A Field Not Applicable</v>
        <stp/>
        <stp>##V3_BDPV12</stp>
        <stp>BBG00D2WYB33 FIGI</stp>
        <stp>CAPITAL_TYP_COCO_INITIAL_TRIGGER</stp>
        <stp>[DIF_Risk_20200430.xlsm]Geneva investment position repo!R126C43</stp>
        <tr r="AQ126" s="1"/>
      </tp>
      <tp t="s">
        <v>#N/A N/A</v>
        <stp/>
        <stp>##V3_BDPV12</stp>
        <stp>BBG00NB7HXS0 FIGI</stp>
        <stp>RTG_SP</stp>
        <stp>[DIF_Risk_20200430.xlsm]Geneva investment position repo!R143C31</stp>
        <tr r="AE143" s="1"/>
      </tp>
      <tp t="s">
        <v>#N/A Field Not Applicable</v>
        <stp/>
        <stp>##V3_BDPV12</stp>
        <stp>BBG00K6FDF25 FIGI</stp>
        <stp>BOND_CLASSIFICATION_NAME</stp>
        <stp>[DIF_Risk_20200430.xlsm]Geneva investment position repo!R101C53</stp>
        <tr r="BA101" s="1"/>
      </tp>
      <tp t="s">
        <v>Financial</v>
        <stp/>
        <stp>##V3_BDPV12</stp>
        <stp>BBG00QRVV6Z8 FIGI</stp>
        <stp>INDUSTRY_SECTOR</stp>
        <stp>[DIF_Risk_20200430.xlsm]Geneva investment position repo!R155C39</stp>
        <tr r="AM155" s="1"/>
      </tp>
      <tp t="s">
        <v>Common Equity Tier 1 Ratio</v>
        <stp/>
        <stp>##V3_BDPV12</stp>
        <stp>BBG00HPPFXF4 FIGI</stp>
        <stp>CAPITAL_TYP_COCO_INITIAL_TRIGGER</stp>
        <stp>[DIF_Risk_20200430.xlsm]Geneva investment position repo!R127C43</stp>
        <tr r="AQ127" s="1"/>
        <tr r="AQ127" s="1"/>
      </tp>
      <tp t="s">
        <v>ACTV</v>
        <stp/>
        <stp>##V3_BDPV12</stp>
        <stp>BBG00TDCM8F7 FIGI</stp>
        <stp>EXCH_MARKET_STATUS</stp>
        <stp>[DIF_Risk_20200430.xlsm]Geneva investment position repo!R38C44</stp>
        <tr r="AR38" s="1"/>
        <tr r="AR38" s="1"/>
      </tp>
      <tp t="s">
        <v>XS1938265474</v>
        <stp/>
        <stp>##V3_BDPV12</stp>
        <stp>BBG00N2KDB12 FIGI</stp>
        <stp>ID_ISIN</stp>
        <stp>[DIF_Risk_20200430.xlsm]Geneva investment position repo!R174C63</stp>
        <tr r="BK174" s="1"/>
      </tp>
      <tp t="s">
        <v>#N/A Field Not Applicable</v>
        <stp/>
        <stp>##V3_BDPV12</stp>
        <stp>BBG0016XR1Q8 FIGI</stp>
        <stp>FITCH_EFF_DT</stp>
        <stp>[DIF_Risk_20200430.xlsm]Geneva investment position repo!R6C73</stp>
        <tr r="BU6" s="1"/>
      </tp>
      <tp t="s">
        <v>#N/A Field Not Applicable</v>
        <stp/>
        <stp>##V3_BDPV12</stp>
        <stp>BBG00PNSNLZ7 FIGI</stp>
        <stp>CAPITAL_TYP_COCO_INITIAL_TRIGGER</stp>
        <stp>[DIF_Risk_20200430.xlsm]Geneva investment position repo!R161C43</stp>
        <tr r="AQ161" s="1"/>
      </tp>
      <tp t="s">
        <v>USJ4517MAA74</v>
        <stp/>
        <stp>##V3_BDPV12</stp>
        <stp>BBG00NGF27D6 FIGI</stp>
        <stp>ID_ISIN</stp>
        <stp>[DIF_Risk_20200430.xlsm]Geneva investment position repo!R114C63</stp>
        <tr r="BK114" s="1"/>
      </tp>
      <tp t="s">
        <v>#N/A Field Not Applicable</v>
        <stp/>
        <stp>##V3_BDPV12</stp>
        <stp>BBG00MNS44N6 FIGI</stp>
        <stp>CAPITAL_TYP_COCO_INITIAL_TRIGGER</stp>
        <stp>[DIF_Risk_20200430.xlsm]Geneva investment position repo!R129C43</stp>
        <tr r="AQ129" s="1"/>
      </tp>
      <tp t="s">
        <v>#N/A Field Not Applicable</v>
        <stp/>
        <stp>##V3_BDPV12</stp>
        <stp>BBG00Q2B8JR6 FIGI</stp>
        <stp>GICS_SECTOR_NAME</stp>
        <stp>[DIF_Risk_20200430.xlsm]Geneva investment position repo!R170C51</stp>
        <tr r="AY170" s="1"/>
      </tp>
      <tp t="s">
        <v>#N/A Field Not Applicable</v>
        <stp/>
        <stp>##V3_BDPV12</stp>
        <stp>BBG00NQF0SC2 FIGI</stp>
        <stp>GICS_SECTOR_NAME</stp>
        <stp>[DIF_Risk_20200430.xlsm]Geneva investment position repo!R160C51</stp>
        <tr r="AY160" s="1"/>
      </tp>
      <tp t="s">
        <v>FINANCIAL</v>
        <stp/>
        <stp>##V3_BDPV12</stp>
        <stp>BBG00PF578H3 FIGI</stp>
        <stp>ISSUER_INDUSTRY</stp>
        <stp>[DIF_Risk_20200430.xlsm]Geneva investment position repo!R181C52</stp>
        <tr r="AZ181" s="1"/>
      </tp>
      <tp t="s">
        <v>#N/A Field Not Applicable</v>
        <stp/>
        <stp>##V3_BDPV12</stp>
        <stp>BBG00N0J9QB8 FIGI</stp>
        <stp>BOND_CLASSIFICATION_NAME</stp>
        <stp>[DIF_Risk_20200430.xlsm]Geneva investment position repo!R132C53</stp>
        <tr r="BA132" s="1"/>
      </tp>
      <tp t="s">
        <v>PWRLNG 5.95 07/19/20</v>
        <stp/>
        <stp>##V3_BDPV12</stp>
        <stp>BBG00H4BZMF0 FIGI</stp>
        <stp>SECURITY_NAME</stp>
        <stp>[DIF_Risk_20200430.xlsm]SFC Report!R197C8</stp>
        <tr r="H197" s="6"/>
      </tp>
      <tp t="s">
        <v>E-Commerce/Products</v>
        <stp/>
        <stp>##V3_BDPV12</stp>
        <stp>BBG00JCQ6Y42 FIGI</stp>
        <stp>INDUSTRY_SUBGROUP</stp>
        <stp>[DIF_Risk_20200430.xlsm]Geneva investment position repo!R33C41</stp>
        <tr r="AO33" s="1"/>
      </tp>
      <tp t="s">
        <v>A1</v>
        <stp/>
        <stp>##V3_BDPV12</stp>
        <stp>BBG00JCQ6Y42 FIGI</stp>
        <stp>RTG_MOODY</stp>
        <stp>[DIF_Risk_20200430.xlsm]Geneva investment position repo!R33C32</stp>
        <tr r="AF33" s="1"/>
        <tr r="AF33" s="1"/>
      </tp>
      <tp t="s">
        <v>XS2100658066</v>
        <stp/>
        <stp>##V3_BDPV12</stp>
        <stp>BBG00RH7GJ34 FIGI</stp>
        <stp>ID_ISIN</stp>
        <stp>[DIF_Risk_20200430.xlsm]Geneva investment position repo!R67C63</stp>
        <tr r="BK67" s="1"/>
      </tp>
      <tp t="s">
        <v>#N/A Field Not Applicable</v>
        <stp/>
        <stp>##V3_BDPV12</stp>
        <stp>BBG00PV1L0V9 FIGI</stp>
        <stp>BOND_CLASSIFICATION_NAME</stp>
        <stp>[DIF_Risk_20200430.xlsm]Geneva investment position repo!R86C53</stp>
        <tr r="BA86" s="1"/>
      </tp>
      <tp t="s">
        <v>Financial</v>
        <stp/>
        <stp>##V3_BDPV12</stp>
        <stp>BBG00FP0FP88 FIGI</stp>
        <stp>INDUSTRY_SECTOR</stp>
        <stp>[DIF_Risk_20200430.xlsm]Geneva investment position repo!R96C39</stp>
        <tr r="AM96" s="1"/>
      </tp>
      <tp t="s">
        <v>XS2030329358</v>
        <stp/>
        <stp>##V3_BDPV12</stp>
        <stp>BBG00PQ3QH67 FIGI</stp>
        <stp>ID_ISIN</stp>
        <stp>[DIF_Risk_20200430.xlsm]Geneva investment position repo!R73C63</stp>
        <tr r="BK73" s="1"/>
      </tp>
      <tp t="s">
        <v>FINANCIAL</v>
        <stp/>
        <stp>##V3_BDPV12</stp>
        <stp>BBG00FP0FP88 FIGI</stp>
        <stp>ISSUER_INDUSTRY</stp>
        <stp>[DIF_Risk_20200430.xlsm]Geneva investment position repo!R96C52</stp>
        <tr r="AZ96" s="1"/>
      </tp>
      <tp t="s">
        <v>BB-</v>
        <stp/>
        <stp>##V3_BDPV12</stp>
        <stp>BBG00DKQ0MQ4 FIGI</stp>
        <stp>RTG_FITCH</stp>
        <stp>[DIF_Risk_20200430.xlsm]Geneva investment position repo!R78C33</stp>
        <tr r="AG78" s="1"/>
        <tr r="AG78" s="1"/>
      </tp>
      <tp t="s">
        <v>#N/A N/A</v>
        <stp/>
        <stp>##V3_BDPV12</stp>
        <stp>BBG00SBW5S62 FIGI</stp>
        <stp>RTG_FITCH</stp>
        <stp>[DIF_Risk_20200430.xlsm]Geneva investment position repo!R88C33</stp>
        <tr r="AG88" s="1"/>
      </tp>
      <tp t="s">
        <v>BOND</v>
        <stp/>
        <stp>##V3_BDPV12</stp>
        <stp>BBG00KDP8LC7 FIGI</stp>
        <stp>MIFID_ASSET_CLASS</stp>
        <stp>[DIF_Risk_20200430.xlsm]Geneva investment position repo!R49C19</stp>
        <tr r="S49" s="1"/>
      </tp>
      <tp t="s">
        <v>Ba3</v>
        <stp/>
        <stp>##V3_BDPV12</stp>
        <stp>BBG00KMQKL04 FIGI</stp>
        <stp>RTG_MOODY</stp>
        <stp>[DIF_Risk_20200430.xlsm]Geneva investment position repo!R169C32</stp>
        <tr r="AF169" s="1"/>
        <tr r="AF169" s="1"/>
      </tp>
      <tp t="s">
        <v>Common Equity Tier 1 Ratio</v>
        <stp/>
        <stp>##V3_BDPV12</stp>
        <stp>BBG00RYF5CJ7 FIGI</stp>
        <stp>CAPITAL_TYP_COCO_INITIAL_TRIGGER</stp>
        <stp>[DIF_Risk_20200430.xlsm]Geneva investment position repo!R35C43</stp>
        <tr r="AQ35" s="1"/>
        <tr r="AQ35" s="1"/>
      </tp>
      <tp t="s">
        <v>#N/A N/A</v>
        <stp/>
        <stp>##V3_BDPV12</stp>
        <stp>BBG00RPXTZN6 FIGI</stp>
        <stp>SP_EFF_DT</stp>
        <stp>[DIF_Risk_20200430.xlsm]Geneva investment position repo!R90C71</stp>
        <tr r="BS90" s="1"/>
      </tp>
      <tp t="s">
        <v>#N/A Field Not Applicable</v>
        <stp/>
        <stp>##V3_BDPV12</stp>
        <stp>BBG00NBG3YQ5 FIGI</stp>
        <stp>CAPITAL_TYP_COCO_INITIAL_TRIGGER</stp>
        <stp>[DIF_Risk_20200430.xlsm]Geneva investment position repo!R91C43</stp>
        <tr r="AQ91" s="1"/>
      </tp>
      <tp t="s">
        <v>Financial</v>
        <stp/>
        <stp>##V3_BDPV12</stp>
        <stp>BBG00DXBXRD0 FIGI</stp>
        <stp>INDUSTRY_SECTOR</stp>
        <stp>[DIF_Risk_20200430.xlsm]Geneva investment position repo!R93C39</stp>
        <tr r="AM93" s="1"/>
      </tp>
      <tp t="s">
        <v>SPECIAL PURPOSE</v>
        <stp/>
        <stp>##V3_BDPV12</stp>
        <stp>BBG00DXBXRD0 FIGI</stp>
        <stp>ISSUER_INDUSTRY</stp>
        <stp>[DIF_Risk_20200430.xlsm]Geneva investment position repo!R93C52</stp>
        <tr r="AZ93" s="1"/>
      </tp>
      <tp t="s">
        <v>XS2100597330</v>
        <stp/>
        <stp>##V3_BDPV12</stp>
        <stp>BBG00RB35JZ6 FIGI</stp>
        <stp>ID_ISIN</stp>
        <stp>[DIF_Risk_20200430.xlsm]Geneva investment position repo!R48C63</stp>
        <tr r="BK48" s="1"/>
      </tp>
      <tp t="s">
        <v>B1</v>
        <stp/>
        <stp>##V3_BDPV12</stp>
        <stp>BBG00NB7K829 FIGI</stp>
        <stp>RTG_MOODY</stp>
        <stp>[DIF_Risk_20200430.xlsm]Geneva investment position repo!R162C32</stp>
        <tr r="AF162" s="1"/>
        <tr r="AF162" s="1"/>
      </tp>
      <tp t="s">
        <v>EQUI</v>
        <stp/>
        <stp>##V3_BDPV12</stp>
        <stp>BBG000DVPPK1 FIGI</stp>
        <stp>MIFID_ASSET_CLASS</stp>
        <stp>[DIF_Risk_20200430.xlsm]Geneva investment position repo!R10C19</stp>
        <tr r="S10" s="1"/>
      </tp>
      <tp t="s">
        <v>#N/A Field Not Applicable</v>
        <stp/>
        <stp>##V3_BDPV12</stp>
        <stp>BBG00LLFHRL5 FIGI</stp>
        <stp>BOND_CLASSIFICATION_NAME</stp>
        <stp>[DIF_Risk_20200430.xlsm]Geneva investment position repo!R61C53</stp>
        <tr r="BA61" s="1"/>
      </tp>
      <tp t="s">
        <v>Industrials</v>
        <stp/>
        <stp>##V3_BDPV12</stp>
        <stp>BBG00TDCM8F7 FIGI</stp>
        <stp>GICS_SECTOR_NAME</stp>
        <stp>[DIF_Risk_20200430.xlsm]Geneva investment position repo!R38C51</stp>
        <tr r="AY38" s="1"/>
      </tp>
      <tp t="s">
        <v>Financials</v>
        <stp/>
        <stp>##V3_BDPV12</stp>
        <stp>BBG00Q3NXL14 FIGI</stp>
        <stp>GICS_SECTOR_NAME</stp>
        <stp>[DIF_Risk_20200430.xlsm]Geneva investment position repo!R59C51</stp>
        <tr r="AY59" s="1"/>
      </tp>
      <tp t="s">
        <v>Real Estate</v>
        <stp/>
        <stp>##V3_BDPV12</stp>
        <stp>BBG00LVCWLT9 FIGI</stp>
        <stp>GICS_SECTOR_NAME</stp>
        <stp>[DIF_Risk_20200430.xlsm]Geneva investment position repo!R42C51</stp>
        <tr r="AY42" s="1"/>
      </tp>
      <tp t="s">
        <v>#N/A Field Not Applicable</v>
        <stp/>
        <stp>##V3_BDPV12</stp>
        <stp>BBG00S6SWBM6 FIGI</stp>
        <stp>CAPITAL_TYP_COCO_INITIAL_TRIGGER</stp>
        <stp>[DIF_Risk_20200430.xlsm]Geneva investment position repo!R158C43</stp>
        <tr r="AQ158" s="1"/>
      </tp>
      <tp t="s">
        <v>ACTV</v>
        <stp/>
        <stp>##V3_BDPV12</stp>
        <stp>BBG000MKLJD1 FIGI</stp>
        <stp>EXCH_MARKET_STATUS</stp>
        <stp>[DIF_Risk_20200430.xlsm]Geneva investment position repo!R22C44</stp>
        <tr r="AR22" s="1"/>
        <tr r="AR22" s="1"/>
      </tp>
      <tp t="s">
        <v>XS2078556342</v>
        <stp/>
        <stp>##V3_BDPV12</stp>
        <stp>BBG00QRVV8P5 FIGI</stp>
        <stp>ID_ISIN</stp>
        <stp>[DIF_Risk_20200430.xlsm]Geneva investment position repo!R131C63</stp>
        <tr r="BK131" s="1"/>
      </tp>
      <tp t="s">
        <v>#N/A Field Not Applicable</v>
        <stp/>
        <stp>##V3_BDPV12</stp>
        <stp>BBG00H4BZMF0 FIGI</stp>
        <stp>BOND_CLASSIFICATION_NAME</stp>
        <stp>[DIF_Risk_20200430.xlsm]Geneva investment position repo!R130C53</stp>
        <tr r="BA130" s="1"/>
      </tp>
      <tp t="s">
        <v>#N/A Field Not Applicable</v>
        <stp/>
        <stp>##V3_BDPV12</stp>
        <stp>BBG00NQDZNG6 FIGI</stp>
        <stp>BOND_CLASSIFICATION_NAME</stp>
        <stp>[DIF_Risk_20200430.xlsm]Geneva investment position repo!R178C53</stp>
        <tr r="BA178" s="1"/>
      </tp>
      <tp t="s">
        <v>#N/A Field Not Applicable</v>
        <stp/>
        <stp>##V3_BDPV12</stp>
        <stp>BBG00TDCM2R7 FIGI</stp>
        <stp>GICS_SECTOR_NAME</stp>
        <stp>[DIF_Risk_20200430.xlsm]Geneva investment position repo!R147C51</stp>
        <tr r="AY147" s="1"/>
      </tp>
      <tp t="s">
        <v>ACTV</v>
        <stp/>
        <stp>##V3_BDPV12</stp>
        <stp>BBG00PV1L0V9 FIGI</stp>
        <stp>EXCH_MARKET_STATUS</stp>
        <stp>[DIF_Risk_20200430.xlsm]Geneva investment position repo!R86C44</stp>
        <tr r="AR86" s="1"/>
        <tr r="AR86" s="1"/>
      </tp>
      <tp t="s">
        <v>#N/A Field Not Applicable</v>
        <stp/>
        <stp>##V3_BDPV12</stp>
        <stp>BBG00KMQKL04 FIGI</stp>
        <stp>CAPITAL_TYP_COCO_INITIAL_TRIGGER</stp>
        <stp>[DIF_Risk_20200430.xlsm]Geneva investment position repo!R169C43</stp>
        <tr r="AQ169" s="1"/>
      </tp>
      <tp t="s">
        <v>#N/A Field Not Applicable</v>
        <stp/>
        <stp>##V3_BDPV12</stp>
        <stp>BBG00PKGTF65 FIGI</stp>
        <stp>BOND_CLASSIFICATION_NAME</stp>
        <stp>[DIF_Risk_20200430.xlsm]Geneva investment position repo!R164C53</stp>
        <tr r="BA164" s="1"/>
      </tp>
      <tp t="s">
        <v>Financial</v>
        <stp/>
        <stp>##V3_BDPV12</stp>
        <stp>BBG00PF578H3 FIGI</stp>
        <stp>INDUSTRY_SECTOR</stp>
        <stp>[DIF_Risk_20200430.xlsm]Geneva investment position repo!R181C39</stp>
        <tr r="AM181" s="1"/>
      </tp>
      <tp t="s">
        <v>Financials</v>
        <stp/>
        <stp>##V3_BDPV12</stp>
        <stp>BBG00LNF6KZ5 FIGI</stp>
        <stp>GICS_SECTOR_NAME</stp>
        <stp>[DIF_Risk_20200430.xlsm]Geneva investment position repo!R144C51</stp>
        <tr r="AY144" s="1"/>
      </tp>
      <tp t="s">
        <v>ACTV</v>
        <stp/>
        <stp>##V3_BDPV12</stp>
        <stp>BBG00S9HKR72 FIGI</stp>
        <stp>EXCH_MARKET_STATUS</stp>
        <stp>[DIF_Risk_20200430.xlsm]Geneva investment position repo!R36C44</stp>
        <tr r="AR36" s="1"/>
        <tr r="AR36" s="1"/>
      </tp>
      <tp t="s">
        <v>#N/A Field Not Applicable</v>
        <stp/>
        <stp>##V3_BDPV12</stp>
        <stp>BBG00GTY47H0 FIGI</stp>
        <stp>SP_EFF_DT</stp>
        <stp>[DIF_Risk_20200430.xlsm]Geneva investment position repo!R26C71</stp>
        <tr r="BS26" s="1"/>
      </tp>
      <tp t="s">
        <v>#N/A N/A</v>
        <stp/>
        <stp>##V3_BDPV12</stp>
        <stp>BBG00DVX5HS1 FIGI</stp>
        <stp>SP_EFF_DT</stp>
        <stp>[DIF_Risk_20200430.xlsm]Geneva investment position repo!R44C71</stp>
        <tr r="BS44" s="1"/>
      </tp>
      <tp t="s">
        <v>BBB+</v>
        <stp/>
        <stp>##V3_BDPV12</stp>
        <stp>BBG00N14WRV0 FIGI</stp>
        <stp>RTG_FITCH</stp>
        <stp>[DIF_Risk_20200430.xlsm]Geneva investment position repo!R142C33</stp>
        <tr r="AG142" s="1"/>
        <tr r="AG142" s="1"/>
      </tp>
      <tp t="s">
        <v>B1</v>
        <stp/>
        <stp>##V3_BDPV12</stp>
        <stp>BBG00R9SLKK9 FIGI</stp>
        <stp>RTG_MOODY</stp>
        <stp>[DIF_Risk_20200430.xlsm]Geneva investment position repo!R148C32</stp>
        <tr r="AF148" s="1"/>
        <tr r="AF148" s="1"/>
      </tp>
      <tp t="s">
        <v>10/29/2019</v>
        <stp/>
        <stp>##V3_BDPV12</stp>
        <stp>BBG00B6SDBV4 FIGI</stp>
        <stp>SP_EFF_DT</stp>
        <stp>[DIF_Risk_20200430.xlsm]Geneva investment position repo!R115C71</stp>
        <tr r="BS115" s="1"/>
      </tp>
      <tp t="s">
        <v>#N/A N/A</v>
        <stp/>
        <stp>##V3_BDPV12</stp>
        <stp>BBG00T2MWMJ1 FIGI</stp>
        <stp>RTG_FITCH</stp>
        <stp>[DIF_Risk_20200430.xlsm]Geneva investment position repo!R128C33</stp>
        <tr r="AG128" s="1"/>
      </tp>
      <tp t="s">
        <v>#N/A N/A</v>
        <stp/>
        <stp>##V3_BDPV12</stp>
        <stp>BBG00N2KDB12 FIGI</stp>
        <stp>SP_EFF_DT</stp>
        <stp>[DIF_Risk_20200430.xlsm]Geneva investment position repo!R174C71</stp>
        <tr r="BS174" s="1"/>
      </tp>
      <tp t="s">
        <v>#N/A N/A</v>
        <stp/>
        <stp>##V3_BDPV12</stp>
        <stp>BBG00K6FDF25 FIGI</stp>
        <stp>SP_EFF_DT</stp>
        <stp>[DIF_Risk_20200430.xlsm]Geneva investment position repo!R101C71</stp>
        <tr r="BS101" s="1"/>
      </tp>
      <tp t="s">
        <v>BOND</v>
        <stp/>
        <stp>##V3_BDPV12</stp>
        <stp>BBG00TJ8VS75 FIGI</stp>
        <stp>MIFID_ASSET_CLASS</stp>
        <stp>[DIF_Risk_20200430.xlsm]Geneva investment position repo!R167C19</stp>
        <tr r="S167" s="1"/>
      </tp>
      <tp t="s">
        <v>BOND</v>
        <stp/>
        <stp>##V3_BDPV12</stp>
        <stp>BBG00LJTVJR4 FIGI</stp>
        <stp>MIFID_ASSET_CLASS</stp>
        <stp>[DIF_Risk_20200430.xlsm]Geneva investment position repo!R154C19</stp>
        <tr r="S154" s="1"/>
      </tp>
      <tp t="s">
        <v>#N/A N/A</v>
        <stp/>
        <stp>##V3_BDPV12</stp>
        <stp>BBG00S6SWBM6 FIGI</stp>
        <stp>RTG_FITCH</stp>
        <stp>[DIF_Risk_20200430.xlsm]Geneva investment position repo!R158C33</stp>
        <tr r="AG158" s="1"/>
      </tp>
      <tp t="s">
        <v>BOND</v>
        <stp/>
        <stp>##V3_BDPV12</stp>
        <stp>BBG00R9LVRX4 FIGI</stp>
        <stp>MIFID_ASSET_CLASS</stp>
        <stp>[DIF_Risk_20200430.xlsm]Geneva investment position repo!R172C19</stp>
        <tr r="S172" s="1"/>
      </tp>
      <tp t="s">
        <v>BOND</v>
        <stp/>
        <stp>##V3_BDPV12</stp>
        <stp>BBG00N0Q0RS1 FIGI</stp>
        <stp>MIFID_ASSET_CLASS</stp>
        <stp>[DIF_Risk_20200430.xlsm]Geneva investment position repo!R50C19</stp>
        <tr r="S50" s="1"/>
      </tp>
      <tp t="s">
        <v>3/30/2020</v>
        <stp/>
        <stp>##V3_BDPV12</stp>
        <stp>BBG00SXGDG60 FIGI</stp>
        <stp>SP_EFF_DT</stp>
        <stp>[DIF_Risk_20200430.xlsm]Geneva investment position repo!R120C71</stp>
        <tr r="BS120" s="1"/>
      </tp>
      <tp t="s">
        <v>Real Estate Oper/Develop</v>
        <stp/>
        <stp>##V3_BDPV12</stp>
        <stp>BBG00NB7HXS0 FIGI</stp>
        <stp>INDUSTRY_SUBGROUP</stp>
        <stp>[DIF_Risk_20200430.xlsm]Geneva investment position repo!R143C41</stp>
        <tr r="AO143" s="1"/>
      </tp>
      <tp t="s">
        <v>#N/A N/A</v>
        <stp/>
        <stp>##V3_BDPV12</stp>
        <stp>BBG00QNT5B76 FIGI</stp>
        <stp>RTG_FITCH</stp>
        <stp>[DIF_Risk_20200430.xlsm]Geneva investment position repo!R30C33</stp>
        <tr r="AG30" s="1"/>
      </tp>
      <tp t="s">
        <v>BB-</v>
        <stp/>
        <stp>##V3_BDPV12</stp>
        <stp>BBG00RPXWXD8 FIGI</stp>
        <stp>RTG_FITCH</stp>
        <stp>[DIF_Risk_20200430.xlsm]Geneva investment position repo!R173C33</stp>
        <tr r="AG173" s="1"/>
        <tr r="AG173" s="1"/>
      </tp>
      <tp t="s">
        <v>BOND</v>
        <stp/>
        <stp>##V3_BDPV12</stp>
        <stp>BBG00RD4VH41 FIGI</stp>
        <stp>MIFID_ASSET_CLASS</stp>
        <stp>[DIF_Risk_20200430.xlsm]Geneva investment position repo!R106C19</stp>
        <tr r="S106" s="1"/>
      </tp>
      <tp t="s">
        <v>Real Estate Oper/Develop</v>
        <stp/>
        <stp>##V3_BDPV12</stp>
        <stp>BBG00MNWHQT8 FIGI</stp>
        <stp>INDUSTRY_SUBGROUP</stp>
        <stp>[DIF_Risk_20200430.xlsm]Geneva investment position repo!R135C41</stp>
        <tr r="AO135" s="1"/>
      </tp>
      <tp t="s">
        <v>EQUI</v>
        <stp/>
        <stp>##V3_BDPV12</stp>
        <stp>BBG00LLV9WW6 FIGI</stp>
        <stp>MIFID_ASSET_CLASS</stp>
        <stp>[DIF_Risk_20200430.xlsm]Geneva investment position repo!R21C19</stp>
        <tr r="S21" s="1"/>
      </tp>
      <tp t="s">
        <v>#N/A Field Not Applicable</v>
        <stp/>
        <stp>##V3_BDPV12</stp>
        <stp>BBG00KDP8LC7 FIGI</stp>
        <stp>BOND_CLASSIFICATION_NAME</stp>
        <stp>[DIF_Risk_20200430.xlsm]Geneva investment position repo!R49C53</stp>
        <tr r="BA49" s="1"/>
      </tp>
      <tp t="s">
        <v>BOND</v>
        <stp/>
        <stp>##V3_BDPV12</stp>
        <stp>BBG00QRVV8P5 FIGI</stp>
        <stp>MIFID_ASSET_CLASS</stp>
        <stp>[DIF_Risk_20200430.xlsm]Geneva investment position repo!R131C19</stp>
        <tr r="S131" s="1"/>
      </tp>
      <tp t="s">
        <v>#N/A N/A</v>
        <stp/>
        <stp>##V3_BDPV12</stp>
        <stp>BBG00NG9L0S8 FIGI</stp>
        <stp>RTG_MOODY</stp>
        <stp>[DIF_Risk_20200430.xlsm]Geneva investment position repo!R134C32</stp>
        <tr r="AF134" s="1"/>
      </tp>
      <tp t="s">
        <v>Financials</v>
        <stp/>
        <stp>##V3_BDPV12</stp>
        <stp>BBG00DVX5HS1 FIGI</stp>
        <stp>GICS_SECTOR_NAME</stp>
        <stp>[DIF_Risk_20200430.xlsm]Geneva investment position repo!R44C51</stp>
        <tr r="AY44" s="1"/>
      </tp>
      <tp t="s">
        <v>#N/A N/A</v>
        <stp/>
        <stp>##V3_BDPV12</stp>
        <stp>BBG00CP5W6B3 FIGI</stp>
        <stp>RTG_FITCH</stp>
        <stp>[DIF_Risk_20200430.xlsm]Geneva investment position repo!R107C33</stp>
        <tr r="AG107" s="1"/>
      </tp>
      <tp t="s">
        <v>BANK</v>
        <stp/>
        <stp>##V3_BDPV12</stp>
        <stp>BBG00RYF5CJ7 FIGI</stp>
        <stp>ISSUER_INDUSTRY</stp>
        <stp>[DIF_Risk_20200430.xlsm]Geneva investment position repo!R35C52</stp>
        <tr r="AZ35" s="1"/>
      </tp>
      <tp t="s">
        <v>Financial</v>
        <stp/>
        <stp>##V3_BDPV12</stp>
        <stp>BBG00RYF5CJ7 FIGI</stp>
        <stp>INDUSTRY_SECTOR</stp>
        <stp>[DIF_Risk_20200430.xlsm]Geneva investment position repo!R35C39</stp>
        <tr r="AM35" s="1"/>
      </tp>
      <tp t="s">
        <v>BOND</v>
        <stp/>
        <stp>##V3_BDPV12</stp>
        <stp>BBG00QRVV6Z8 FIGI</stp>
        <stp>MIFID_ASSET_CLASS</stp>
        <stp>[DIF_Risk_20200430.xlsm]Geneva investment position repo!R155C19</stp>
        <tr r="S155" s="1"/>
      </tp>
      <tp t="s">
        <v>#N/A Field Not Applicable</v>
        <stp/>
        <stp>##V3_BDPV12</stp>
        <stp>BBG00LJTWWM9 FIGI</stp>
        <stp>BOND_CLASSIFICATION_NAME</stp>
        <stp>[DIF_Risk_20200430.xlsm]Geneva investment position repo!R60C53</stp>
        <tr r="BA60" s="1"/>
      </tp>
      <tp t="s">
        <v>#N/A Field Not Applicable</v>
        <stp/>
        <stp>##V3_BDPV12</stp>
        <stp>BBG00PSJ40G0 FIGI</stp>
        <stp>CAPITAL_TYP_COCO_INITIAL_TRIGGER</stp>
        <stp>[DIF_Risk_20200430.xlsm]Geneva investment position repo!R97C43</stp>
        <tr r="AQ97" s="1"/>
      </tp>
      <tp t="s">
        <v>#N/A N/A</v>
        <stp/>
        <stp>##V3_BDPV12</stp>
        <stp>BBG00NGWHP25 FIGI</stp>
        <stp>RTG_FITCH</stp>
        <stp>[DIF_Risk_20200430.xlsm]Geneva investment position repo!R29C33</stp>
        <tr r="AG29" s="1"/>
      </tp>
      <tp t="s">
        <v>BBB-</v>
        <stp/>
        <stp>##V3_BDPV12</stp>
        <stp>BBG00R9SNB81 FIGI</stp>
        <stp>RTG_FITCH</stp>
        <stp>[DIF_Risk_20200430.xlsm]Geneva investment position repo!R64C33</stp>
        <tr r="AG64" s="1"/>
        <tr r="AG64" s="1"/>
      </tp>
      <tp t="s">
        <v>BOND</v>
        <stp/>
        <stp>##V3_BDPV12</stp>
        <stp>BBG00JC8V4T3 FIGI</stp>
        <stp>MIFID_ASSET_CLASS</stp>
        <stp>[DIF_Risk_20200430.xlsm]Geneva investment position repo!R176C19</stp>
        <tr r="S176" s="1"/>
      </tp>
      <tp t="s">
        <v>#N/A Field Not Applicable</v>
        <stp/>
        <stp>##V3_BDPV12</stp>
        <stp>BBG00PSJPXV8 FIGI</stp>
        <stp>GICS_SECTOR_NAME</stp>
        <stp>[DIF_Risk_20200430.xlsm]Geneva investment position repo!R82C51</stp>
        <tr r="AY82" s="1"/>
      </tp>
      <tp t="s">
        <v>#N/A Field Not Applicable</v>
        <stp/>
        <stp>##V3_BDPV12</stp>
        <stp>BBG00S0GV953 FIGI</stp>
        <stp>GICS_SECTOR_NAME</stp>
        <stp>[DIF_Risk_20200430.xlsm]Geneva investment position repo!R98C51</stp>
        <tr r="AY98" s="1"/>
      </tp>
      <tp t="s">
        <v>#N/A Field Not Applicable</v>
        <stp/>
        <stp>##V3_BDPV12</stp>
        <stp>BBG00PDL9DC2 FIGI</stp>
        <stp>BOND_CLASSIFICATION_NAME</stp>
        <stp>[DIF_Risk_20200430.xlsm]Geneva investment position repo!R92C53</stp>
        <tr r="BA92" s="1"/>
      </tp>
      <tp t="s">
        <v>#N/A N/A</v>
        <stp/>
        <stp>##V3_BDPV12</stp>
        <stp>BBG00RT2L457 FIGI</stp>
        <stp>RTG_MOODY</stp>
        <stp>[DIF_Risk_20200430.xlsm]Geneva investment position repo!R177C32</stp>
        <tr r="AF177" s="1"/>
      </tp>
      <tp t="s">
        <v>BB</v>
        <stp/>
        <stp>##V3_BDPV12</stp>
        <stp>BBG00QQ1W050 FIGI</stp>
        <stp>RTG_FITCH</stp>
        <stp>[DIF_Risk_20200430.xlsm]Geneva investment position repo!R149C33</stp>
        <tr r="AG149" s="1"/>
        <tr r="AG149" s="1"/>
      </tp>
      <tp t="s">
        <v>#N/A Field Not Applicable</v>
        <stp/>
        <stp>##V3_BDPV12</stp>
        <stp>BBG00P1GZFC2 FIGI</stp>
        <stp>BOND_CLASSIFICATION_NAME</stp>
        <stp>[DIF_Risk_20200430.xlsm]Geneva investment position repo!R112C53</stp>
        <tr r="BA112" s="1"/>
      </tp>
      <tp t="s">
        <v>#N/A Field Not Applicable</v>
        <stp/>
        <stp>##V3_BDPV12</stp>
        <stp>BBG00GSCY4N6 FIGI</stp>
        <stp>BOND_CLASSIFICATION_NAME</stp>
        <stp>[DIF_Risk_20200430.xlsm]Geneva investment position repo!R116C53</stp>
        <tr r="BA116" s="1"/>
      </tp>
      <tp t="s">
        <v>#N/A Field Not Applicable</v>
        <stp/>
        <stp>##V3_BDPV12</stp>
        <stp>BBG00GDDS1Y1 FIGI</stp>
        <stp>BOND_CLASSIFICATION_NAME</stp>
        <stp>[DIF_Risk_20200430.xlsm]Geneva investment position repo!R109C53</stp>
        <tr r="BA109" s="1"/>
      </tp>
      <tp t="s">
        <v>ACTV</v>
        <stp/>
        <stp>##V3_BDPV12</stp>
        <stp>BBG00PGHK257 FIGI</stp>
        <stp>EXCH_MARKET_STATUS</stp>
        <stp>[DIF_Risk_20200430.xlsm]Geneva investment position repo!R87C44</stp>
        <tr r="AR87" s="1"/>
        <tr r="AR87" s="1"/>
      </tp>
      <tp t="s">
        <v>Real Estate</v>
        <stp/>
        <stp>##V3_BDPV12</stp>
        <stp>BBG00K6FDF25 FIGI</stp>
        <stp>GICS_SECTOR_NAME</stp>
        <stp>[DIF_Risk_20200430.xlsm]Geneva investment position repo!R101C51</stp>
        <tr r="AY101" s="1"/>
      </tp>
      <tp t="s">
        <v>Real Estate</v>
        <stp/>
        <stp>##V3_BDPV12</stp>
        <stp>BBG00N0J9QB8 FIGI</stp>
        <stp>GICS_SECTOR_NAME</stp>
        <stp>[DIF_Risk_20200430.xlsm]Geneva investment position repo!R132C51</stp>
        <tr r="AY132" s="1"/>
      </tp>
      <tp t="s">
        <v>#N/A N/A</v>
        <stp/>
        <stp>##V3_BDPV12</stp>
        <stp>BBG00S6SWBM6 FIGI</stp>
        <stp>RTG_SP</stp>
        <stp>[DIF_Risk_20200430.xlsm]Geneva investment position repo!R158C31</stp>
        <tr r="AE158" s="1"/>
      </tp>
      <tp t="s">
        <v>XS1958219922</v>
        <stp/>
        <stp>##V3_BDPV12</stp>
        <stp>BBG00NV899R9 FIGI</stp>
        <stp>ID_ISIN</stp>
        <stp>[DIF_Risk_20200430.xlsm]Geneva investment position repo!R168C63</stp>
        <tr r="BK168" s="1"/>
      </tp>
      <tp t="s">
        <v>Real Estate</v>
        <stp/>
        <stp>##V3_BDPV12</stp>
        <stp>BBG00KNCMN62 FIGI</stp>
        <stp>INDUSTRY_GROUP</stp>
        <stp>[DIF_Risk_20200430.xlsm]Geneva investment position repo!R102C40</stp>
        <tr r="AN102" s="1"/>
      </tp>
      <tp t="s">
        <v>#N/A Field Not Applicable</v>
        <stp/>
        <stp>##V3_BDPV12</stp>
        <stp>BBG00Q2B8JR6 FIGI</stp>
        <stp>BOND_CLASSIFICATION_NAME</stp>
        <stp>[DIF_Risk_20200430.xlsm]Geneva investment position repo!R170C53</stp>
        <tr r="BA170" s="1"/>
      </tp>
      <tp t="s">
        <v>ACTV</v>
        <stp/>
        <stp>##V3_BDPV12</stp>
        <stp>BBG005BTJ9P5 FIGI</stp>
        <stp>EXCH_MARKET_STATUS</stp>
        <stp>[DIF_Risk_20200430.xlsm]Geneva investment position repo!R65C44</stp>
        <tr r="AR65" s="1"/>
        <tr r="AR65" s="1"/>
      </tp>
      <tp t="s">
        <v>#N/A Field Not Applicable</v>
        <stp/>
        <stp>##V3_BDPV12</stp>
        <stp>BBG00NQF0SC2 FIGI</stp>
        <stp>BOND_CLASSIFICATION_NAME</stp>
        <stp>[DIF_Risk_20200430.xlsm]Geneva investment position repo!R160C53</stp>
        <tr r="BA160" s="1"/>
      </tp>
      <tp t="s">
        <v>Real Estate</v>
        <stp/>
        <stp>##V3_BDPV12</stp>
        <stp>BBG00H4BZMF0 FIGI</stp>
        <stp>INDUSTRY_GROUP</stp>
        <stp>[DIF_Risk_20200430.xlsm]Geneva investment position repo!R130C40</stp>
        <tr r="AN130" s="1"/>
      </tp>
      <tp t="s">
        <v>#N/A N/A</v>
        <stp/>
        <stp>##V3_BDPV12</stp>
        <stp>BBG00HVHMY65 FIGI</stp>
        <stp>RTG_SP</stp>
        <stp>[DIF_Risk_20200430.xlsm]Geneva investment position repo!R119C31</stp>
        <tr r="AE119" s="1"/>
      </tp>
      <tp t="s">
        <v>XS1959497782</v>
        <stp/>
        <stp>##V3_BDPV12</stp>
        <stp>BBG00NGWHP25 FIGI</stp>
        <stp>ID_ISIN</stp>
        <stp>[DIF_Risk_20200430.xlsm]Geneva investment position repo!R29C63</stp>
        <tr r="BK29" s="1"/>
      </tp>
      <tp t="s">
        <v>CNE100003688</v>
        <stp/>
        <stp>##V3_BDPV12</stp>
        <stp>BBG00LD1QR26 FIGI</stp>
        <stp>ID_ISIN</stp>
        <stp>[DIF_Risk_20200430.xlsm]Geneva investment position repo!R12C63</stp>
        <tr r="BK12" s="1"/>
      </tp>
      <tp t="s">
        <v>#N/A Field Not Applicable</v>
        <stp/>
        <stp>##V3_BDPV12</stp>
        <stp>BBG00NV886P8 FIGI</stp>
        <stp>BOND_CLASSIFICATION_NAME</stp>
        <stp>[DIF_Risk_20200430.xlsm]Geneva investment position repo!R72C53</stp>
        <tr r="BA72" s="1"/>
      </tp>
      <tp t="s">
        <v>BOND</v>
        <stp/>
        <stp>##V3_BDPV12</stp>
        <stp>BBG00RPXWXD8 FIGI</stp>
        <stp>MIFID_ASSET_CLASS</stp>
        <stp>[DIF_Risk_20200430.xlsm]Geneva investment position repo!R173C19</stp>
        <tr r="S173" s="1"/>
      </tp>
      <tp t="s">
        <v>B-</v>
        <stp/>
        <stp>##V3_BDPV12</stp>
        <stp>BBG00RD4VH41 FIGI</stp>
        <stp>RTG_FITCH</stp>
        <stp>[DIF_Risk_20200430.xlsm]Geneva investment position repo!R106C33</stp>
        <tr r="AG106" s="1"/>
        <tr r="AG106" s="1"/>
      </tp>
      <tp t="s">
        <v>#N/A N/A</v>
        <stp/>
        <stp>##V3_BDPV12</stp>
        <stp>BBG00DKQ0MQ4 FIGI</stp>
        <stp>RTG_MOODY</stp>
        <stp>[DIF_Risk_20200430.xlsm]Geneva investment position repo!R78C32</stp>
        <tr r="AF78" s="1"/>
      </tp>
      <tp t="s">
        <v>Electric-Generation</v>
        <stp/>
        <stp>##V3_BDPV12</stp>
        <stp>BBG00DKQ0MQ4 FIGI</stp>
        <stp>INDUSTRY_SUBGROUP</stp>
        <stp>[DIF_Risk_20200430.xlsm]Geneva investment position repo!R78C41</stp>
        <tr r="AO78" s="1"/>
      </tp>
      <tp t="s">
        <v>#N/A N/A</v>
        <stp/>
        <stp>##V3_BDPV12</stp>
        <stp>BBG00HVHMY65 FIGI</stp>
        <stp>RTG_MOODY</stp>
        <stp>[DIF_Risk_20200430.xlsm]Geneva investment position repo!R119C32</stp>
        <tr r="AF119" s="1"/>
      </tp>
      <tp t="s">
        <v>#N/A N/A</v>
        <stp/>
        <stp>##V3_BDPV12</stp>
        <stp>BBG00SBW5S62 FIGI</stp>
        <stp>RTG_MOODY</stp>
        <stp>[DIF_Risk_20200430.xlsm]Geneva investment position repo!R88C32</stp>
        <tr r="AF88" s="1"/>
      </tp>
      <tp t="s">
        <v>Real Estate Oper/Develop</v>
        <stp/>
        <stp>##V3_BDPV12</stp>
        <stp>BBG00SBW5S62 FIGI</stp>
        <stp>INDUSTRY_SUBGROUP</stp>
        <stp>[DIF_Risk_20200430.xlsm]Geneva investment position repo!R88C41</stp>
        <tr r="AO88" s="1"/>
      </tp>
      <tp t="s">
        <v>#N/A N/A</v>
        <stp/>
        <stp>##V3_BDPV12</stp>
        <stp>BBG00RB0MG61 FIGI</stp>
        <stp>RTG_MOODY</stp>
        <stp>[DIF_Risk_20200430.xlsm]Geneva investment position repo!R100C32</stp>
        <tr r="AF100" s="1"/>
      </tp>
      <tp t="s">
        <v>BOND</v>
        <stp/>
        <stp>##V3_BDPV12</stp>
        <stp>BBG00N14WRV0 FIGI</stp>
        <stp>MIFID_ASSET_CLASS</stp>
        <stp>[DIF_Risk_20200430.xlsm]Geneva investment position repo!R142C19</stp>
        <tr r="S142" s="1"/>
      </tp>
      <tp t="s">
        <v>Baa1</v>
        <stp/>
        <stp>##V3_BDPV12</stp>
        <stp>BBG00RZ2MZZ7 FIGI</stp>
        <stp>RTG_MOODY</stp>
        <stp>[DIF_Risk_20200430.xlsm]Geneva investment position repo!R113C32</stp>
        <tr r="AF113" s="1"/>
        <tr r="AF113" s="1"/>
      </tp>
      <tp t="s">
        <v>HUAFAI 4.4 03/16/21</v>
        <stp/>
        <stp>##V3_BDPV12</stp>
        <stp>BBG00SBW5S62 FIGI</stp>
        <stp>SECURITY_NAME</stp>
        <stp>[DIF_Risk_20200430.xlsm]SFC Report!R117C8</stp>
        <tr r="H117" s="6"/>
      </tp>
      <tp t="s">
        <v>BOND</v>
        <stp/>
        <stp>##V3_BDPV12</stp>
        <stp>BBG00T2MWMJ1 FIGI</stp>
        <stp>MIFID_ASSET_CLASS</stp>
        <stp>[DIF_Risk_20200430.xlsm]Geneva investment position repo!R128C19</stp>
        <tr r="S128" s="1"/>
      </tp>
      <tp t="s">
        <v>BOND</v>
        <stp/>
        <stp>##V3_BDPV12</stp>
        <stp>BBG00RCY5V08 FIGI</stp>
        <stp>MIFID_ASSET_CLASS</stp>
        <stp>[DIF_Risk_20200430.xlsm]Geneva investment position repo!R39C19</stp>
        <tr r="S39" s="1"/>
      </tp>
      <tp t="s">
        <v>A+</v>
        <stp/>
        <stp>##V3_BDPV12</stp>
        <stp>BBG00JCQ6Y42 FIGI</stp>
        <stp>RTG_FITCH</stp>
        <stp>[DIF_Risk_20200430.xlsm]Geneva investment position repo!R33C33</stp>
        <tr r="AG33" s="1"/>
        <tr r="AG33" s="1"/>
      </tp>
      <tp t="s">
        <v>Financial</v>
        <stp/>
        <stp>##V3_BDPV12</stp>
        <stp>BBG00BWQ0R57 FIGI</stp>
        <stp>INDUSTRY_SECTOR</stp>
        <stp>[DIF_Risk_20200430.xlsm]Geneva investment position repo!R62C39</stp>
        <tr r="AM62" s="1"/>
      </tp>
      <tp t="s">
        <v>FINANCIAL</v>
        <stp/>
        <stp>##V3_BDPV12</stp>
        <stp>BBG00BWQ0R57 FIGI</stp>
        <stp>ISSUER_INDUSTRY</stp>
        <stp>[DIF_Risk_20200430.xlsm]Geneva investment position repo!R62C52</stp>
        <tr r="AZ62" s="1"/>
      </tp>
      <tp t="s">
        <v>#N/A N/A</v>
        <stp/>
        <stp>##V3_BDPV12</stp>
        <stp>BBG00TJ8VS75 FIGI</stp>
        <stp>RTG_FITCH</stp>
        <stp>[DIF_Risk_20200430.xlsm]Geneva investment position repo!R167C33</stp>
        <tr r="AG167" s="1"/>
      </tp>
      <tp t="s">
        <v>BB</v>
        <stp/>
        <stp>##V3_BDPV12</stp>
        <stp>BBG00LJTVJR4 FIGI</stp>
        <stp>RTG_FITCH</stp>
        <stp>[DIF_Risk_20200430.xlsm]Geneva investment position repo!R154C33</stp>
        <tr r="AG154" s="1"/>
        <tr r="AG154" s="1"/>
      </tp>
      <tp t="s">
        <v>BB-</v>
        <stp/>
        <stp>##V3_BDPV12</stp>
        <stp>BBG00R9LVRX4 FIGI</stp>
        <stp>RTG_FITCH</stp>
        <stp>[DIF_Risk_20200430.xlsm]Geneva investment position repo!R172C33</stp>
        <tr r="AG172" s="1"/>
        <tr r="AG172" s="1"/>
      </tp>
      <tp t="s">
        <v>#N/A N/A</v>
        <stp/>
        <stp>##V3_BDPV12</stp>
        <stp>BBG00KNCMN62 FIGI</stp>
        <stp>RTG_MOODY</stp>
        <stp>[DIF_Risk_20200430.xlsm]Geneva investment position repo!R102C32</stp>
        <tr r="AF102" s="1"/>
      </tp>
      <tp t="s">
        <v>#N/A N/A</v>
        <stp/>
        <stp>##V3_BDPV12</stp>
        <stp>BBG00JC8V4T3 FIGI</stp>
        <stp>RTG_FITCH</stp>
        <stp>[DIF_Risk_20200430.xlsm]Geneva investment position repo!R176C33</stp>
        <tr r="AG176" s="1"/>
      </tp>
      <tp t="s">
        <v>#N/A Field Not Applicable</v>
        <stp/>
        <stp>##V3_BDPV12</stp>
        <stp>BBG000BZWNT2 FIGI</stp>
        <stp>SP_EFF_DT</stp>
        <stp>[DIF_Risk_20200430.xlsm]Geneva investment position repo!R11C71</stp>
        <tr r="BS11" s="1"/>
      </tp>
      <tp t="s">
        <v>B3</v>
        <stp/>
        <stp>##V3_BDPV12</stp>
        <stp>BBG00NTXM180 FIGI</stp>
        <stp>RTG_MOODY</stp>
        <stp>[DIF_Risk_20200430.xlsm]Geneva investment position repo!R136C32</stp>
        <tr r="AF136" s="1"/>
        <tr r="AF136" s="1"/>
      </tp>
      <tp t="s">
        <v>#N/A Field Not Applicable</v>
        <stp/>
        <stp>##V3_BDPV12</stp>
        <stp>BBG00PCCVDV7 FIGI</stp>
        <stp>CAPITAL_TYP_COCO_INITIAL_TRIGGER</stp>
        <stp>[DIF_Risk_20200430.xlsm]Geneva investment position repo!R76C43</stp>
        <tr r="AQ76" s="1"/>
      </tp>
      <tp t="s">
        <v>Financial</v>
        <stp/>
        <stp>##V3_BDPV12</stp>
        <stp>BBG00RTNXBH9 FIGI</stp>
        <stp>INDUSTRY_SECTOR</stp>
        <stp>[DIF_Risk_20200430.xlsm]Geneva investment position repo!R69C39</stp>
        <tr r="AM69" s="1"/>
      </tp>
      <tp t="s">
        <v>#N/A N/A</v>
        <stp/>
        <stp>##V3_BDPV12</stp>
        <stp>BBG00NDFM319 FIGI</stp>
        <stp>RTG_MOODY</stp>
        <stp>[DIF_Risk_20200430.xlsm]Geneva investment position repo!R140C32</stp>
        <tr r="AF140" s="1"/>
      </tp>
      <tp t="s">
        <v>BANK</v>
        <stp/>
        <stp>##V3_BDPV12</stp>
        <stp>BBG00RTNXBH9 FIGI</stp>
        <stp>ISSUER_INDUSTRY</stp>
        <stp>[DIF_Risk_20200430.xlsm]Geneva investment position repo!R69C52</stp>
        <tr r="AZ69" s="1"/>
      </tp>
      <tp t="s">
        <v>BOND</v>
        <stp/>
        <stp>##V3_BDPV12</stp>
        <stp>BBG005BTJ9P5 FIGI</stp>
        <stp>MIFID_ASSET_CLASS</stp>
        <stp>[DIF_Risk_20200430.xlsm]Geneva investment position repo!R65C19</stp>
        <tr r="S65" s="1"/>
      </tp>
      <tp t="s">
        <v>BOND</v>
        <stp/>
        <stp>##V3_BDPV12</stp>
        <stp>BBG00QQ1W050 FIGI</stp>
        <stp>MIFID_ASSET_CLASS</stp>
        <stp>[DIF_Risk_20200430.xlsm]Geneva investment position repo!R149C19</stp>
        <tr r="S149" s="1"/>
      </tp>
      <tp t="s">
        <v>BOND</v>
        <stp/>
        <stp>##V3_BDPV12</stp>
        <stp>BBG00R9SN7F2 FIGI</stp>
        <stp>MIFID_ASSET_CLASS</stp>
        <stp>[DIF_Risk_20200430.xlsm]Geneva investment position repo!R63C19</stp>
        <tr r="S63" s="1"/>
      </tp>
      <tp t="s">
        <v>#N/A N/A</v>
        <stp/>
        <stp>##V3_BDPV12</stp>
        <stp>BBG00QRVV8P5 FIGI</stp>
        <stp>RTG_FITCH</stp>
        <stp>[DIF_Risk_20200430.xlsm]Geneva investment position repo!R131C33</stp>
        <tr r="AG131" s="1"/>
      </tp>
      <tp t="s">
        <v>XS1856800450</v>
        <stp/>
        <stp>##V3_BDPV12</stp>
        <stp>BBG00LLFHRL5 FIGI</stp>
        <stp>ID_ISIN</stp>
        <stp>[DIF_Risk_20200430.xlsm]Geneva investment position repo!R61C63</stp>
        <tr r="BK61" s="1"/>
      </tp>
      <tp t="s">
        <v>LOGPH 5 3/4 01/14/25</v>
        <stp/>
        <stp>##V3_BDPV12</stp>
        <stp>BBG00RB0MG61 FIGI</stp>
        <stp>SECURITY_NAME</stp>
        <stp>[DIF_Risk_20200430.xlsm]SFC Report!R117C1</stp>
        <tr r="A117" s="6"/>
      </tp>
      <tp t="s">
        <v>#N/A Field Not Applicable</v>
        <stp/>
        <stp>##V3_BDPV12</stp>
        <stp>BBG00RDBJ3B2 FIGI</stp>
        <stp>BOND_CLASSIFICATION_NAME</stp>
        <stp>[DIF_Risk_20200430.xlsm]Geneva investment position repo!R34C53</stp>
        <tr r="BA34" s="1"/>
      </tp>
      <tp t="s">
        <v>BOND</v>
        <stp/>
        <stp>##V3_BDPV12</stp>
        <stp>BBG00CP5W6B3 FIGI</stp>
        <stp>MIFID_ASSET_CLASS</stp>
        <stp>[DIF_Risk_20200430.xlsm]Geneva investment position repo!R107C19</stp>
        <tr r="S107" s="1"/>
      </tp>
      <tp t="s">
        <v>B</v>
        <stp/>
        <stp>##V3_BDPV12</stp>
        <stp>BBG00QRVV6Z8 FIGI</stp>
        <stp>RTG_FITCH</stp>
        <stp>[DIF_Risk_20200430.xlsm]Geneva investment position repo!R155C33</stp>
        <tr r="AG155" s="1"/>
        <tr r="AG155" s="1"/>
      </tp>
      <tp t="s">
        <v>FINANCIAL</v>
        <stp/>
        <stp>##V3_BDPV12</stp>
        <stp>BBG00R9SNB81 FIGI</stp>
        <stp>ISSUER_INDUSTRY</stp>
        <stp>[DIF_Risk_20200430.xlsm]Geneva investment position repo!R64C52</stp>
        <tr r="AZ64" s="1"/>
      </tp>
      <tp t="s">
        <v>Financial</v>
        <stp/>
        <stp>##V3_BDPV12</stp>
        <stp>BBG00R9SNB81 FIGI</stp>
        <stp>INDUSTRY_SECTOR</stp>
        <stp>[DIF_Risk_20200430.xlsm]Geneva investment position repo!R64C39</stp>
        <tr r="AM64" s="1"/>
      </tp>
      <tp t="s">
        <v>#N/A N/A</v>
        <stp/>
        <stp>##V3_BDPV12</stp>
        <stp>BBG00TDCM2R7 FIGI</stp>
        <stp>RTG_MOODY</stp>
        <stp>[DIF_Risk_20200430.xlsm]Geneva investment position repo!R147C32</stp>
        <tr r="AF147" s="1"/>
      </tp>
      <tp t="s">
        <v>Real Estate</v>
        <stp/>
        <stp>##V3_BDPV12</stp>
        <stp>BBG00NQDZNG6 FIGI</stp>
        <stp>GICS_SECTOR_NAME</stp>
        <stp>[DIF_Risk_20200430.xlsm]Geneva investment position repo!R178C51</stp>
        <tr r="AY178" s="1"/>
      </tp>
      <tp t="s">
        <v>Real Estate</v>
        <stp/>
        <stp>##V3_BDPV12</stp>
        <stp>BBG00H4BZMF0 FIGI</stp>
        <stp>GICS_SECTOR_NAME</stp>
        <stp>[DIF_Risk_20200430.xlsm]Geneva investment position repo!R130C51</stp>
        <tr r="AY130" s="1"/>
      </tp>
      <tp t="s">
        <v>#N/A Field Not Applicable</v>
        <stp/>
        <stp>##V3_BDPV12</stp>
        <stp>BBG0016XR1Q8 FIGI</stp>
        <stp>MOODY_EFF_DT</stp>
        <stp>[DIF_Risk_20200430.xlsm]Geneva investment position repo!R6C72</stp>
        <tr r="BT6" s="1"/>
      </tp>
      <tp t="s">
        <v>#N/A Field Not Applicable</v>
        <stp/>
        <stp>##V3_BDPV12</stp>
        <stp>BBG00QRVV8P5 FIGI</stp>
        <stp>CAPITAL_TYP_COCO_INITIAL_TRIGGER</stp>
        <stp>[DIF_Risk_20200430.xlsm]Geneva investment position repo!R131C43</stp>
        <tr r="AQ131" s="1"/>
      </tp>
      <tp t="s">
        <v>#N/A Field Not Applicable</v>
        <stp/>
        <stp>##V3_BDPV12</stp>
        <stp>BBG00TDCM2R7 FIGI</stp>
        <stp>BOND_CLASSIFICATION_NAME</stp>
        <stp>[DIF_Risk_20200430.xlsm]Geneva investment position repo!R147C53</stp>
        <tr r="BA147" s="1"/>
      </tp>
      <tp t="s">
        <v>#N/A Field Not Applicable</v>
        <stp/>
        <stp>##V3_BDPV12</stp>
        <stp>BBG00PKGTF65 FIGI</stp>
        <stp>GICS_SECTOR_NAME</stp>
        <stp>[DIF_Risk_20200430.xlsm]Geneva investment position repo!R164C51</stp>
        <tr r="AY164" s="1"/>
      </tp>
      <tp t="s">
        <v>#N/A Field Not Applicable</v>
        <stp/>
        <stp>##V3_BDPV12</stp>
        <stp>BBG00TFTG847 FIGI</stp>
        <stp>CAPITAL_TYP_COCO_INITIAL_TRIGGER</stp>
        <stp>[DIF_Risk_20200430.xlsm]Geneva investment position repo!R117C43</stp>
        <tr r="AQ117" s="1"/>
      </tp>
      <tp t="s">
        <v>ACTV</v>
        <stp/>
        <stp>##V3_BDPV12</stp>
        <stp>BBG00RDBJ3B2 FIGI</stp>
        <stp>EXCH_MARKET_STATUS</stp>
        <stp>[DIF_Risk_20200430.xlsm]Geneva investment position repo!R34C44</stp>
        <tr r="AR34" s="1"/>
        <tr r="AR34" s="1"/>
      </tp>
      <tp t="s">
        <v>SPECIAL PURPOSE</v>
        <stp/>
        <stp>##V3_BDPV12</stp>
        <stp>BBG00QRVV6Z8 FIGI</stp>
        <stp>ISSUER_INDUSTRY</stp>
        <stp>[DIF_Risk_20200430.xlsm]Geneva investment position repo!R155C52</stp>
        <tr r="AZ155" s="1"/>
      </tp>
      <tp t="s">
        <v>XS1772325210</v>
        <stp/>
        <stp>##V3_BDPV12</stp>
        <stp>BBG00K6FDF25 FIGI</stp>
        <stp>ID_ISIN</stp>
        <stp>[DIF_Risk_20200430.xlsm]Geneva investment position repo!R101C63</stp>
        <tr r="BK101" s="1"/>
      </tp>
      <tp t="s">
        <v>#N/A Field Not Applicable</v>
        <stp/>
        <stp>##V3_BDPV12</stp>
        <stp>BBG000QWR4M8 FIGI</stp>
        <stp>FITCH_EFF_DT</stp>
        <stp>[DIF_Risk_20200430.xlsm]Geneva investment position repo!R8C73</stp>
        <tr r="BU8" s="1"/>
      </tp>
      <tp t="s">
        <v>Financial</v>
        <stp/>
        <stp>##V3_BDPV12</stp>
        <stp>BBG00NB0B2N4 FIGI</stp>
        <stp>INDUSTRY_SECTOR</stp>
        <stp>[DIF_Risk_20200430.xlsm]Geneva investment position repo!R150C39</stp>
        <tr r="AM150" s="1"/>
      </tp>
      <tp t="s">
        <v>XS1936202644</v>
        <stp/>
        <stp>##V3_BDPV12</stp>
        <stp>BBG00N14RT60 FIGI</stp>
        <stp>ID_ISIN</stp>
        <stp>[DIF_Risk_20200430.xlsm]Geneva investment position repo!R153C63</stp>
        <tr r="BK153" s="1"/>
      </tp>
      <tp t="s">
        <v>#N/A Field Not Applicable</v>
        <stp/>
        <stp>##V3_BDPV12</stp>
        <stp>BBG00L1B1VB5 FIGI</stp>
        <stp>BOND_CLASSIFICATION_NAME</stp>
        <stp>[DIF_Risk_20200430.xlsm]Geneva investment position repo!R163C53</stp>
        <tr r="BA163" s="1"/>
      </tp>
      <tp t="s">
        <v>Diversified Finan Serv</v>
        <stp/>
        <stp>##V3_BDPV12</stp>
        <stp>BBG00NL43H88 FIGI</stp>
        <stp>INDUSTRY_GROUP</stp>
        <stp>[DIF_Risk_20200430.xlsm]Geneva investment position repo!R121C40</stp>
        <tr r="AN121" s="1"/>
      </tp>
      <tp t="s">
        <v>FINANCIAL</v>
        <stp/>
        <stp>##V3_BDPV12</stp>
        <stp>BBG00QNT5B76 FIGI</stp>
        <stp>ISSUER_INDUSTRY</stp>
        <stp>[DIF_Risk_20200430.xlsm]Geneva investment position repo!R30C52</stp>
        <tr r="AZ30" s="1"/>
      </tp>
      <tp t="s">
        <v>Financial</v>
        <stp/>
        <stp>##V3_BDPV12</stp>
        <stp>BBG00QNT5B76 FIGI</stp>
        <stp>INDUSTRY_SECTOR</stp>
        <stp>[DIF_Risk_20200430.xlsm]Geneva investment position repo!R30C39</stp>
        <tr r="AM30" s="1"/>
      </tp>
      <tp t="s">
        <v>BOND</v>
        <stp/>
        <stp>##V3_BDPV12</stp>
        <stp>BBG00JVKTCJ1 FIGI</stp>
        <stp>MIFID_ASSET_CLASS</stp>
        <stp>[DIF_Risk_20200430.xlsm]Geneva investment position repo!R110C19</stp>
        <tr r="S110" s="1"/>
      </tp>
      <tp t="s">
        <v>B1</v>
        <stp/>
        <stp>##V3_BDPV12</stp>
        <stp>BBG00PNSNLZ7 FIGI</stp>
        <stp>RTG_MOODY</stp>
        <stp>[DIF_Risk_20200430.xlsm]Geneva investment position repo!R161C32</stp>
        <tr r="AF161" s="1"/>
        <tr r="AF161" s="1"/>
      </tp>
      <tp t="s">
        <v>A3</v>
        <stp/>
        <stp>##V3_BDPV12</stp>
        <stp>BBG00BWQ0R57 FIGI</stp>
        <stp>RTG_MOODY</stp>
        <stp>[DIF_Risk_20200430.xlsm]Geneva investment position repo!R62C32</stp>
        <tr r="AF62" s="1"/>
        <tr r="AF62" s="1"/>
      </tp>
      <tp t="s">
        <v>Multi-line Insurance</v>
        <stp/>
        <stp>##V3_BDPV12</stp>
        <stp>BBG00BWQ0R57 FIGI</stp>
        <stp>INDUSTRY_SUBGROUP</stp>
        <stp>[DIF_Risk_20200430.xlsm]Geneva investment position repo!R62C41</stp>
        <tr r="AO62" s="1"/>
      </tp>
      <tp t="s">
        <v>BOND</v>
        <stp/>
        <stp>##V3_BDPV12</stp>
        <stp>BBG00RPXTTD1 FIGI</stp>
        <stp>MIFID_ASSET_CLASS</stp>
        <stp>[DIF_Risk_20200430.xlsm]Geneva investment position repo!R137C19</stp>
        <tr r="S137" s="1"/>
      </tp>
      <tp t="s">
        <v>INDUSTRIAL</v>
        <stp/>
        <stp>##V3_BDPV12</stp>
        <stp>BBG00JCQ6Y42 FIGI</stp>
        <stp>ISSUER_INDUSTRY</stp>
        <stp>[DIF_Risk_20200430.xlsm]Geneva investment position repo!R33C52</stp>
        <tr r="AZ33" s="1"/>
      </tp>
      <tp t="s">
        <v>HK</v>
        <stp/>
        <stp>##V3_BDPV12</stp>
        <stp>BBG000P9D267 FIGI</stp>
        <stp>CNTRY_ISSUE_ISO</stp>
        <stp>[DIF_Risk_20200430.xlsm]Geneva investment position repo!R20C38</stp>
        <tr r="AL20" s="1"/>
      </tp>
      <tp t="s">
        <v>Communications</v>
        <stp/>
        <stp>##V3_BDPV12</stp>
        <stp>BBG00JCQ6Y42 FIGI</stp>
        <stp>INDUSTRY_SECTOR</stp>
        <stp>[DIF_Risk_20200430.xlsm]Geneva investment position repo!R33C39</stp>
        <tr r="AM33" s="1"/>
      </tp>
      <tp t="s">
        <v>#N/A N/A</v>
        <stp/>
        <stp>##V3_BDPV12</stp>
        <stp>BBG00N0Q0RS1 FIGI</stp>
        <stp>RTG_FITCH</stp>
        <stp>[DIF_Risk_20200430.xlsm]Geneva investment position repo!R50C33</stp>
        <tr r="AG50" s="1"/>
      </tp>
      <tp t="s">
        <v>Baa2</v>
        <stp/>
        <stp>##V3_BDPV12</stp>
        <stp>BBG00THTNZZ3 FIGI</stp>
        <stp>RTG_MOODY</stp>
        <stp>[DIF_Risk_20200430.xlsm]Geneva investment position repo!R125C32</stp>
        <tr r="AF125" s="1"/>
        <tr r="AF125" s="1"/>
      </tp>
      <tp t="s">
        <v>#N/A N/A</v>
        <stp/>
        <stp>##V3_BDPV12</stp>
        <stp>BBG00HPPFXF4 FIGI</stp>
        <stp>SP_EFF_DT</stp>
        <stp>[DIF_Risk_20200430.xlsm]Geneva investment position repo!R127C71</stp>
        <tr r="BS127" s="1"/>
      </tp>
      <tp t="s">
        <v>BOND</v>
        <stp/>
        <stp>##V3_BDPV12</stp>
        <stp>BBG00QNT5B76 FIGI</stp>
        <stp>MIFID_ASSET_CLASS</stp>
        <stp>[DIF_Risk_20200430.xlsm]Geneva investment position repo!R30C19</stp>
        <tr r="S30" s="1"/>
      </tp>
      <tp t="s">
        <v>Food-Dairy Products</v>
        <stp/>
        <stp>##V3_BDPV12</stp>
        <stp>BBG000PXTGY5 FIGI</stp>
        <stp>ISSUER_INDUSTRY</stp>
        <stp>[DIF_Risk_20200430.xlsm]Geneva investment position repo!R9C52</stp>
        <tr r="AZ9" s="1"/>
      </tp>
      <tp t="s">
        <v>Real Estate Oper/Develop</v>
        <stp/>
        <stp>##V3_BDPV12</stp>
        <stp>BBG00NWVJPB7 FIGI</stp>
        <stp>INDUSTRY_SUBGROUP</stp>
        <stp>[DIF_Risk_20200430.xlsm]Geneva investment position repo!R141C41</stp>
        <tr r="AO141" s="1"/>
      </tp>
      <tp t="s">
        <v>BOND</v>
        <stp/>
        <stp>##V3_BDPV12</stp>
        <stp>BBG00PKGTF65 FIGI</stp>
        <stp>MIFID_ASSET_CLASS</stp>
        <stp>[DIF_Risk_20200430.xlsm]Geneva investment position repo!R164C19</stp>
        <tr r="S164" s="1"/>
      </tp>
      <tp t="s">
        <v>Real Estate</v>
        <stp/>
        <stp>##V3_BDPV12</stp>
        <stp>BBG00KDP8LC7 FIGI</stp>
        <stp>GICS_SECTOR_NAME</stp>
        <stp>[DIF_Risk_20200430.xlsm]Geneva investment position repo!R49C51</stp>
        <tr r="AY49" s="1"/>
      </tp>
      <tp t="s">
        <v>BOND</v>
        <stp/>
        <stp>##V3_BDPV12</stp>
        <stp>BBG00NGWHP25 FIGI</stp>
        <stp>MIFID_ASSET_CLASS</stp>
        <stp>[DIF_Risk_20200430.xlsm]Geneva investment position repo!R29C19</stp>
        <tr r="S29" s="1"/>
      </tp>
      <tp t="s">
        <v>#N/A Field Not Applicable</v>
        <stp/>
        <stp>##V3_BDPV12</stp>
        <stp>BBG00LJTWWM9 FIGI</stp>
        <stp>GICS_SECTOR_NAME</stp>
        <stp>[DIF_Risk_20200430.xlsm]Geneva investment position repo!R60C51</stp>
        <tr r="AY60" s="1"/>
      </tp>
      <tp t="s">
        <v>BOND</v>
        <stp/>
        <stp>##V3_BDPV12</stp>
        <stp>BBG00PKGT0Y7 FIGI</stp>
        <stp>MIFID_ASSET_CLASS</stp>
        <stp>[DIF_Risk_20200430.xlsm]Geneva investment position repo!R166C19</stp>
        <tr r="S166" s="1"/>
      </tp>
      <tp t="s">
        <v>#N/A Field Not Applicable</v>
        <stp/>
        <stp>##V3_BDPV12</stp>
        <stp>BBG00DVX5HS1 FIGI</stp>
        <stp>BOND_CLASSIFICATION_NAME</stp>
        <stp>[DIF_Risk_20200430.xlsm]Geneva investment position repo!R44C53</stp>
        <tr r="BA44" s="1"/>
      </tp>
      <tp t="s">
        <v>BOND</v>
        <stp/>
        <stp>##V3_BDPV12</stp>
        <stp>BBG00R9SNB81 FIGI</stp>
        <stp>MIFID_ASSET_CLASS</stp>
        <stp>[DIF_Risk_20200430.xlsm]Geneva investment position repo!R64C19</stp>
        <tr r="S64" s="1"/>
      </tp>
      <tp t="s">
        <v>#N/A Field Not Applicable</v>
        <stp/>
        <stp>##V3_BDPV12</stp>
        <stp>BBG00S0GV953 FIGI</stp>
        <stp>BOND_CLASSIFICATION_NAME</stp>
        <stp>[DIF_Risk_20200430.xlsm]Geneva investment position repo!R98C53</stp>
        <tr r="BA98" s="1"/>
      </tp>
      <tp t="s">
        <v>#N/A Field Not Applicable</v>
        <stp/>
        <stp>##V3_BDPV12</stp>
        <stp>BBG00PSJPXV8 FIGI</stp>
        <stp>BOND_CLASSIFICATION_NAME</stp>
        <stp>[DIF_Risk_20200430.xlsm]Geneva investment position repo!R82C53</stp>
        <tr r="BA82" s="1"/>
      </tp>
      <tp t="s">
        <v>XS2042630355</v>
        <stp/>
        <stp>##V3_BDPV12</stp>
        <stp>BBG00Q3NXL14 FIGI</stp>
        <stp>ID_ISIN</stp>
        <stp>[DIF_Risk_20200430.xlsm]Geneva investment position repo!R59C63</stp>
        <tr r="BK59" s="1"/>
      </tp>
      <tp t="s">
        <v>#N/A Field Not Applicable</v>
        <stp/>
        <stp>##V3_BDPV12</stp>
        <stp>BBG000BZWNT2 FIGI</stp>
        <stp>CAPITAL_TYP_COCO_INITIAL_TRIGGER</stp>
        <stp>[DIF_Risk_20200430.xlsm]Geneva investment position repo!R11C43</stp>
        <tr r="AQ11" s="1"/>
      </tp>
      <tp t="s">
        <v>Ba3</v>
        <stp/>
        <stp>##V3_BDPV12</stp>
        <stp>BBG00QYPDPC6 FIGI</stp>
        <stp>RTG_MOODY</stp>
        <stp>[DIF_Risk_20200430.xlsm]Geneva investment position repo!R68C32</stp>
        <tr r="AF68" s="1"/>
        <tr r="AF68" s="1"/>
      </tp>
      <tp t="s">
        <v>Real Estate Oper/Develop</v>
        <stp/>
        <stp>##V3_BDPV12</stp>
        <stp>BBG00NG9J699 FIGI</stp>
        <stp>INDUSTRY_SUBGROUP</stp>
        <stp>[DIF_Risk_20200430.xlsm]Geneva investment position repo!R139C41</stp>
        <tr r="AO139" s="1"/>
      </tp>
      <tp t="s">
        <v>Real Estate</v>
        <stp/>
        <stp>##V3_BDPV12</stp>
        <stp>BBG00PDL9DC2 FIGI</stp>
        <stp>GICS_SECTOR_NAME</stp>
        <stp>[DIF_Risk_20200430.xlsm]Geneva investment position repo!R92C51</stp>
        <tr r="AY92" s="1"/>
      </tp>
      <tp t="s">
        <v>Real Estate Oper/Develop</v>
        <stp/>
        <stp>##V3_BDPV12</stp>
        <stp>BBG00QYPDPC6 FIGI</stp>
        <stp>INDUSTRY_SUBGROUP</stp>
        <stp>[DIF_Risk_20200430.xlsm]Geneva investment position repo!R68C41</stp>
        <tr r="AO68" s="1"/>
      </tp>
      <tp t="s">
        <v>#N/A Field Not Applicable</v>
        <stp/>
        <stp>##V3_BDPV12</stp>
        <stp>BBG00RPXWXD8 FIGI</stp>
        <stp>CAPITAL_TYP_COCO_INITIAL_TRIGGER</stp>
        <stp>[DIF_Risk_20200430.xlsm]Geneva investment position repo!R173C43</stp>
        <tr r="AQ173" s="1"/>
      </tp>
      <tp t="s">
        <v>#N/A Field Not Applicable</v>
        <stp/>
        <stp>##V3_BDPV12</stp>
        <stp>BBG00LJTVJR4 FIGI</stp>
        <stp>CAPITAL_TYP_COCO_INITIAL_TRIGGER</stp>
        <stp>[DIF_Risk_20200430.xlsm]Geneva investment position repo!R154C43</stp>
        <tr r="AQ154" s="1"/>
      </tp>
      <tp t="s">
        <v>Financial</v>
        <stp/>
        <stp>##V3_BDPV12</stp>
        <stp>BBG00MTS9QX5 FIGI</stp>
        <stp>INDUSTRY_SECTOR</stp>
        <stp>[DIF_Risk_20200430.xlsm]Geneva investment position repo!R157C39</stp>
        <tr r="AM157" s="1"/>
      </tp>
      <tp t="s">
        <v>Oil&amp;Gas Services</v>
        <stp/>
        <stp>##V3_BDPV12</stp>
        <stp>BBG00D2WYB33 FIGI</stp>
        <stp>INDUSTRY_GROUP</stp>
        <stp>[DIF_Risk_20200430.xlsm]Geneva investment position repo!R126C40</stp>
        <tr r="AN126" s="1"/>
      </tp>
      <tp t="s">
        <v>#N/A Field Not Applicable</v>
        <stp/>
        <stp>##V3_BDPV12</stp>
        <stp>BBG00SXGDG60 FIGI</stp>
        <stp>BOND_CLASSIFICATION_NAME</stp>
        <stp>[DIF_Risk_20200430.xlsm]Geneva investment position repo!R120C53</stp>
        <tr r="BA120" s="1"/>
      </tp>
      <tp t="s">
        <v>Real Estate</v>
        <stp/>
        <stp>##V3_BDPV12</stp>
        <stp>BBG00LJTVJR4 FIGI</stp>
        <stp>INDUSTRY_GROUP</stp>
        <stp>[DIF_Risk_20200430.xlsm]Geneva investment position repo!R154C40</stp>
        <tr r="AN154" s="1"/>
      </tp>
      <tp t="s">
        <v>#N/A Field Not Applicable</v>
        <stp/>
        <stp>##V3_BDPV12</stp>
        <stp>BBG00NHNXCH9 FIGI</stp>
        <stp>BOND_CLASSIFICATION_NAME</stp>
        <stp>[DIF_Risk_20200430.xlsm]Geneva investment position repo!R179C53</stp>
        <tr r="BA179" s="1"/>
      </tp>
      <tp t="s">
        <v>Real Estate</v>
        <stp/>
        <stp>##V3_BDPV12</stp>
        <stp>BBG00KNCMN62 FIGI</stp>
        <stp>GICS_SECTOR_NAME</stp>
        <stp>[DIF_Risk_20200430.xlsm]Geneva investment position repo!R102C51</stp>
        <tr r="AY102" s="1"/>
      </tp>
      <tp t="s">
        <v>#N/A Field Not Applicable</v>
        <stp/>
        <stp>##V3_BDPV12</stp>
        <stp>BBG00T5WB757 FIGI</stp>
        <stp>CAPITAL_TYP_COCO_INITIAL_TRIGGER</stp>
        <stp>[DIF_Risk_20200430.xlsm]Geneva investment position repo!R124C43</stp>
        <tr r="AQ124" s="1"/>
      </tp>
      <tp t="s">
        <v>Banks</v>
        <stp/>
        <stp>##V3_BDPV12</stp>
        <stp>BBG00RPXTTD1 FIGI</stp>
        <stp>INDUSTRY_GROUP</stp>
        <stp>[DIF_Risk_20200430.xlsm]Geneva investment position repo!R137C40</stp>
        <tr r="AN137" s="1"/>
      </tp>
      <tp t="s">
        <v>ACTV</v>
        <stp/>
        <stp>##V3_BDPV12</stp>
        <stp>BBG00LLFHRL5 FIGI</stp>
        <stp>EXCH_MARKET_STATUS</stp>
        <stp>[DIF_Risk_20200430.xlsm]Geneva investment position repo!R61C44</stp>
        <tr r="AR61" s="1"/>
        <tr r="AR61" s="1"/>
      </tp>
      <tp t="s">
        <v>ACTV</v>
        <stp/>
        <stp>##V3_BDPV12</stp>
        <stp>BBG00NGWHP25 FIGI</stp>
        <stp>EXCH_MARKET_STATUS</stp>
        <stp>[DIF_Risk_20200430.xlsm]Geneva investment position repo!R29C44</stp>
        <tr r="AR29" s="1"/>
        <tr r="AR29" s="1"/>
      </tp>
      <tp t="s">
        <v>Financials</v>
        <stp/>
        <stp>##V3_BDPV12</stp>
        <stp>BBG00NGF27D6 FIGI</stp>
        <stp>GICS_SECTOR_NAME</stp>
        <stp>[DIF_Risk_20200430.xlsm]Geneva investment position repo!R114C51</stp>
        <tr r="AY114" s="1"/>
      </tp>
      <tp t="s">
        <v>ACTV</v>
        <stp/>
        <stp>##V3_BDPV12</stp>
        <stp>BBG00RYGHZS1 FIGI</stp>
        <stp>EXCH_MARKET_STATUS</stp>
        <stp>[DIF_Risk_20200430.xlsm]Geneva investment position repo!R51C44</stp>
        <tr r="AR51" s="1"/>
        <tr r="AR51" s="1"/>
      </tp>
      <tp t="s">
        <v>Real Estate</v>
        <stp/>
        <stp>##V3_BDPV12</stp>
        <stp>BBG00TJ8VS75 FIGI</stp>
        <stp>INDUSTRY_GROUP</stp>
        <stp>[DIF_Risk_20200430.xlsm]Geneva investment position repo!R167C40</stp>
        <tr r="AN167" s="1"/>
      </tp>
      <tp t="s">
        <v>Real Estate</v>
        <stp/>
        <stp>##V3_BDPV12</stp>
        <stp>BBG00KMQKL04 FIGI</stp>
        <stp>INDUSTRY_GROUP</stp>
        <stp>[DIF_Risk_20200430.xlsm]Geneva investment position repo!R169C40</stp>
        <tr r="AN169" s="1"/>
      </tp>
      <tp t="s">
        <v>B2</v>
        <stp/>
        <stp>##V3_BDPV12</stp>
        <stp>BBG00KDP8LC7 FIGI</stp>
        <stp>RTG_MOODY</stp>
        <stp>[DIF_Risk_20200430.xlsm]Geneva investment position repo!R49C32</stp>
        <tr r="AF49" s="1"/>
        <tr r="AF49" s="1"/>
      </tp>
      <tp t="s">
        <v>Real Estate</v>
        <stp/>
        <stp>##V3_BDPV12</stp>
        <stp>BBG00NV886P8 FIGI</stp>
        <stp>GICS_SECTOR_NAME</stp>
        <stp>[DIF_Risk_20200430.xlsm]Geneva investment position repo!R72C51</stp>
        <tr r="AY72" s="1"/>
      </tp>
      <tp t="s">
        <v>Real Estate Oper/Develop</v>
        <stp/>
        <stp>##V3_BDPV12</stp>
        <stp>BBG00KMQKL04 FIGI</stp>
        <stp>INDUSTRY_SUBGROUP</stp>
        <stp>[DIF_Risk_20200430.xlsm]Geneva investment position repo!R169C41</stp>
        <tr r="AO169" s="1"/>
      </tp>
      <tp t="s">
        <v>Real Estate Oper/Develop</v>
        <stp/>
        <stp>##V3_BDPV12</stp>
        <stp>BBG00KDP8LC7 FIGI</stp>
        <stp>INDUSTRY_SUBGROUP</stp>
        <stp>[DIF_Risk_20200430.xlsm]Geneva investment position repo!R49C41</stp>
        <tr r="AO49" s="1"/>
      </tp>
      <tp t="s">
        <v>#N/A N/A</v>
        <stp/>
        <stp>##V3_BDPV12</stp>
        <stp>BBG00PKGTF65 FIGI</stp>
        <stp>RTG_FITCH</stp>
        <stp>[DIF_Risk_20200430.xlsm]Geneva investment position repo!R164C33</stp>
        <tr r="AG164" s="1"/>
      </tp>
      <tp t="s">
        <v>HK</v>
        <stp/>
        <stp>##V3_BDPV12</stp>
        <stp>BBG00226B1T3 FIGI</stp>
        <stp>CNTRY_ISSUE_ISO</stp>
        <stp>[DIF_Risk_20200430.xlsm]Geneva investment position repo!R16C38</stp>
        <tr r="AL16" s="1"/>
      </tp>
      <tp t="s">
        <v>Consumer, Non-cyclical</v>
        <stp/>
        <stp>##V3_BDPV12</stp>
        <stp>BBG000PXTGY5 FIGI</stp>
        <stp>INDUSTRY_SECTOR</stp>
        <stp>[DIF_Risk_20200430.xlsm]Geneva investment position repo!R9C39</stp>
        <tr r="AM9" s="1"/>
      </tp>
      <tp t="s">
        <v>HUAFAI 4.4 03/16/21</v>
        <stp/>
        <stp>##V3_BDPV12</stp>
        <stp>BBG00SBW5S62 FIGI</stp>
        <stp>SECURITY_NAME</stp>
        <stp>[DIF_Risk_20200430.xlsm]SFC Report!R175C8</stp>
        <tr r="H175" s="6"/>
      </tp>
      <tp t="s">
        <v>B+</v>
        <stp/>
        <stp>##V3_BDPV12</stp>
        <stp>BBG00JVKTCJ1 FIGI</stp>
        <stp>RTG_FITCH</stp>
        <stp>[DIF_Risk_20200430.xlsm]Geneva investment position repo!R110C33</stp>
        <tr r="AG110" s="1"/>
        <tr r="AG110" s="1"/>
      </tp>
      <tp t="s">
        <v>BOND</v>
        <stp/>
        <stp>##V3_BDPV12</stp>
        <stp>BBG00JCQ6Y42 FIGI</stp>
        <stp>MIFID_ASSET_CLASS</stp>
        <stp>[DIF_Risk_20200430.xlsm]Geneva investment position repo!R33C19</stp>
        <tr r="S33" s="1"/>
      </tp>
      <tp t="s">
        <v>BB-</v>
        <stp/>
        <stp>##V3_BDPV12</stp>
        <stp>BBG00RCY5V08 FIGI</stp>
        <stp>RTG_FITCH</stp>
        <stp>[DIF_Risk_20200430.xlsm]Geneva investment position repo!R39C33</stp>
        <tr r="AG39" s="1"/>
        <tr r="AG39" s="1"/>
      </tp>
      <tp t="s">
        <v>XS1893648904</v>
        <stp/>
        <stp>##V3_BDPV12</stp>
        <stp>BBG00N0Q0RS1 FIGI</stp>
        <stp>ID_ISIN</stp>
        <stp>[DIF_Risk_20200430.xlsm]Geneva investment position repo!R50C63</stp>
        <tr r="BK50" s="1"/>
      </tp>
      <tp t="s">
        <v>BBB-</v>
        <stp/>
        <stp>##V3_BDPV12</stp>
        <stp>BBG00RPXTTD1 FIGI</stp>
        <stp>RTG_FITCH</stp>
        <stp>[DIF_Risk_20200430.xlsm]Geneva investment position repo!R137C33</stp>
        <tr r="AG137" s="1"/>
        <tr r="AG137" s="1"/>
      </tp>
      <tp t="s">
        <v>4/1/2019</v>
        <stp/>
        <stp>##V3_BDPV12</stp>
        <stp>BBG00KMRGS75 FIGI</stp>
        <stp>SP_EFF_DT</stp>
        <stp>[DIF_Risk_20200430.xlsm]Geneva investment position repo!R152C71</stp>
        <tr r="BS152" s="1"/>
      </tp>
      <tp t="s">
        <v>HK</v>
        <stp/>
        <stp>##V3_BDPV12</stp>
        <stp>BBG000BGW354 FIGI</stp>
        <stp>CNTRY_ISSUE_ISO</stp>
        <stp>[DIF_Risk_20200430.xlsm]Geneva investment position repo!R17C38</stp>
        <tr r="AL17" s="1"/>
      </tp>
      <tp t="s">
        <v>4/23/2020</v>
        <stp/>
        <stp>##V3_BDPV12</stp>
        <stp>BBG00TFTG847 FIGI</stp>
        <stp>SP_EFF_DT</stp>
        <stp>[DIF_Risk_20200430.xlsm]Geneva investment position repo!R117C71</stp>
        <tr r="BS117" s="1"/>
      </tp>
      <tp t="s">
        <v>#N/A N/A</v>
        <stp/>
        <stp>##V3_BDPV12</stp>
        <stp>BBG005BTJ9P5 FIGI</stp>
        <stp>RTG_FITCH</stp>
        <stp>[DIF_Risk_20200430.xlsm]Geneva investment position repo!R65C33</stp>
        <tr r="AG65" s="1"/>
      </tp>
      <tp t="s">
        <v>Commer Banks Non-US</v>
        <stp/>
        <stp>##V3_BDPV12</stp>
        <stp>BBG000DVPPK1 FIGI</stp>
        <stp>INDUSTRY_SUBGROUP</stp>
        <stp>[DIF_Risk_20200430.xlsm]Geneva investment position repo!R10C41</stp>
        <tr r="AO10" s="1"/>
      </tp>
      <tp t="s">
        <v>BBB-</v>
        <stp/>
        <stp>##V3_BDPV12</stp>
        <stp>BBG00R9SN7F2 FIGI</stp>
        <stp>RTG_FITCH</stp>
        <stp>[DIF_Risk_20200430.xlsm]Geneva investment position repo!R63C33</stp>
        <tr r="AG63" s="1"/>
        <tr r="AG63" s="1"/>
      </tp>
      <tp t="s">
        <v>Financials</v>
        <stp/>
        <stp>##V3_BDPV12</stp>
        <stp>BBG00RDBJ3B2 FIGI</stp>
        <stp>GICS_SECTOR_NAME</stp>
        <stp>[DIF_Risk_20200430.xlsm]Geneva investment position repo!R34C51</stp>
        <tr r="AY34" s="1"/>
      </tp>
      <tp t="s">
        <v>Real Estate Oper/Develop</v>
        <stp/>
        <stp>##V3_BDPV12</stp>
        <stp>BBG00NB7K829 FIGI</stp>
        <stp>INDUSTRY_SUBGROUP</stp>
        <stp>[DIF_Risk_20200430.xlsm]Geneva investment position repo!R162C41</stp>
        <tr r="AO162" s="1"/>
      </tp>
      <tp t="s">
        <v>#N/A N/A</v>
        <stp/>
        <stp>##V3_BDPV12</stp>
        <stp>BBG00PKGT0Y7 FIGI</stp>
        <stp>RTG_FITCH</stp>
        <stp>[DIF_Risk_20200430.xlsm]Geneva investment position repo!R166C33</stp>
        <tr r="AG166" s="1"/>
      </tp>
      <tp t="s">
        <v>3/29/2019</v>
        <stp/>
        <stp>##V3_BDPV12</stp>
        <stp>BBG00NV0G541 FIGI</stp>
        <stp>SP_EFF_DT</stp>
        <stp>[DIF_Risk_20200430.xlsm]Geneva investment position repo!R165C71</stp>
        <tr r="BS165" s="1"/>
      </tp>
      <tp t="s">
        <v>Communication Services</v>
        <stp/>
        <stp>##V3_BDPV12</stp>
        <stp>BBG00PKGT0Y7 FIGI</stp>
        <stp>GICS_SECTOR_NAME</stp>
        <stp>[DIF_Risk_20200430.xlsm]Geneva investment position repo!R166C51</stp>
        <tr r="AY166" s="1"/>
      </tp>
      <tp t="s">
        <v>#N/A Field Not Applicable</v>
        <stp/>
        <stp>##V3_BDPV12</stp>
        <stp>BBG00T5WB7F6 FIGI</stp>
        <stp>CAPITAL_TYP_COCO_INITIAL_TRIGGER</stp>
        <stp>[DIF_Risk_20200430.xlsm]Geneva investment position repo!R123C43</stp>
        <tr r="AQ123" s="1"/>
      </tp>
      <tp t="s">
        <v>Banks</v>
        <stp/>
        <stp>##V3_BDPV12</stp>
        <stp>BBG00LNF6KZ5 FIGI</stp>
        <stp>INDUSTRY_GROUP</stp>
        <stp>[DIF_Risk_20200430.xlsm]Geneva investment position repo!R144C40</stp>
        <tr r="AN144" s="1"/>
      </tp>
      <tp t="s">
        <v>#N/A Field Not Applicable</v>
        <stp/>
        <stp>##V3_BDPV12</stp>
        <stp>BBG00NWVJPB7 FIGI</stp>
        <stp>CAPITAL_TYP_COCO_INITIAL_TRIGGER</stp>
        <stp>[DIF_Risk_20200430.xlsm]Geneva investment position repo!R141C43</stp>
        <tr r="AQ141" s="1"/>
      </tp>
      <tp t="s">
        <v>US</v>
        <stp/>
        <stp>##V3_BDPV12</stp>
        <stp>USD Curncy</stp>
        <stp>Country</stp>
        <stp>[DIF_Risk_20200430.xlsm]Geneva investment position repo!R4C38</stp>
        <tr r="AL4" s="1"/>
      </tp>
      <tp t="s">
        <v>US</v>
        <stp/>
        <stp>##V3_BDPV12</stp>
        <stp>USD Curncy</stp>
        <stp>Country</stp>
        <stp>[DIF_Risk_20200430.xlsm]Geneva investment position repo!R5C38</stp>
        <tr r="AL5" s="1"/>
      </tp>
      <tp t="s">
        <v>ACTV</v>
        <stp/>
        <stp>##V3_BDPV12</stp>
        <stp>BBG00RH7GJ34 FIGI</stp>
        <stp>EXCH_MARKET_STATUS</stp>
        <stp>[DIF_Risk_20200430.xlsm]Geneva investment position repo!R67C44</stp>
        <tr r="AR67" s="1"/>
        <tr r="AR67" s="1"/>
      </tp>
      <tp t="s">
        <v>ACTV</v>
        <stp/>
        <stp>##V3_BDPV12</stp>
        <stp>BBG00LVCGFZ3 FIGI</stp>
        <stp>EXCH_MARKET_STATUS</stp>
        <stp>[DIF_Risk_20200430.xlsm]Geneva investment position repo!R77C44</stp>
        <tr r="AR77" s="1"/>
        <tr r="AR77" s="1"/>
      </tp>
      <tp t="s">
        <v>#N/A N/A</v>
        <stp/>
        <stp>##V3_BDPV12</stp>
        <stp>BBG00N14WRV0 FIGI</stp>
        <stp>RTG_SP</stp>
        <stp>[DIF_Risk_20200430.xlsm]Geneva investment position repo!R142C31</stp>
        <tr r="AE142" s="1"/>
      </tp>
      <tp t="s">
        <v>#N/A N/A</v>
        <stp/>
        <stp>##V3_BDPV12</stp>
        <stp>BBG00SBW5S62 FIGI</stp>
        <stp>SP_EFF_DT</stp>
        <stp>[DIF_Risk_20200430.xlsm]Geneva investment position repo!R88C71</stp>
        <tr r="BS88" s="1"/>
      </tp>
      <tp t="s">
        <v>BOND</v>
        <stp/>
        <stp>##V3_BDPV12</stp>
        <stp>BBG00HC2ZDQ9 FIGI</stp>
        <stp>MIFID_ASSET_CLASS</stp>
        <stp>[DIF_Risk_20200430.xlsm]Geneva investment position repo!R151C19</stp>
        <tr r="S151" s="1"/>
      </tp>
      <tp t="s">
        <v>US01609WAW29</v>
        <stp/>
        <stp>##V3_BDPV12</stp>
        <stp>BBG00JCQ6Y42 FIGI</stp>
        <stp>ID_ISIN</stp>
        <stp>[DIF_Risk_20200430.xlsm]Geneva investment position repo!R33C63</stp>
        <tr r="BK33" s="1"/>
      </tp>
      <tp t="s">
        <v>8/2/2016</v>
        <stp/>
        <stp>##V3_BDPV12</stp>
        <stp>BBG00DKQ0MQ4 FIGI</stp>
        <stp>SP_EFF_DT</stp>
        <stp>[DIF_Risk_20200430.xlsm]Geneva investment position repo!R78C71</stp>
        <tr r="BS78" s="1"/>
      </tp>
      <tp t="s">
        <v>BOND</v>
        <stp/>
        <stp>##V3_BDPV12</stp>
        <stp>BBG00PK1ZYS6 FIGI</stp>
        <stp>MIFID_ASSET_CLASS</stp>
        <stp>[DIF_Risk_20200430.xlsm]Geneva investment position repo!R146C19</stp>
        <tr r="S146" s="1"/>
      </tp>
      <tp t="s">
        <v>Life/Health Insurance</v>
        <stp/>
        <stp>##V3_BDPV12</stp>
        <stp>BBG00B6SDBV4 FIGI</stp>
        <stp>INDUSTRY_SUBGROUP</stp>
        <stp>[DIF_Risk_20200430.xlsm]Geneva investment position repo!R115C41</stp>
        <tr r="AO115" s="1"/>
      </tp>
      <tp t="s">
        <v>#N/A Field Not Applicable</v>
        <stp/>
        <stp>##V3_BDPV12</stp>
        <stp>BBG00PQ3PWZ3 FIGI</stp>
        <stp>BOND_CLASSIFICATION_NAME</stp>
        <stp>[DIF_Risk_20200430.xlsm]Geneva investment position repo!R84C53</stp>
        <tr r="BA84" s="1"/>
      </tp>
      <tp t="s">
        <v>Real Estate Oper/Develop</v>
        <stp/>
        <stp>##V3_BDPV12</stp>
        <stp>BBG00K6FDF25 FIGI</stp>
        <stp>INDUSTRY_SUBGROUP</stp>
        <stp>[DIF_Risk_20200430.xlsm]Geneva investment position repo!R101C41</stp>
        <tr r="AO101" s="1"/>
      </tp>
      <tp t="s">
        <v>BOND</v>
        <stp/>
        <stp>##V3_BDPV12</stp>
        <stp>BBG00H4BZMF0 FIGI</stp>
        <stp>MIFID_ASSET_CLASS</stp>
        <stp>[DIF_Risk_20200430.xlsm]Geneva investment position repo!R130C19</stp>
        <tr r="S130" s="1"/>
      </tp>
      <tp t="s">
        <v>Real Estate Oper/Develop</v>
        <stp/>
        <stp>##V3_BDPV12</stp>
        <stp>BBG00N2KDB12 FIGI</stp>
        <stp>INDUSTRY_SUBGROUP</stp>
        <stp>[DIF_Risk_20200430.xlsm]Geneva investment position repo!R174C41</stp>
        <tr r="AO174" s="1"/>
      </tp>
      <tp t="s">
        <v>BOND</v>
        <stp/>
        <stp>##V3_BDPV12</stp>
        <stp>BBG00NQDZNG6 FIGI</stp>
        <stp>MIFID_ASSET_CLASS</stp>
        <stp>[DIF_Risk_20200430.xlsm]Geneva investment position repo!R178C19</stp>
        <tr r="S178" s="1"/>
      </tp>
      <tp t="s">
        <v>XS2071413483</v>
        <stp/>
        <stp>##V3_BDPV12</stp>
        <stp>BBG00QNT5B76 FIGI</stp>
        <stp>ID_ISIN</stp>
        <stp>[DIF_Risk_20200430.xlsm]Geneva investment position repo!R30C63</stp>
        <tr r="BK30" s="1"/>
      </tp>
      <tp t="s">
        <v>#N/A Field Not Applicable</v>
        <stp/>
        <stp>##V3_BDPV12</stp>
        <stp>BBG000P9FRH8 FIGI</stp>
        <stp>CAPITAL_TYP_COCO_INITIAL_TRIGGER</stp>
        <stp>[DIF_Risk_20200430.xlsm]Geneva investment position repo!R19C43</stp>
        <tr r="AQ19" s="1"/>
      </tp>
      <tp t="s">
        <v>Enterprise Software/Serv</v>
        <stp/>
        <stp>##V3_BDPV12</stp>
        <stp>BBG00SXGDG60 FIGI</stp>
        <stp>INDUSTRY_SUBGROUP</stp>
        <stp>[DIF_Risk_20200430.xlsm]Geneva investment position repo!R120C41</stp>
        <tr r="AO120" s="1"/>
      </tp>
      <tp t="s">
        <v>#N/A N/A</v>
        <stp/>
        <stp>##V3_BDPV12</stp>
        <stp>BBG00NB7HXS0 FIGI</stp>
        <stp>SP_EFF_DT</stp>
        <stp>[DIF_Risk_20200430.xlsm]Geneva investment position repo!R143C71</stp>
        <tr r="BS143" s="1"/>
      </tp>
      <tp t="s">
        <v>#N/A Field Not Applicable</v>
        <stp/>
        <stp>##V3_BDPV12</stp>
        <stp>BBG00RB35JZ6 FIGI</stp>
        <stp>CAPITAL_TYP_COCO_INITIAL_TRIGGER</stp>
        <stp>[DIF_Risk_20200430.xlsm]Geneva investment position repo!R48C43</stp>
        <tr r="AQ48" s="1"/>
      </tp>
      <tp t="s">
        <v>#N/A N/A</v>
        <stp/>
        <stp>##V3_BDPV12</stp>
        <stp>BBG00MNWHQT8 FIGI</stp>
        <stp>SP_EFF_DT</stp>
        <stp>[DIF_Risk_20200430.xlsm]Geneva investment position repo!R135C71</stp>
        <tr r="BS135" s="1"/>
      </tp>
      <tp t="s">
        <v>BOND</v>
        <stp/>
        <stp>##V3_BDPV12</stp>
        <stp>BBG00P1GZFC2 FIGI</stp>
        <stp>MIFID_ASSET_CLASS</stp>
        <stp>[DIF_Risk_20200430.xlsm]Geneva investment position repo!R112C19</stp>
        <tr r="S112" s="1"/>
      </tp>
      <tp t="s">
        <v>Cellular Telecom</v>
        <stp/>
        <stp>##V3_BDPV12</stp>
        <stp>BBG000BZWNT2 FIGI</stp>
        <stp>INDUSTRY_SUBGROUP</stp>
        <stp>[DIF_Risk_20200430.xlsm]Geneva investment position repo!R11C41</stp>
        <tr r="AO11" s="1"/>
      </tp>
      <tp t="s">
        <v>#N/A N/A</v>
        <stp/>
        <stp>##V3_BDPV12</stp>
        <stp>BBG00RPXTZN6 FIGI</stp>
        <stp>RTG_FITCH</stp>
        <stp>[DIF_Risk_20200430.xlsm]Geneva investment position repo!R90C33</stp>
        <tr r="AG90" s="1"/>
      </tp>
      <tp t="s">
        <v>Financial</v>
        <stp/>
        <stp>##V3_BDPV12</stp>
        <stp>BBG00Q3NXL14 FIGI</stp>
        <stp>INDUSTRY_SECTOR</stp>
        <stp>[DIF_Risk_20200430.xlsm]Geneva investment position repo!R59C39</stp>
        <tr r="AM59" s="1"/>
      </tp>
      <tp t="s">
        <v>FINANCIAL</v>
        <stp/>
        <stp>##V3_BDPV12</stp>
        <stp>BBG00Q3NXL14 FIGI</stp>
        <stp>ISSUER_INDUSTRY</stp>
        <stp>[DIF_Risk_20200430.xlsm]Geneva investment position repo!R59C52</stp>
        <tr r="AZ59" s="1"/>
      </tp>
      <tp t="s">
        <v>Industrials</v>
        <stp/>
        <stp>##V3_BDPV12</stp>
        <stp>BBG000MKLJD1 FIGI</stp>
        <stp>GICS_SECTOR_NAME</stp>
        <stp>[DIF_Risk_20200430.xlsm]Geneva investment position repo!R22C51</stp>
        <tr r="AY22" s="1"/>
      </tp>
      <tp t="s">
        <v>#N/A Field Not Applicable</v>
        <stp/>
        <stp>##V3_BDPV12</stp>
        <stp>BBG00QRVV6Z8 FIGI</stp>
        <stp>CAPITAL_TYP_COCO_INITIAL_TRIGGER</stp>
        <stp>[DIF_Risk_20200430.xlsm]Geneva investment position repo!R155C43</stp>
        <tr r="AQ155" s="1"/>
      </tp>
      <tp t="s">
        <v>Financial</v>
        <stp/>
        <stp>##V3_BDPV12</stp>
        <stp>BBG00QRVV8P5 FIGI</stp>
        <stp>INDUSTRY_SECTOR</stp>
        <stp>[DIF_Risk_20200430.xlsm]Geneva investment position repo!R131C39</stp>
        <tr r="AM131" s="1"/>
      </tp>
      <tp t="s">
        <v>#N/A N/A</v>
        <stp/>
        <stp>##V3_BDPV12</stp>
        <stp>BBG00MNWHQT8 FIGI</stp>
        <stp>RTG_SP</stp>
        <stp>[DIF_Risk_20200430.xlsm]Geneva investment position repo!R135C31</stp>
        <tr r="AE135" s="1"/>
      </tp>
      <tp t="s">
        <v>ACTV</v>
        <stp/>
        <stp>##V3_BDPV12</stp>
        <stp>BBG00KVGG4W4 FIGI</stp>
        <stp>EXCH_MARKET_STATUS</stp>
        <stp>[DIF_Risk_20200430.xlsm]Geneva investment position repo!R83C44</stp>
        <tr r="AR83" s="1"/>
        <tr r="AR83" s="1"/>
      </tp>
      <tp t="s">
        <v>Mining</v>
        <stp/>
        <stp>##V3_BDPV12</stp>
        <stp>BBG00RZ2MZZ7 FIGI</stp>
        <stp>INDUSTRY_GROUP</stp>
        <stp>[DIF_Risk_20200430.xlsm]Geneva investment position repo!R113C40</stp>
        <tr r="AN113" s="1"/>
      </tp>
      <tp t="s">
        <v>B+</v>
        <stp/>
        <stp>##V3_BDPV12</stp>
        <stp>BBG00PNSNLZ7 FIGI</stp>
        <stp>RTG_SP</stp>
        <stp>[DIF_Risk_20200430.xlsm]Geneva investment position repo!R161C31</stp>
        <tr r="AE161" s="1"/>
        <tr r="AE161" s="1"/>
      </tp>
      <tp t="s">
        <v>#N/A Field Not Applicable</v>
        <stp/>
        <stp>##V3_BDPV12</stp>
        <stp>BBG00N2KDB12 FIGI</stp>
        <stp>BOND_CLASSIFICATION_NAME</stp>
        <stp>[DIF_Risk_20200430.xlsm]Geneva investment position repo!R174C53</stp>
        <tr r="BA174" s="1"/>
      </tp>
      <tp t="s">
        <v>#N/A N/A</v>
        <stp/>
        <stp>##V3_BDPV12</stp>
        <stp>BBG00MTS9QX5 FIGI</stp>
        <stp>RTG_SP</stp>
        <stp>[DIF_Risk_20200430.xlsm]Geneva investment position repo!R157C31</stp>
        <tr r="AE157" s="1"/>
      </tp>
      <tp t="s">
        <v>Real Estate</v>
        <stp/>
        <stp>##V3_BDPV12</stp>
        <stp>BBG00NDFM319 FIGI</stp>
        <stp>GICS_SECTOR_NAME</stp>
        <stp>[DIF_Risk_20200430.xlsm]Geneva investment position repo!R140C51</stp>
        <tr r="AY140" s="1"/>
      </tp>
      <tp t="s">
        <v>ACTV</v>
        <stp/>
        <stp>##V3_BDPV12</stp>
        <stp>BBG00SYNG075 FIGI</stp>
        <stp>EXCH_MARKET_STATUS</stp>
        <stp>[DIF_Risk_20200430.xlsm]Geneva investment position repo!R40C44</stp>
        <tr r="AR40" s="1"/>
        <tr r="AR40" s="1"/>
      </tp>
      <tp t="s">
        <v>ACTV</v>
        <stp/>
        <stp>##V3_BDPV12</stp>
        <stp>BBG00RRMFK74 FIGI</stp>
        <stp>EXCH_MARKET_STATUS</stp>
        <stp>[DIF_Risk_20200430.xlsm]Geneva investment position repo!R41C44</stp>
        <tr r="AR41" s="1"/>
        <tr r="AR41" s="1"/>
      </tp>
      <tp t="s">
        <v>ACTV</v>
        <stp/>
        <stp>##V3_BDPV12</stp>
        <stp>BBG00FP0FP88 FIGI</stp>
        <stp>EXCH_MARKET_STATUS</stp>
        <stp>[DIF_Risk_20200430.xlsm]Geneva investment position repo!R96C44</stp>
        <tr r="AR96" s="1"/>
        <tr r="AR96" s="1"/>
      </tp>
      <tp t="s">
        <v>SPECIAL PURPOSE</v>
        <stp/>
        <stp>##V3_BDPV12</stp>
        <stp>BBG00NV899R9 FIGI</stp>
        <stp>ISSUER_INDUSTRY</stp>
        <stp>[DIF_Risk_20200430.xlsm]Geneva investment position repo!R168C52</stp>
        <tr r="AZ168" s="1"/>
      </tp>
      <tp t="s">
        <v>ACTV</v>
        <stp/>
        <stp>##V3_BDPV12</stp>
        <stp>BBG00QJ3FR72 FIGI</stp>
        <stp>EXCH_MARKET_STATUS</stp>
        <stp>[DIF_Risk_20200430.xlsm]Geneva investment position repo!R37C44</stp>
        <tr r="AR37" s="1"/>
        <tr r="AR37" s="1"/>
      </tp>
      <tp t="s">
        <v>#N/A Field Not Applicable</v>
        <stp/>
        <stp>##V3_BDPV12</stp>
        <stp>BBG00QV37ZP9 FIGI</stp>
        <stp>FITCH_EFF_DT</stp>
        <stp>[DIF_Risk_20200430.xlsm]Geneva investment position repo!R7C73</stp>
        <tr r="BU7" s="1"/>
      </tp>
      <tp t="s">
        <v>BB-u</v>
        <stp/>
        <stp>##V3_BDPV12</stp>
        <stp>BBG00P1GZFC2 FIGI</stp>
        <stp>RTG_FITCH</stp>
        <stp>[DIF_Risk_20200430.xlsm]Geneva investment position repo!R112C33</stp>
        <tr r="AG112" s="1"/>
        <tr r="AG112" s="1"/>
      </tp>
      <tp t="s">
        <v>B1</v>
        <stp/>
        <stp>##V3_BDPV12</stp>
        <stp>BBG00DVX5HS1 FIGI</stp>
        <stp>RTG_MOODY</stp>
        <stp>[DIF_Risk_20200430.xlsm]Geneva investment position repo!R44C32</stp>
        <tr r="AF44" s="1"/>
        <tr r="AF44" s="1"/>
      </tp>
      <tp t="s">
        <v>Invest Mgmnt/Advis Serv</v>
        <stp/>
        <stp>##V3_BDPV12</stp>
        <stp>BBG00DVX5HS1 FIGI</stp>
        <stp>INDUSTRY_SUBGROUP</stp>
        <stp>[DIF_Risk_20200430.xlsm]Geneva investment position repo!R44C41</stp>
        <tr r="AO44" s="1"/>
      </tp>
      <tp t="s">
        <v>Medical Labs&amp;Testing Srv</v>
        <stp/>
        <stp>##V3_BDPV12</stp>
        <stp>BBG00GTY47H0 FIGI</stp>
        <stp>INDUSTRY_SUBGROUP</stp>
        <stp>[DIF_Risk_20200430.xlsm]Geneva investment position repo!R26C41</stp>
        <tr r="AO26" s="1"/>
      </tp>
      <tp t="s">
        <v>BB</v>
        <stp/>
        <stp>##V3_BDPV12</stp>
        <stp>BBG00HC2ZDQ9 FIGI</stp>
        <stp>RTG_FITCH</stp>
        <stp>[DIF_Risk_20200430.xlsm]Geneva investment position repo!R151C33</stp>
        <tr r="AG151" s="1"/>
        <tr r="AG151" s="1"/>
      </tp>
      <tp t="s">
        <v>B-</v>
        <stp/>
        <stp>##V3_BDPV12</stp>
        <stp>BBG00PK1ZYS6 FIGI</stp>
        <stp>RTG_FITCH</stp>
        <stp>[DIF_Risk_20200430.xlsm]Geneva investment position repo!R146C33</stp>
        <tr r="AG146" s="1"/>
        <tr r="AG146" s="1"/>
      </tp>
      <tp t="s">
        <v>#N/A N/A</v>
        <stp/>
        <stp>##V3_BDPV12</stp>
        <stp>BBG00H4BZMF0 FIGI</stp>
        <stp>RTG_FITCH</stp>
        <stp>[DIF_Risk_20200430.xlsm]Geneva investment position repo!R130C33</stp>
        <tr r="AG130" s="1"/>
      </tp>
      <tp t="s">
        <v>FINANCIAL</v>
        <stp/>
        <stp>##V3_BDPV12</stp>
        <stp>BBG00N0Q0RS1 FIGI</stp>
        <stp>ISSUER_INDUSTRY</stp>
        <stp>[DIF_Risk_20200430.xlsm]Geneva investment position repo!R50C52</stp>
        <tr r="AZ50" s="1"/>
      </tp>
      <tp t="s">
        <v>Financial</v>
        <stp/>
        <stp>##V3_BDPV12</stp>
        <stp>BBG00N0Q0RS1 FIGI</stp>
        <stp>INDUSTRY_SECTOR</stp>
        <stp>[DIF_Risk_20200430.xlsm]Geneva investment position repo!R50C39</stp>
        <tr r="AM50" s="1"/>
      </tp>
      <tp t="s">
        <v>#N/A N/A</v>
        <stp/>
        <stp>##V3_BDPV12</stp>
        <stp>BBG00NQDZNG6 FIGI</stp>
        <stp>RTG_FITCH</stp>
        <stp>[DIF_Risk_20200430.xlsm]Geneva investment position repo!R178C33</stp>
        <tr r="AG178" s="1"/>
      </tp>
      <tp t="s">
        <v>#N/A Field Not Applicable</v>
        <stp/>
        <stp>##V3_BDPV12</stp>
        <stp>BBG00PMFP1T5 FIGI</stp>
        <stp>CAPITAL_TYP_COCO_INITIAL_TRIGGER</stp>
        <stp>[DIF_Risk_20200430.xlsm]Geneva investment position repo!R52C43</stp>
        <tr r="AQ52" s="1"/>
      </tp>
      <tp t="s">
        <v>#N/A Field Not Applicable</v>
        <stp/>
        <stp>##V3_BDPV12</stp>
        <stp>BBG00RYGHZS1 FIGI</stp>
        <stp>BOND_CLASSIFICATION_NAME</stp>
        <stp>[DIF_Risk_20200430.xlsm]Geneva investment position repo!R51C53</stp>
        <tr r="BA51" s="1"/>
      </tp>
      <tp t="s">
        <v>BOND</v>
        <stp/>
        <stp>##V3_BDPV12</stp>
        <stp>BBG00LJTWWM9 FIGI</stp>
        <stp>MIFID_ASSET_CLASS</stp>
        <stp>[DIF_Risk_20200430.xlsm]Geneva investment position repo!R60C19</stp>
        <tr r="S60" s="1"/>
      </tp>
      <tp t="s">
        <v>XS2056435246</v>
        <stp/>
        <stp>##V3_BDPV12</stp>
        <stp>BBG00QRVV6Z8 FIGI</stp>
        <stp>ID_ISIN</stp>
        <stp>[DIF_Risk_20200430.xlsm]Geneva investment position repo!R155C63</stp>
        <tr r="BK155" s="1"/>
      </tp>
      <tp t="s">
        <v>FINANCIAL</v>
        <stp/>
        <stp>##V3_BDPV12</stp>
        <stp>BBG00K6FDF25 FIGI</stp>
        <stp>ISSUER_INDUSTRY</stp>
        <stp>[DIF_Risk_20200430.xlsm]Geneva investment position repo!R101C52</stp>
        <tr r="AZ101" s="1"/>
      </tp>
      <tp t="s">
        <v>#N/A Field Not Applicable</v>
        <stp/>
        <stp>##V3_BDPV12</stp>
        <stp>BBG00PDYXN26 FIGI</stp>
        <stp>CAPITAL_TYP_COCO_INITIAL_TRIGGER</stp>
        <stp>[DIF_Risk_20200430.xlsm]Geneva investment position repo!R156C43</stp>
        <tr r="AQ156" s="1"/>
      </tp>
      <tp t="s">
        <v>#N/A N/A</v>
        <stp/>
        <stp>##V3_BDPV12</stp>
        <stp>BBG00NQF0SC2 FIGI</stp>
        <stp>RTG_SP</stp>
        <stp>[DIF_Risk_20200430.xlsm]Geneva investment position repo!R160C31</stp>
        <tr r="AE160" s="1"/>
      </tp>
      <tp t="s">
        <v>Financial</v>
        <stp/>
        <stp>##V3_BDPV12</stp>
        <stp>BBG00NGF27D6 FIGI</stp>
        <stp>INDUSTRY_SECTOR</stp>
        <stp>[DIF_Risk_20200430.xlsm]Geneva investment position repo!R114C39</stp>
        <tr r="AM114" s="1"/>
      </tp>
      <tp t="s">
        <v>Sovereign</v>
        <stp/>
        <stp>##V3_BDPV12</stp>
        <stp>BBG00PK1ZYS6 FIGI</stp>
        <stp>INDUSTRY_GROUP</stp>
        <stp>[DIF_Risk_20200430.xlsm]Geneva investment position repo!R146C40</stp>
        <tr r="AN146" s="1"/>
      </tp>
      <tp t="s">
        <v>Oil&amp;Gas</v>
        <stp/>
        <stp>##V3_BDPV12</stp>
        <stp>BBG00JVKTCJ1 FIGI</stp>
        <stp>INDUSTRY_GROUP</stp>
        <stp>[DIF_Risk_20200430.xlsm]Geneva investment position repo!R110C40</stp>
        <tr r="AN110" s="1"/>
      </tp>
      <tp t="s">
        <v>Financial</v>
        <stp/>
        <stp>##V3_BDPV12</stp>
        <stp>BBG00N2KDB12 FIGI</stp>
        <stp>INDUSTRY_SECTOR</stp>
        <stp>[DIF_Risk_20200430.xlsm]Geneva investment position repo!R174C39</stp>
        <tr r="AM174" s="1"/>
      </tp>
      <tp t="s">
        <v>ACTV</v>
        <stp/>
        <stp>##V3_BDPV12</stp>
        <stp>BBG00QN3F2R0 FIGI</stp>
        <stp>EXCH_MARKET_STATUS</stp>
        <stp>[DIF_Risk_20200430.xlsm]Geneva investment position repo!R28C44</stp>
        <tr r="AR28" s="1"/>
        <tr r="AR28" s="1"/>
      </tp>
      <tp t="s">
        <v>ACTV</v>
        <stp/>
        <stp>##V3_BDPV12</stp>
        <stp>BBG000P9FRH8 FIGI</stp>
        <stp>EXCH_MARKET_STATUS</stp>
        <stp>[DIF_Risk_20200430.xlsm]Geneva investment position repo!R19C44</stp>
        <tr r="AR19" s="1"/>
        <tr r="AR19" s="1"/>
      </tp>
      <tp t="s">
        <v>#N/A Field Not Applicable</v>
        <stp/>
        <stp>##V3_BDPV12</stp>
        <stp>BBG00R9LVRX4 FIGI</stp>
        <stp>BOND_CLASSIFICATION_NAME</stp>
        <stp>[DIF_Risk_20200430.xlsm]Geneva investment position repo!R172C53</stp>
        <tr r="BA172" s="1"/>
      </tp>
      <tp t="s">
        <v>#N/A Field Not Applicable</v>
        <stp/>
        <stp>##V3_BDPV12</stp>
        <stp>BBG00MNWHQT8 FIGI</stp>
        <stp>CAPITAL_TYP_COCO_INITIAL_TRIGGER</stp>
        <stp>[DIF_Risk_20200430.xlsm]Geneva investment position repo!R135C43</stp>
        <tr r="AQ135" s="1"/>
      </tp>
      <tp t="s">
        <v>Basic Materials</v>
        <stp/>
        <stp>##V3_BDPV12</stp>
        <stp>BBG00RZ2MZZ7 FIGI</stp>
        <stp>INDUSTRY_SECTOR</stp>
        <stp>[DIF_Risk_20200430.xlsm]Geneva investment position repo!R113C39</stp>
        <tr r="AM113" s="1"/>
      </tp>
      <tp t="s">
        <v>#N/A N/A</v>
        <stp/>
        <stp>##V3_BDPV12</stp>
        <stp>BBG00PDYXN26 FIGI</stp>
        <stp>RTG_SP</stp>
        <stp>[DIF_Risk_20200430.xlsm]Geneva investment position repo!R156C31</stp>
        <tr r="AE156" s="1"/>
      </tp>
      <tp t="s">
        <v>Real Estate</v>
        <stp/>
        <stp>##V3_BDPV12</stp>
        <stp>BBG00NDM7WZ0 FIGI</stp>
        <stp>GICS_SECTOR_NAME</stp>
        <stp>[DIF_Risk_20200430.xlsm]Geneva investment position repo!R103C51</stp>
        <tr r="AY103" s="1"/>
      </tp>
      <tp t="s">
        <v>#N/A Field Not Applicable</v>
        <stp/>
        <stp>##V3_BDPV12</stp>
        <stp>BBG00PKD4F69 FIGI</stp>
        <stp>GICS_SECTOR_NAME</stp>
        <stp>[DIF_Risk_20200430.xlsm]Geneva investment position repo!R145C51</stp>
        <tr r="AY145" s="1"/>
      </tp>
      <tp t="s">
        <v>FINANCIAL</v>
        <stp/>
        <stp>##V3_BDPV12</stp>
        <stp>BBG00N14RT60 FIGI</stp>
        <stp>ISSUER_INDUSTRY</stp>
        <stp>[DIF_Risk_20200430.xlsm]Geneva investment position repo!R153C52</stp>
        <tr r="AZ153" s="1"/>
      </tp>
      <tp t="s">
        <v>Chengtou Bond</v>
        <stp/>
        <stp>##V3_BDPV12</stp>
        <stp>BBG00P7N38J5 FIGI</stp>
        <stp>BOND_CLASSIFICATION_NAME</stp>
        <stp>[DIF_Risk_20200430.xlsm]Geneva investment position repo!R175C53</stp>
        <tr r="BA175" s="1"/>
      </tp>
      <tp t="s">
        <v>BOND</v>
        <stp/>
        <stp>##V3_BDPV12</stp>
        <stp>BBG00NHNXCH9 FIGI</stp>
        <stp>MIFID_ASSET_CLASS</stp>
        <stp>[DIF_Risk_20200430.xlsm]Geneva investment position repo!R179C19</stp>
        <tr r="S179" s="1"/>
      </tp>
      <tp t="s">
        <v>Materials</v>
        <stp/>
        <stp>##V3_BDPV12</stp>
        <stp>BBG00PQ3PWZ3 FIGI</stp>
        <stp>GICS_SECTOR_NAME</stp>
        <stp>[DIF_Risk_20200430.xlsm]Geneva investment position repo!R84C51</stp>
        <tr r="AY84" s="1"/>
      </tp>
      <tp t="s">
        <v>SIB 5 PERP</v>
        <stp/>
        <stp>##V3_BDPV12</stp>
        <stp>BBG00PKD4F69 FIGI</stp>
        <stp>SECURITY_NAME</stp>
        <stp>[DIF_Risk_20200430.xlsm]SFC Report!R191C1</stp>
        <tr r="A191" s="6"/>
      </tp>
      <tp t="s">
        <v>4/9/2018</v>
        <stp/>
        <stp>##V3_BDPV12</stp>
        <stp>BBG00KDP8LC7 FIGI</stp>
        <stp>SP_EFF_DT</stp>
        <stp>[DIF_Risk_20200430.xlsm]Geneva investment position repo!R49C71</stp>
        <tr r="BS49" s="1"/>
      </tp>
      <tp t="s">
        <v>#N/A Field Not Applicable</v>
        <stp/>
        <stp>##V3_BDPV12</stp>
        <stp>BBG005Q0XWK0 FIGI</stp>
        <stp>CAPITAL_TYP_COCO_INITIAL_TRIGGER</stp>
        <stp>[DIF_Risk_20200430.xlsm]Geneva investment position repo!R15C43</stp>
        <tr r="AQ15" s="1"/>
      </tp>
      <tp t="s">
        <v>BOND</v>
        <stp/>
        <stp>##V3_BDPV12</stp>
        <stp>BBG00PDYXN26 FIGI</stp>
        <stp>MIFID_ASSET_CLASS</stp>
        <stp>[DIF_Risk_20200430.xlsm]Geneva investment position repo!R156C19</stp>
        <tr r="S156" s="1"/>
      </tp>
      <tp t="s">
        <v>Money Center Banks</v>
        <stp/>
        <stp>##V3_BDPV12</stp>
        <stp>BBG00HPPFXF4 FIGI</stp>
        <stp>INDUSTRY_SUBGROUP</stp>
        <stp>[DIF_Risk_20200430.xlsm]Geneva investment position repo!R127C41</stp>
        <tr r="AO127" s="1"/>
      </tp>
      <tp t="s">
        <v>#N/A N/A</v>
        <stp/>
        <stp>##V3_BDPV12</stp>
        <stp>BBG00NWVJPB7 FIGI</stp>
        <stp>SP_EFF_DT</stp>
        <stp>[DIF_Risk_20200430.xlsm]Geneva investment position repo!R141C71</stp>
        <tr r="BS141" s="1"/>
      </tp>
      <tp t="s">
        <v>#N/A N/A</v>
        <stp/>
        <stp>##V3_BDPV12</stp>
        <stp>BBG00D2WYB33 FIGI</stp>
        <stp>RTG_FITCH</stp>
        <stp>[DIF_Risk_20200430.xlsm]Geneva investment position repo!R126C33</stp>
        <tr r="AG126" s="1"/>
      </tp>
      <tp t="s">
        <v>#N/A Field Not Applicable</v>
        <stp/>
        <stp>##V3_BDPV12</stp>
        <stp>BBG00CNK44T9 FIGI</stp>
        <stp>CAPITAL_TYP_COCO_INITIAL_TRIGGER</stp>
        <stp>[DIF_Risk_20200430.xlsm]Geneva investment position repo!R45C43</stp>
        <tr r="AQ45" s="1"/>
      </tp>
      <tp t="s">
        <v>#N/A Field Not Applicable</v>
        <stp/>
        <stp>##V3_BDPV12</stp>
        <stp>BBG000DVPPK1 FIGI</stp>
        <stp>SP_EFF_DT</stp>
        <stp>[DIF_Risk_20200430.xlsm]Geneva investment position repo!R10C71</stp>
        <tr r="BS10" s="1"/>
      </tp>
      <tp t="s">
        <v>B1</v>
        <stp/>
        <stp>##V3_BDPV12</stp>
        <stp>BBG00NB0B2N4 FIGI</stp>
        <stp>RTG_MOODY</stp>
        <stp>[DIF_Risk_20200430.xlsm]Geneva investment position repo!R150C32</stp>
        <tr r="AF150" s="1"/>
        <tr r="AF150" s="1"/>
      </tp>
      <tp t="s">
        <v>XS2125922349</v>
        <stp/>
        <stp>##V3_BDPV12</stp>
        <stp>BBG00RYF5CJ7 FIGI</stp>
        <stp>ID_ISIN</stp>
        <stp>[DIF_Risk_20200430.xlsm]Geneva investment position repo!R35C63</stp>
        <tr r="BK35" s="1"/>
      </tp>
      <tp t="s">
        <v>#N/A N/A</v>
        <stp/>
        <stp>##V3_BDPV12</stp>
        <stp>BBG00GSCY4N6 FIGI</stp>
        <stp>RTG_FITCH</stp>
        <stp>[DIF_Risk_20200430.xlsm]Geneva investment position repo!R116C33</stp>
        <tr r="AG116" s="1"/>
      </tp>
      <tp t="s">
        <v>BOND</v>
        <stp/>
        <stp>##V3_BDPV12</stp>
        <stp>BBG00HDTX5P9 FIGI</stp>
        <stp>MIFID_ASSET_CLASS</stp>
        <stp>[DIF_Risk_20200430.xlsm]Geneva investment position repo!R111C19</stp>
        <tr r="S111" s="1"/>
      </tp>
      <tp t="s">
        <v>#N/A Field Not Applicable</v>
        <stp/>
        <stp>##V3_BDPV12</stp>
        <stp>BBG00DKQ0MQ4 FIGI</stp>
        <stp>CAPITAL_TYP_COCO_INITIAL_TRIGGER</stp>
        <stp>[DIF_Risk_20200430.xlsm]Geneva investment position repo!R78C43</stp>
        <tr r="AQ78" s="1"/>
      </tp>
      <tp t="s">
        <v>Aa3</v>
        <stp/>
        <stp>##V3_BDPV12</stp>
        <stp>BBG00T21B8F5 FIGI</stp>
        <stp>RTG_MOODY</stp>
        <stp>[DIF_Risk_20200430.xlsm]Geneva investment position repo!R133C32</stp>
        <tr r="AF133" s="1"/>
        <tr r="AF133" s="1"/>
      </tp>
      <tp t="s">
        <v>#N/A Field Not Applicable</v>
        <stp/>
        <stp>##V3_BDPV12</stp>
        <stp>BBG00QYPDPC6 FIGI</stp>
        <stp>CAPITAL_TYP_COCO_INITIAL_TRIGGER</stp>
        <stp>[DIF_Risk_20200430.xlsm]Geneva investment position repo!R68C43</stp>
        <tr r="AQ68" s="1"/>
      </tp>
      <tp t="s">
        <v>A2</v>
        <stp/>
        <stp>##V3_BDPV12</stp>
        <stp>BBG00T5WB757 FIGI</stp>
        <stp>RTG_MOODY</stp>
        <stp>[DIF_Risk_20200430.xlsm]Geneva investment position repo!R124C32</stp>
        <tr r="AF124" s="1"/>
        <tr r="AF124" s="1"/>
      </tp>
      <tp t="s">
        <v>A2</v>
        <stp/>
        <stp>##V3_BDPV12</stp>
        <stp>BBG00T5WB7F6 FIGI</stp>
        <stp>RTG_MOODY</stp>
        <stp>[DIF_Risk_20200430.xlsm]Geneva investment position repo!R123C32</stp>
        <tr r="AF123" s="1"/>
        <tr r="AF123" s="1"/>
      </tp>
      <tp t="s">
        <v>#N/A N/A</v>
        <stp/>
        <stp>##V3_BDPV12</stp>
        <stp>BBG00NG9J699 FIGI</stp>
        <stp>SP_EFF_DT</stp>
        <stp>[DIF_Risk_20200430.xlsm]Geneva investment position repo!R139C71</stp>
        <tr r="BS139" s="1"/>
      </tp>
      <tp t="s">
        <v>#N/A Field Not Applicable</v>
        <stp/>
        <stp>##V3_BDPV12</stp>
        <stp>BBG000MKLJD1 FIGI</stp>
        <stp>BOND_CLASSIFICATION_NAME</stp>
        <stp>[DIF_Risk_20200430.xlsm]Geneva investment position repo!R22C53</stp>
        <tr r="BA22" s="1"/>
      </tp>
      <tp t="s">
        <v>Energy</v>
        <stp/>
        <stp>##V3_BDPV12</stp>
        <stp>BBG00T5WB757 FIGI</stp>
        <stp>INDUSTRY_SECTOR</stp>
        <stp>[DIF_Risk_20200430.xlsm]Geneva investment position repo!R124C39</stp>
        <tr r="AM124" s="1"/>
      </tp>
      <tp t="s">
        <v>Financial</v>
        <stp/>
        <stp>##V3_BDPV12</stp>
        <stp>BBG00MNS44N6 FIGI</stp>
        <stp>INDUSTRY_SECTOR</stp>
        <stp>[DIF_Risk_20200430.xlsm]Geneva investment position repo!R129C39</stp>
        <tr r="AM129" s="1"/>
      </tp>
      <tp t="s">
        <v>#N/A N/A</v>
        <stp/>
        <stp>##V3_BDPV12</stp>
        <stp>BBG00NWVJPB7 FIGI</stp>
        <stp>RTG_SP</stp>
        <stp>[DIF_Risk_20200430.xlsm]Geneva investment position repo!R141C31</stp>
        <tr r="AE141" s="1"/>
      </tp>
      <tp t="s">
        <v>Real Estate</v>
        <stp/>
        <stp>##V3_BDPV12</stp>
        <stp>BBG00HVHMY65 FIGI</stp>
        <stp>GICS_SECTOR_NAME</stp>
        <stp>[DIF_Risk_20200430.xlsm]Geneva investment position repo!R119C51</stp>
        <tr r="AY119" s="1"/>
      </tp>
      <tp t="s">
        <v>Financial</v>
        <stp/>
        <stp>##V3_BDPV12</stp>
        <stp>BBG00NHNXCH9 FIGI</stp>
        <stp>INDUSTRY_SECTOR</stp>
        <stp>[DIF_Risk_20200430.xlsm]Geneva investment position repo!R179C39</stp>
        <tr r="AM179" s="1"/>
      </tp>
      <tp t="s">
        <v>Real Estate</v>
        <stp/>
        <stp>##V3_BDPV12</stp>
        <stp>BBG00RPXWXD8 FIGI</stp>
        <stp>INDUSTRY_GROUP</stp>
        <stp>[DIF_Risk_20200430.xlsm]Geneva investment position repo!R173C40</stp>
        <tr r="AN173" s="1"/>
      </tp>
      <tp t="s">
        <v>B</v>
        <stp/>
        <stp>##V3_BDPV12</stp>
        <stp>BBG00N0J9QB8 FIGI</stp>
        <stp>RTG_SP</stp>
        <stp>[DIF_Risk_20200430.xlsm]Geneva investment position repo!R132C31</stp>
        <tr r="AE132" s="1"/>
        <tr r="AE132" s="1"/>
      </tp>
      <tp t="s">
        <v>#N/A Field Not Applicable</v>
        <stp/>
        <stp>##V3_BDPV12</stp>
        <stp>BBG00QDN9PZ4 FIGI</stp>
        <stp>BOND_CLASSIFICATION_NAME</stp>
        <stp>[DIF_Risk_20200430.xlsm]Geneva investment position repo!R138C53</stp>
        <tr r="BA138" s="1"/>
      </tp>
      <tp t="s">
        <v>ACTV</v>
        <stp/>
        <stp>##V3_BDPV12</stp>
        <stp>BBG00QYPDPC6 FIGI</stp>
        <stp>EXCH_MARKET_STATUS</stp>
        <stp>[DIF_Risk_20200430.xlsm]Geneva investment position repo!R68C44</stp>
        <tr r="AR68" s="1"/>
        <tr r="AR68" s="1"/>
      </tp>
      <tp t="s">
        <v>ACTV</v>
        <stp/>
        <stp>##V3_BDPV12</stp>
        <stp>BBG000P9D267 FIGI</stp>
        <stp>EXCH_MARKET_STATUS</stp>
        <stp>[DIF_Risk_20200430.xlsm]Geneva investment position repo!R20C44</stp>
        <tr r="AR20" s="1"/>
        <tr r="AR20" s="1"/>
      </tp>
      <tp t="s">
        <v>#N/A N/A</v>
        <stp/>
        <stp>##V3_BDPV12</stp>
        <stp>BBG00PDYXN26 FIGI</stp>
        <stp>RTG_FITCH</stp>
        <stp>[DIF_Risk_20200430.xlsm]Geneva investment position repo!R156C33</stp>
        <tr r="AG156" s="1"/>
      </tp>
      <tp t="s">
        <v>1/21/2020</v>
        <stp/>
        <stp>##V3_BDPV12</stp>
        <stp>BBG00KMQKL04 FIGI</stp>
        <stp>SP_EFF_DT</stp>
        <stp>[DIF_Risk_20200430.xlsm]Geneva investment position repo!R169C71</stp>
        <tr r="BS169" s="1"/>
      </tp>
      <tp t="s">
        <v>1/19/2016</v>
        <stp/>
        <stp>##V3_BDPV12</stp>
        <stp>BBG00BWQ0R57 FIGI</stp>
        <stp>SP_EFF_DT</stp>
        <stp>[DIF_Risk_20200430.xlsm]Geneva investment position repo!R62C71</stp>
        <tr r="BS62" s="1"/>
      </tp>
      <tp t="s">
        <v>BOND</v>
        <stp/>
        <stp>##V3_BDPV12</stp>
        <stp>BBG00D2WYB33 FIGI</stp>
        <stp>MIFID_ASSET_CLASS</stp>
        <stp>[DIF_Risk_20200430.xlsm]Geneva investment position repo!R126C19</stp>
        <tr r="S126" s="1"/>
      </tp>
      <tp t="s">
        <v>Industrial</v>
        <stp/>
        <stp>##V3_BDPV12</stp>
        <stp>BBG00LD1QR26 FIGI</stp>
        <stp>INDUSTRY_SECTOR</stp>
        <stp>[DIF_Risk_20200430.xlsm]Geneva investment position repo!R12C39</stp>
        <tr r="AM12" s="1"/>
      </tp>
      <tp t="s">
        <v>Building-Heavy Construct</v>
        <stp/>
        <stp>##V3_BDPV12</stp>
        <stp>BBG00LD1QR26 FIGI</stp>
        <stp>ISSUER_INDUSTRY</stp>
        <stp>[DIF_Risk_20200430.xlsm]Geneva investment position repo!R12C52</stp>
        <tr r="AZ12" s="1"/>
      </tp>
      <tp t="s">
        <v>FINANCIAL</v>
        <stp/>
        <stp>##V3_BDPV12</stp>
        <stp>BBG00NGWHP25 FIGI</stp>
        <stp>ISSUER_INDUSTRY</stp>
        <stp>[DIF_Risk_20200430.xlsm]Geneva investment position repo!R29C52</stp>
        <tr r="AZ29" s="1"/>
      </tp>
      <tp t="s">
        <v>Financial</v>
        <stp/>
        <stp>##V3_BDPV12</stp>
        <stp>BBG00NGWHP25 FIGI</stp>
        <stp>INDUSTRY_SECTOR</stp>
        <stp>[DIF_Risk_20200430.xlsm]Geneva investment position repo!R29C39</stp>
        <tr r="AM29" s="1"/>
      </tp>
      <tp t="s">
        <v>#N/A N/A</v>
        <stp/>
        <stp>##V3_BDPV12</stp>
        <stp>BBG00NHNXCH9 FIGI</stp>
        <stp>RTG_FITCH</stp>
        <stp>[DIF_Risk_20200430.xlsm]Geneva investment position repo!R179C33</stp>
        <tr r="AG179" s="1"/>
      </tp>
      <tp t="s">
        <v>FR0013101599</v>
        <stp/>
        <stp>##V3_BDPV12</stp>
        <stp>BBG00BWQ0R57 FIGI</stp>
        <stp>ID_ISIN</stp>
        <stp>[DIF_Risk_20200430.xlsm]Geneva investment position repo!R62C63</stp>
        <tr r="BK62" s="1"/>
      </tp>
      <tp t="s">
        <v>Real Estate Oper/Develop</v>
        <stp/>
        <stp>##V3_BDPV12</stp>
        <stp>BBG00KMRGS75 FIGI</stp>
        <stp>INDUSTRY_SUBGROUP</stp>
        <stp>[DIF_Risk_20200430.xlsm]Geneva investment position repo!R152C41</stp>
        <tr r="AO152" s="1"/>
      </tp>
      <tp t="s">
        <v>B+</v>
        <stp/>
        <stp>##V3_BDPV12</stp>
        <stp>BBG00HDTX5P9 FIGI</stp>
        <stp>RTG_FITCH</stp>
        <stp>[DIF_Risk_20200430.xlsm]Geneva investment position repo!R111C33</stp>
        <tr r="AG111" s="1"/>
        <tr r="AG111" s="1"/>
      </tp>
      <tp t="s">
        <v>XS2122408854</v>
        <stp/>
        <stp>##V3_BDPV12</stp>
        <stp>BBG00RTNXBH9 FIGI</stp>
        <stp>ID_ISIN</stp>
        <stp>[DIF_Risk_20200430.xlsm]Geneva investment position repo!R69C63</stp>
        <tr r="BK69" s="1"/>
      </tp>
      <tp t="s">
        <v>Finance-Other Services</v>
        <stp/>
        <stp>##V3_BDPV12</stp>
        <stp>BBG00TFTG847 FIGI</stp>
        <stp>INDUSTRY_SUBGROUP</stp>
        <stp>[DIF_Risk_20200430.xlsm]Geneva investment position repo!R117C41</stp>
        <tr r="AO117" s="1"/>
      </tp>
      <tp t="s">
        <v>#N/A N/A</v>
        <stp/>
        <stp>##V3_BDPV12</stp>
        <stp>BBG00QYPDPC6 FIGI</stp>
        <stp>SP_EFF_DT</stp>
        <stp>[DIF_Risk_20200430.xlsm]Geneva investment position repo!R68C71</stp>
        <tr r="BS68" s="1"/>
      </tp>
      <tp t="s">
        <v>#N/A Field Not Applicable</v>
        <stp/>
        <stp>##V3_BDPV12</stp>
        <stp>BBG00LLV9WW6 FIGI</stp>
        <stp>CAPITAL_TYP_COCO_INITIAL_TRIGGER</stp>
        <stp>[DIF_Risk_20200430.xlsm]Geneva investment position repo!R21C43</stp>
        <tr r="AQ21" s="1"/>
      </tp>
      <tp t="s">
        <v>#N/A N/A</v>
        <stp/>
        <stp>##V3_BDPV12</stp>
        <stp>BBG00NB7K829 FIGI</stp>
        <stp>SP_EFF_DT</stp>
        <stp>[DIF_Risk_20200430.xlsm]Geneva investment position repo!R162C71</stp>
        <tr r="BS162" s="1"/>
      </tp>
      <tp t="s">
        <v>#N/A N/A</v>
        <stp/>
        <stp>##V3_BDPV12</stp>
        <stp>BBG00LJTWWM9 FIGI</stp>
        <stp>RTG_FITCH</stp>
        <stp>[DIF_Risk_20200430.xlsm]Geneva investment position repo!R60C33</stp>
        <tr r="AG60" s="1"/>
      </tp>
      <tp t="s">
        <v>XS2100726160</v>
        <stp/>
        <stp>##V3_BDPV12</stp>
        <stp>BBG00R9SNB81 FIGI</stp>
        <stp>ID_ISIN</stp>
        <stp>[DIF_Risk_20200430.xlsm]Geneva investment position repo!R64C63</stp>
        <tr r="BK64" s="1"/>
      </tp>
      <tp t="s">
        <v>#N/A Field Not Applicable</v>
        <stp/>
        <stp>##V3_BDPV12</stp>
        <stp>BBG00RYGHZS1 FIGI</stp>
        <stp>GICS_SECTOR_NAME</stp>
        <stp>[DIF_Risk_20200430.xlsm]Geneva investment position repo!R51C51</stp>
        <tr r="AY51" s="1"/>
      </tp>
      <tp t="s">
        <v>Consumer, Non-cyclical</v>
        <stp/>
        <stp>##V3_BDPV12</stp>
        <stp>BBG00LLFHRL5 FIGI</stp>
        <stp>INDUSTRY_SECTOR</stp>
        <stp>[DIF_Risk_20200430.xlsm]Geneva investment position repo!R61C39</stp>
        <tr r="AM61" s="1"/>
      </tp>
      <tp t="s">
        <v>SPECIAL PURPOSE</v>
        <stp/>
        <stp>##V3_BDPV12</stp>
        <stp>BBG00LLFHRL5 FIGI</stp>
        <stp>ISSUER_INDUSTRY</stp>
        <stp>[DIF_Risk_20200430.xlsm]Geneva investment position repo!R61C52</stp>
        <tr r="AZ61" s="1"/>
      </tp>
      <tp t="s">
        <v>BOND</v>
        <stp/>
        <stp>##V3_BDPV12</stp>
        <stp>BBG00GSCY4N6 FIGI</stp>
        <stp>MIFID_ASSET_CLASS</stp>
        <stp>[DIF_Risk_20200430.xlsm]Geneva investment position repo!R116C19</stp>
        <tr r="S116" s="1"/>
      </tp>
      <tp t="s">
        <v>Internet Connectiv Svcs</v>
        <stp/>
        <stp>##V3_BDPV12</stp>
        <stp>BBG00NV0G541 FIGI</stp>
        <stp>INDUSTRY_SUBGROUP</stp>
        <stp>[DIF_Risk_20200430.xlsm]Geneva investment position repo!R165C41</stp>
        <tr r="AO165" s="1"/>
      </tp>
      <tp t="s">
        <v>Energy</v>
        <stp/>
        <stp>##V3_BDPV12</stp>
        <stp>BBG00D2WYB33 FIGI</stp>
        <stp>INDUSTRY_SECTOR</stp>
        <stp>[DIF_Risk_20200430.xlsm]Geneva investment position repo!R126C39</stp>
        <tr r="AM126" s="1"/>
      </tp>
      <tp t="s">
        <v>ACTV</v>
        <stp/>
        <stp>##V3_BDPV12</stp>
        <stp>BBG00M0MD1Z7 FIGI</stp>
        <stp>EXCH_MARKET_STATUS</stp>
        <stp>[DIF_Risk_20200430.xlsm]Geneva investment position repo!R55C44</stp>
        <tr r="AR55" s="1"/>
        <tr r="AR55" s="1"/>
      </tp>
      <tp t="s">
        <v>A-</v>
        <stp/>
        <stp>##V3_BDPV12</stp>
        <stp>BBG00RD35MV1 FIGI</stp>
        <stp>RTG_SP</stp>
        <stp>[DIF_Risk_20200430.xlsm]Geneva investment position repo!R118C31</stp>
        <tr r="AE118" s="1"/>
        <tr r="AE118" s="1"/>
      </tp>
      <tp t="s">
        <v>Financials</v>
        <stp/>
        <stp>##V3_BDPV12</stp>
        <stp>BBG00T2MWMJ1 FIGI</stp>
        <stp>GICS_SECTOR_NAME</stp>
        <stp>[DIF_Risk_20200430.xlsm]Geneva investment position repo!R128C51</stp>
        <tr r="AY128" s="1"/>
      </tp>
      <tp t="s">
        <v>#N/A Field Not Applicable</v>
        <stp/>
        <stp>##V3_BDPV12</stp>
        <stp>BBG00HDTX5P9 FIGI</stp>
        <stp>CAPITAL_TYP_COCO_INITIAL_TRIGGER</stp>
        <stp>[DIF_Risk_20200430.xlsm]Geneva investment position repo!R111C43</stp>
        <tr r="AQ111" s="1"/>
      </tp>
      <tp t="s">
        <v>ACTV</v>
        <stp/>
        <stp>##V3_BDPV12</stp>
        <stp>BBG00PSJD0B5 FIGI</stp>
        <stp>EXCH_MARKET_STATUS</stp>
        <stp>[DIF_Risk_20200430.xlsm]Geneva investment position repo!R81C44</stp>
        <tr r="AR81" s="1"/>
        <tr r="AR81" s="1"/>
      </tp>
      <tp t="s">
        <v>#N/A Field Not Applicable</v>
        <stp/>
        <stp>##V3_BDPV12</stp>
        <stp>BBG00RHHSFZ2 FIGI</stp>
        <stp>BOND_CLASSIFICATION_NAME</stp>
        <stp>[DIF_Risk_20200430.xlsm]Geneva investment position repo!R122C53</stp>
        <tr r="BA122" s="1"/>
      </tp>
      <tp t="s">
        <v>#N/A Field Not Applicable</v>
        <stp/>
        <stp>##V3_BDPV12</stp>
        <stp>BBG00JVKTCJ1 FIGI</stp>
        <stp>BOND_CLASSIFICATION_NAME</stp>
        <stp>[DIF_Risk_20200430.xlsm]Geneva investment position repo!R110C53</stp>
        <tr r="BA110" s="1"/>
      </tp>
      <tp t="s">
        <v>B+</v>
        <stp/>
        <stp>##V3_BDPV12</stp>
        <stp>BBG00KMRGS75 FIGI</stp>
        <stp>RTG_SP</stp>
        <stp>[DIF_Risk_20200430.xlsm]Geneva investment position repo!R152C31</stp>
        <tr r="AE152" s="1"/>
        <tr r="AE152" s="1"/>
      </tp>
      <tp t="s">
        <v>#N/A Field Not Applicable</v>
        <stp/>
        <stp>##V3_BDPV12</stp>
        <stp>BBG00N9X3LW2 FIGI</stp>
        <stp>CAPITAL_TYP_COCO_INITIAL_TRIGGER</stp>
        <stp>[DIF_Risk_20200430.xlsm]Geneva investment position repo!R180C43</stp>
        <tr r="AQ180" s="1"/>
      </tp>
      <tp t="s">
        <v>#N/A Field Not Applicable</v>
        <stp/>
        <stp>##V3_BDPV12</stp>
        <stp>BBG00P7N38J5 FIGI</stp>
        <stp>GICS_SECTOR_NAME</stp>
        <stp>[DIF_Risk_20200430.xlsm]Geneva investment position repo!R175C51</stp>
        <tr r="AY175" s="1"/>
      </tp>
      <tp t="s">
        <v>#N/A Field Not Applicable</v>
        <stp/>
        <stp>##V3_BDPV12</stp>
        <stp>BBG00NDM7WZ0 FIGI</stp>
        <stp>BOND_CLASSIFICATION_NAME</stp>
        <stp>[DIF_Risk_20200430.xlsm]Geneva investment position repo!R103C53</stp>
        <tr r="BA103" s="1"/>
      </tp>
      <tp t="s">
        <v>#N/A Field Not Applicable</v>
        <stp/>
        <stp>##V3_BDPV12</stp>
        <stp>BBG00PKD4F69 FIGI</stp>
        <stp>BOND_CLASSIFICATION_NAME</stp>
        <stp>[DIF_Risk_20200430.xlsm]Geneva investment position repo!R145C53</stp>
        <tr r="BA145" s="1"/>
      </tp>
      <tp t="s">
        <v>#N/A N/A</v>
        <stp/>
        <stp>##V3_BDPV12</stp>
        <stp>BBG00RCY5V08 FIGI</stp>
        <stp>SP_EFF_DT</stp>
        <stp>[DIF_Risk_20200430.xlsm]Geneva investment position repo!R39C71</stp>
        <tr r="BS39" s="1"/>
      </tp>
      <tp t="s">
        <v>Ping An Insurance Group Co of</v>
        <stp/>
        <stp>##V3_BDPV12</stp>
        <stp>BBG000GD4N44 FIGI</stp>
        <stp>SECURITY_NAME</stp>
        <stp>[DIF_Risk_20200430.xlsm]SFC Report!R179C1</stp>
        <tr r="A179" s="6"/>
      </tp>
      <tp t="s">
        <v>A3</v>
        <stp/>
        <stp>##V3_BDPV12</stp>
        <stp>BBG00SXGDG60 FIGI</stp>
        <stp>RTG_MOODY</stp>
        <stp>[DIF_Risk_20200430.xlsm]Geneva investment position repo!R120C32</stp>
        <tr r="AF120" s="1"/>
        <tr r="AF120" s="1"/>
      </tp>
      <tp t="s">
        <v>#N/A Field Not Applicable</v>
        <stp/>
        <stp>##V3_BDPV12</stp>
        <stp>BBG00QT8QWY7 FIGI</stp>
        <stp>GICS_SECTOR_NAME</stp>
        <stp>[DIF_Risk_20200430.xlsm]Geneva investment position repo!R46C51</stp>
        <tr r="AY46" s="1"/>
      </tp>
      <tp t="s">
        <v>SUNAC 8.35 04/19/23</v>
        <stp/>
        <stp>##V3_BDPV12</stp>
        <stp>BBG00KMRGS75 FIGI</stp>
        <stp>SECURITY_NAME</stp>
        <stp>[DIF_Risk_20200430.xlsm]SFC Report!R180C1</stp>
        <tr r="A180" s="6"/>
      </tp>
      <tp t="s">
        <v>#N/A Field Not Applicable</v>
        <stp/>
        <stp>##V3_BDPV12</stp>
        <stp>BBG00QN3F2R0 FIGI</stp>
        <stp>CAPITAL_TYP_COCO_INITIAL_TRIGGER</stp>
        <stp>[DIF_Risk_20200430.xlsm]Geneva investment position repo!R28C43</stp>
        <tr r="AQ28" s="1"/>
      </tp>
      <tp t="s">
        <v>B1 *-</v>
        <stp/>
        <stp>##V3_BDPV12</stp>
        <stp>BBG00N2KDB12 FIGI</stp>
        <stp>RTG_MOODY</stp>
        <stp>[DIF_Risk_20200430.xlsm]Geneva investment position repo!R174C32</stp>
        <tr r="AF174" s="1"/>
        <tr r="AF174" s="1"/>
      </tp>
      <tp t="s">
        <v>#N/A N/A</v>
        <stp/>
        <stp>##V3_BDPV12</stp>
        <stp>BBG00K6FDF25 FIGI</stp>
        <stp>RTG_MOODY</stp>
        <stp>[DIF_Risk_20200430.xlsm]Geneva investment position repo!R101C32</stp>
        <tr r="AF101" s="1"/>
      </tp>
      <tp t="s">
        <v>A3</v>
        <stp/>
        <stp>##V3_BDPV12</stp>
        <stp>BBG00B6SDBV4 FIGI</stp>
        <stp>RTG_MOODY</stp>
        <stp>[DIF_Risk_20200430.xlsm]Geneva investment position repo!R115C32</stp>
        <tr r="AF115" s="1"/>
        <tr r="AF115" s="1"/>
      </tp>
      <tp t="s">
        <v>1/6/2020</v>
        <stp/>
        <stp>##V3_BDPV12</stp>
        <stp>BBG00R9SLKK9 FIGI</stp>
        <stp>SP_EFF_DT</stp>
        <stp>[DIF_Risk_20200430.xlsm]Geneva investment position repo!R148C71</stp>
        <tr r="BS148" s="1"/>
      </tp>
      <tp t="s">
        <v>FINANCIAL</v>
        <stp/>
        <stp>##V3_BDPV12</stp>
        <stp>BBG00RRMFK74 FIGI</stp>
        <stp>ISSUER_INDUSTRY</stp>
        <stp>[DIF_Risk_20200430.xlsm]Geneva investment position repo!R41C52</stp>
        <tr r="AZ41" s="1"/>
      </tp>
      <tp t="s">
        <v>Financial</v>
        <stp/>
        <stp>##V3_BDPV12</stp>
        <stp>BBG00RRMFK74 FIGI</stp>
        <stp>INDUSTRY_SECTOR</stp>
        <stp>[DIF_Risk_20200430.xlsm]Geneva investment position repo!R41C39</stp>
        <tr r="AM41" s="1"/>
      </tp>
      <tp t="s">
        <v>#N/A Field Not Applicable</v>
        <stp/>
        <stp>##V3_BDPV12</stp>
        <stp>BBG000DVPPK1 FIGI</stp>
        <stp>BOND_CLASSIFICATION_NAME</stp>
        <stp>[DIF_Risk_20200430.xlsm]Geneva investment position repo!R10C53</stp>
        <tr r="BA10" s="1"/>
      </tp>
      <tp t="s">
        <v>#N/A N/A</v>
        <stp/>
        <stp>##V3_BDPV12</stp>
        <stp>BBG00RT2L457 FIGI</stp>
        <stp>SP_EFF_DT</stp>
        <stp>[DIF_Risk_20200430.xlsm]Geneva investment position repo!R177C71</stp>
        <tr r="BS177" s="1"/>
      </tp>
      <tp t="s">
        <v>#N/A Field Not Applicable</v>
        <stp/>
        <stp>##V3_BDPV12</stp>
        <stp>BBG00DXBXRD0 FIGI</stp>
        <stp>CAPITAL_TYP_COCO_INITIAL_TRIGGER</stp>
        <stp>[DIF_Risk_20200430.xlsm]Geneva investment position repo!R93C43</stp>
        <tr r="AQ93" s="1"/>
      </tp>
      <tp t="s">
        <v>SPECIAL PURPOSE</v>
        <stp/>
        <stp>##V3_BDPV12</stp>
        <stp>BBG00RYDYKF6 FIGI</stp>
        <stp>ISSUER_INDUSTRY</stp>
        <stp>[DIF_Risk_20200430.xlsm]Geneva investment position repo!R89C52</stp>
        <tr r="AZ89" s="1"/>
      </tp>
      <tp t="s">
        <v>HK</v>
        <stp/>
        <stp>##V3_BDPV12</stp>
        <stp>BBG000BDW8M1 FIGI</stp>
        <stp>CNTRY_ISSUE_ISO</stp>
        <stp>[DIF_Risk_20200430.xlsm]Geneva investment position repo!R14C38</stp>
        <tr r="AL14" s="1"/>
      </tp>
      <tp t="s">
        <v>Financial</v>
        <stp/>
        <stp>##V3_BDPV12</stp>
        <stp>BBG00RYDYKF6 FIGI</stp>
        <stp>INDUSTRY_SECTOR</stp>
        <stp>[DIF_Risk_20200430.xlsm]Geneva investment position repo!R89C39</stp>
        <tr r="AM89" s="1"/>
      </tp>
      <tp t="s">
        <v>#N/A Field Not Applicable</v>
        <stp/>
        <stp>##V3_BDPV12</stp>
        <stp>BBG00RTNXBH9 FIGI</stp>
        <stp>CAPITAL_TYP_COCO_INITIAL_TRIGGER</stp>
        <stp>[DIF_Risk_20200430.xlsm]Geneva investment position repo!R69C43</stp>
        <tr r="AQ69" s="1"/>
      </tp>
      <tp t="s">
        <v>XS1917106061</v>
        <stp/>
        <stp>##V3_BDPV12</stp>
        <stp>BBG00NBG3YQ5 FIGI</stp>
        <stp>ID_ISIN</stp>
        <stp>[DIF_Risk_20200430.xlsm]Geneva investment position repo!R91C63</stp>
        <tr r="BK91" s="1"/>
      </tp>
      <tp t="s">
        <v>#N/A Field Not Applicable</v>
        <stp/>
        <stp>##V3_BDPV12</stp>
        <stp>BBG000BDW8M1 FIGI</stp>
        <stp>BOND_CLASSIFICATION_NAME</stp>
        <stp>[DIF_Risk_20200430.xlsm]Geneva investment position repo!R14C53</stp>
        <tr r="BA14" s="1"/>
      </tp>
      <tp t="s">
        <v>XS2159975882</v>
        <stp/>
        <stp>##V3_BDPV12</stp>
        <stp>BBG00T6LYC72 FIGI</stp>
        <stp>ID_ISIN</stp>
        <stp>[DIF_Risk_20200430.xlsm]Geneva investment position repo!R95C63</stp>
        <tr r="BK95" s="1"/>
      </tp>
      <tp t="s">
        <v>EQUI</v>
        <stp/>
        <stp>##V3_BDPV12</stp>
        <stp>BBG000BZWNT2 FIGI</stp>
        <stp>MIFID_ASSET_CLASS</stp>
        <stp>[DIF_Risk_20200430.xlsm]Geneva investment position repo!R11C19</stp>
        <tr r="S11" s="1"/>
      </tp>
      <tp t="s">
        <v>#N/A Field Not Applicable</v>
        <stp/>
        <stp>##V3_BDPV12</stp>
        <stp>BBG00GTY47H0 FIGI</stp>
        <stp>CAPITAL_TYP_COCO_INITIAL_TRIGGER</stp>
        <stp>[DIF_Risk_20200430.xlsm]Geneva investment position repo!R26C43</stp>
        <tr r="AQ26" s="1"/>
      </tp>
      <tp t="s">
        <v>#N/A N/A</v>
        <stp/>
        <stp>##V3_BDPV12</stp>
        <stp>BBG00NG9L0S8 FIGI</stp>
        <stp>SP_EFF_DT</stp>
        <stp>[DIF_Risk_20200430.xlsm]Geneva investment position repo!R134C71</stp>
        <tr r="BS134" s="1"/>
      </tp>
      <tp t="s">
        <v>#N/A N/A</v>
        <stp/>
        <stp>##V3_BDPV12</stp>
        <stp>BBG00R9SN7F2 FIGI</stp>
        <stp>SP_EFF_DT</stp>
        <stp>[DIF_Risk_20200430.xlsm]Geneva investment position repo!R63C71</stp>
        <tr r="BS63" s="1"/>
      </tp>
      <tp t="s">
        <v>3/26/2018</v>
        <stp/>
        <stp>##V3_BDPV12</stp>
        <stp>BBG005BTJ9P5 FIGI</stp>
        <stp>SP_EFF_DT</stp>
        <stp>[DIF_Risk_20200430.xlsm]Geneva investment position repo!R65C71</stp>
        <tr r="BS65" s="1"/>
      </tp>
      <tp t="s">
        <v>#N/A Field Not Applicable</v>
        <stp/>
        <stp>##V3_BDPV12</stp>
        <stp>BBG00LSRS878 FIGI</stp>
        <stp>CAPITAL_TYP_COCO_INITIAL_TRIGGER</stp>
        <stp>[DIF_Risk_20200430.xlsm]Geneva investment position repo!R104C43</stp>
        <tr r="AQ104" s="1"/>
      </tp>
      <tp t="s">
        <v>#N/A Field Not Applicable</v>
        <stp/>
        <stp>##V3_BDPV12</stp>
        <stp>BBG00HVHMY65 FIGI</stp>
        <stp>BOND_CLASSIFICATION_NAME</stp>
        <stp>[DIF_Risk_20200430.xlsm]Geneva investment position repo!R119C53</stp>
        <tr r="BA119" s="1"/>
      </tp>
      <tp t="s">
        <v>Real Estate</v>
        <stp/>
        <stp>##V3_BDPV12</stp>
        <stp>BBG00N2KDB12 FIGI</stp>
        <stp>INDUSTRY_GROUP</stp>
        <stp>[DIF_Risk_20200430.xlsm]Geneva investment position repo!R174C40</stp>
        <tr r="AN174" s="1"/>
      </tp>
      <tp t="s">
        <v>SPECIAL PURPOSE</v>
        <stp/>
        <stp>##V3_BDPV12</stp>
        <stp>BBG00D2WYB33 FIGI</stp>
        <stp>ISSUER_INDUSTRY</stp>
        <stp>[DIF_Risk_20200430.xlsm]Geneva investment position repo!R126C52</stp>
        <tr r="AZ126" s="1"/>
      </tp>
      <tp t="s">
        <v>#N/A Field Not Applicable</v>
        <stp/>
        <stp>##V3_BDPV12</stp>
        <stp>BBG00R9SLKK9 FIGI</stp>
        <stp>CAPITAL_TYP_COCO_INITIAL_TRIGGER</stp>
        <stp>[DIF_Risk_20200430.xlsm]Geneva investment position repo!R148C43</stp>
        <tr r="AQ148" s="1"/>
      </tp>
      <tp t="s">
        <v>Real Estate</v>
        <stp/>
        <stp>##V3_BDPV12</stp>
        <stp>BBG00HC2ZDQ9 FIGI</stp>
        <stp>INDUSTRY_GROUP</stp>
        <stp>[DIF_Risk_20200430.xlsm]Geneva investment position repo!R151C40</stp>
        <tr r="AN151" s="1"/>
      </tp>
      <tp t="s">
        <v>#N/A Field Not Applicable</v>
        <stp/>
        <stp>##V3_BDPV12</stp>
        <stp>BBG00QDN9PZ4 FIGI</stp>
        <stp>GICS_SECTOR_NAME</stp>
        <stp>[DIF_Risk_20200430.xlsm]Geneva investment position repo!R138C51</stp>
        <tr r="AY138" s="1"/>
      </tp>
      <tp t="s">
        <v>Financial</v>
        <stp/>
        <stp>##V3_BDPV12</stp>
        <stp>BBG00N14RT60 FIGI</stp>
        <stp>INDUSTRY_SECTOR</stp>
        <stp>[DIF_Risk_20200430.xlsm]Geneva investment position repo!R153C39</stp>
        <tr r="AM153" s="1"/>
      </tp>
      <tp t="s">
        <v>A</v>
        <stp/>
        <stp>##V3_BDPV12</stp>
        <stp>BBG00T2MWMJ1 FIGI</stp>
        <stp>RTG_SP</stp>
        <stp>[DIF_Risk_20200430.xlsm]Geneva investment position repo!R128C31</stp>
        <tr r="AE128" s="1"/>
        <tr r="AE128" s="1"/>
      </tp>
      <tp t="s">
        <v>XS1953150197</v>
        <stp/>
        <stp>##V3_BDPV12</stp>
        <stp>BBG00NB0B2N4 FIGI</stp>
        <stp>ID_ISIN</stp>
        <stp>[DIF_Risk_20200430.xlsm]Geneva investment position repo!R150C63</stp>
        <tr r="BK150" s="1"/>
      </tp>
      <tp t="s">
        <v>#N/A Field Not Applicable</v>
        <stp/>
        <stp>##V3_BDPV12</stp>
        <stp>BBG00LSR9049 FIGI</stp>
        <stp>CAPITAL_TYP_COCO_INITIAL_TRIGGER</stp>
        <stp>[DIF_Risk_20200430.xlsm]Geneva investment position repo!R108C43</stp>
        <tr r="AQ108" s="1"/>
      </tp>
      <tp t="s">
        <v>B+</v>
        <stp/>
        <stp>##V3_BDPV12</stp>
        <stp>BBG00R9SLKK9 FIGI</stp>
        <stp>RTG_SP</stp>
        <stp>[DIF_Risk_20200430.xlsm]Geneva investment position repo!R148C31</stp>
        <tr r="AE148" s="1"/>
        <tr r="AE148" s="1"/>
      </tp>
      <tp t="s">
        <v>SPECIAL PURPOSE</v>
        <stp/>
        <stp>##V3_BDPV12</stp>
        <stp>BBG00RZ2MZZ7 FIGI</stp>
        <stp>ISSUER_INDUSTRY</stp>
        <stp>[DIF_Risk_20200430.xlsm]Geneva investment position repo!R113C52</stp>
        <tr r="AZ113" s="1"/>
      </tp>
      <tp t="s">
        <v>ACTV</v>
        <stp/>
        <stp>##V3_BDPV12</stp>
        <stp>BBG00RPJBQ56 FIGI</stp>
        <stp>EXCH_MARKET_STATUS</stp>
        <stp>[DIF_Risk_20200430.xlsm]Geneva investment position repo!R27C44</stp>
        <tr r="AR27" s="1"/>
        <tr r="AR27" s="1"/>
      </tp>
      <tp t="s">
        <v>ACTV</v>
        <stp/>
        <stp>##V3_BDPV12</stp>
        <stp>BBG00226B1T3 FIGI</stp>
        <stp>EXCH_MARKET_STATUS</stp>
        <stp>[DIF_Risk_20200430.xlsm]Geneva investment position repo!R16C44</stp>
        <tr r="AR16" s="1"/>
        <tr r="AR16" s="1"/>
      </tp>
      <tp t="s">
        <v>SPECIAL PURPOSE</v>
        <stp/>
        <stp>##V3_BDPV12</stp>
        <stp>BBG00RH7GJ34 FIGI</stp>
        <stp>ISSUER_INDUSTRY</stp>
        <stp>[DIF_Risk_20200430.xlsm]Geneva investment position repo!R67C52</stp>
        <tr r="AZ67" s="1"/>
      </tp>
      <tp t="s">
        <v>Financial</v>
        <stp/>
        <stp>##V3_BDPV12</stp>
        <stp>BBG00RH7GJ34 FIGI</stp>
        <stp>INDUSTRY_SECTOR</stp>
        <stp>[DIF_Risk_20200430.xlsm]Geneva investment position repo!R67C39</stp>
        <tr r="AM67" s="1"/>
      </tp>
      <tp t="s">
        <v>#N/A N/A</v>
        <stp/>
        <stp>##V3_BDPV12</stp>
        <stp>BBG00KNCMN62 FIGI</stp>
        <stp>SP_EFF_DT</stp>
        <stp>[DIF_Risk_20200430.xlsm]Geneva investment position repo!R102C71</stp>
        <tr r="BS102" s="1"/>
      </tp>
      <tp t="s">
        <v>1/7/2019</v>
        <stp/>
        <stp>##V3_BDPV12</stp>
        <stp>BBG00N0Q0RS1 FIGI</stp>
        <stp>SP_EFF_DT</stp>
        <stp>[DIF_Risk_20200430.xlsm]Geneva investment position repo!R50C71</stp>
        <tr r="BS50" s="1"/>
      </tp>
      <tp t="s">
        <v>PWRLNG 5.95 07/19/20</v>
        <stp/>
        <stp>##V3_BDPV12</stp>
        <stp>BBG00H4BZMF0 FIGI</stp>
        <stp>SECURITY_NAME</stp>
        <stp>[DIF_Risk_20200430.xlsm]SFC Report!R139C8</stp>
        <tr r="H139" s="6"/>
      </tp>
      <tp t="s">
        <v>#N/A N/A</v>
        <stp/>
        <stp>##V3_BDPV12</stp>
        <stp>BBG00RZ2MZZ7 FIGI</stp>
        <stp>SP_EFF_DT</stp>
        <stp>[DIF_Risk_20200430.xlsm]Geneva investment position repo!R113C71</stp>
        <tr r="BS113" s="1"/>
      </tp>
      <tp t="s">
        <v>#N/A Field Not Applicable</v>
        <stp/>
        <stp>##V3_BDPV12</stp>
        <stp>BBG00LLV9WW6 FIGI</stp>
        <stp>SP_EFF_DT</stp>
        <stp>[DIF_Risk_20200430.xlsm]Geneva investment position repo!R21C71</stp>
        <tr r="BS21" s="1"/>
      </tp>
      <tp t="s">
        <v>#N/A N/A</v>
        <stp/>
        <stp>##V3_BDPV12</stp>
        <stp>BBG00RB0MG61 FIGI</stp>
        <stp>SP_EFF_DT</stp>
        <stp>[DIF_Risk_20200430.xlsm]Geneva investment position repo!R100C71</stp>
        <tr r="BS100" s="1"/>
      </tp>
      <tp t="s">
        <v>SUNSHI 6.8 03/11/21</v>
        <stp/>
        <stp>##V3_BDPV12</stp>
        <stp>BBG00S6SWBM6 FIGI</stp>
        <stp>SECURITY_NAME</stp>
        <stp>[DIF_Risk_20200430.xlsm]SFC Report!R120C8</stp>
        <tr r="H120" s="6"/>
      </tp>
      <tp t="s">
        <v>EQUI</v>
        <stp/>
        <stp>##V3_BDPV12</stp>
        <stp>BBG00GTY47H0 FIGI</stp>
        <stp>MIFID_ASSET_CLASS</stp>
        <stp>[DIF_Risk_20200430.xlsm]Geneva investment position repo!R26C19</stp>
        <tr r="S26" s="1"/>
      </tp>
      <tp t="s">
        <v>EQUI</v>
        <stp/>
        <stp>##V3_BDPV12</stp>
        <stp>BBG00DVX5HS1 FIGI</stp>
        <stp>MIFID_ASSET_CLASS</stp>
        <stp>[DIF_Risk_20200430.xlsm]Geneva investment position repo!R44C19</stp>
        <tr r="S44" s="1"/>
      </tp>
      <tp t="s">
        <v>#N/A N/A</v>
        <stp/>
        <stp>##V3_BDPV12</stp>
        <stp>BBG00HVHMY65 FIGI</stp>
        <stp>SP_EFF_DT</stp>
        <stp>[DIF_Risk_20200430.xlsm]Geneva investment position repo!R119C71</stp>
        <tr r="BS119" s="1"/>
      </tp>
      <tp t="s">
        <v>XS1545506401</v>
        <stp/>
        <stp>##V3_BDPV12</stp>
        <stp>BBG00FP0FP88 FIGI</stp>
        <stp>ID_ISIN</stp>
        <stp>[DIF_Risk_20200430.xlsm]Geneva investment position repo!R96C63</stp>
        <tr r="BK96" s="1"/>
      </tp>
      <tp t="s">
        <v>FINANCIAL</v>
        <stp/>
        <stp>##V3_BDPV12</stp>
        <stp>BBG00PQ3QH67 FIGI</stp>
        <stp>ISSUER_INDUSTRY</stp>
        <stp>[DIF_Risk_20200430.xlsm]Geneva investment position repo!R73C52</stp>
        <tr r="AZ73" s="1"/>
      </tp>
      <tp t="s">
        <v>Financial</v>
        <stp/>
        <stp>##V3_BDPV12</stp>
        <stp>BBG00PQ3QH67 FIGI</stp>
        <stp>INDUSTRY_SECTOR</stp>
        <stp>[DIF_Risk_20200430.xlsm]Geneva investment position repo!R73C39</stp>
        <tr r="AM73" s="1"/>
      </tp>
      <tp t="s">
        <v>SUNAC 6 1/2 01/10/25</v>
        <stp/>
        <stp>##V3_BDPV12</stp>
        <stp>BBG00R9SLKK9 FIGI</stp>
        <stp>SECURITY_NAME</stp>
        <stp>[DIF_Risk_20200430.xlsm]SFC Report!R119C1</stp>
        <tr r="A119" s="6"/>
      </tp>
      <tp t="s">
        <v>Financial</v>
        <stp/>
        <stp>##V3_BDPV12</stp>
        <stp>BBG00RB35JZ6 FIGI</stp>
        <stp>INDUSTRY_SECTOR</stp>
        <stp>[DIF_Risk_20200430.xlsm]Geneva investment position repo!R48C39</stp>
        <tr r="AM48" s="1"/>
      </tp>
      <tp t="s">
        <v>3/18/2020</v>
        <stp/>
        <stp>##V3_BDPV12</stp>
        <stp>BBG00TDCM2R7 FIGI</stp>
        <stp>SP_EFF_DT</stp>
        <stp>[DIF_Risk_20200430.xlsm]Geneva investment position repo!R147C71</stp>
        <tr r="BS147" s="1"/>
      </tp>
      <tp t="s">
        <v>SPECIAL PURPOSE</v>
        <stp/>
        <stp>##V3_BDPV12</stp>
        <stp>BBG00RB35JZ6 FIGI</stp>
        <stp>ISSUER_INDUSTRY</stp>
        <stp>[DIF_Risk_20200430.xlsm]Geneva investment position repo!R48C52</stp>
        <tr r="AZ48" s="1"/>
      </tp>
      <tp t="s">
        <v>USN4717BAD84</v>
        <stp/>
        <stp>##V3_BDPV12</stp>
        <stp>BBG00DXBXRD0 FIGI</stp>
        <stp>ID_ISIN</stp>
        <stp>[DIF_Risk_20200430.xlsm]Geneva investment position repo!R93C63</stp>
        <tr r="BK93" s="1"/>
      </tp>
      <tp t="s">
        <v>Whsing&amp;Harbor Trans Serv</v>
        <stp/>
        <stp>##V3_BDPV12</stp>
        <stp>BBG00LJTWWM9 FIGI</stp>
        <stp>INDUSTRY_SUBGROUP</stp>
        <stp>[DIF_Risk_20200430.xlsm]Geneva investment position repo!R60C41</stp>
        <tr r="AO60" s="1"/>
      </tp>
      <tp t="s">
        <v>Baa1</v>
        <stp/>
        <stp>##V3_BDPV12</stp>
        <stp>BBG00LJTWWM9 FIGI</stp>
        <stp>RTG_MOODY</stp>
        <stp>[DIF_Risk_20200430.xlsm]Geneva investment position repo!R60C32</stp>
        <tr r="AF60" s="1"/>
        <tr r="AF60" s="1"/>
      </tp>
      <tp t="s">
        <v>#N/A Field Not Applicable</v>
        <stp/>
        <stp>##V3_BDPV12</stp>
        <stp>BBG00LVCGFZ3 FIGI</stp>
        <stp>GICS_SECTOR_NAME</stp>
        <stp>[DIF_Risk_20200430.xlsm]Geneva investment position repo!R77C51</stp>
        <tr r="AY77" s="1"/>
      </tp>
      <tp t="s">
        <v>#N/A N/A</v>
        <stp/>
        <stp>##V3_BDPV12</stp>
        <stp>BBG00NDFM319 FIGI</stp>
        <stp>SP_EFF_DT</stp>
        <stp>[DIF_Risk_20200430.xlsm]Geneva investment position repo!R140C71</stp>
        <tr r="BS140" s="1"/>
      </tp>
      <tp t="s">
        <v>#N/A Field Not Applicable</v>
        <stp/>
        <stp>##V3_BDPV12</stp>
        <stp>BBG000BDWNL9 FIGI</stp>
        <stp>BOND_CLASSIFICATION_NAME</stp>
        <stp>[DIF_Risk_20200430.xlsm]Geneva investment position repo!R24C53</stp>
        <tr r="BA24" s="1"/>
      </tp>
      <tp t="s">
        <v>#N/A N/A</v>
        <stp/>
        <stp>##V3_BDPV12</stp>
        <stp>BBG00NTXM180 FIGI</stp>
        <stp>SP_EFF_DT</stp>
        <stp>[DIF_Risk_20200430.xlsm]Geneva investment position repo!R136C71</stp>
        <tr r="BS136" s="1"/>
      </tp>
      <tp t="s">
        <v>Chengtou Bond</v>
        <stp/>
        <stp>##V3_BDPV12</stp>
        <stp>BBG00S9HKR72 FIGI</stp>
        <stp>BOND_CLASSIFICATION_NAME</stp>
        <stp>[DIF_Risk_20200430.xlsm]Geneva investment position repo!R36C53</stp>
        <tr r="BA36" s="1"/>
      </tp>
      <tp t="s">
        <v>Communication Services</v>
        <stp/>
        <stp>##V3_BDPV12</stp>
        <stp>BBG000BJ35N5 FIGI</stp>
        <stp>GICS_SECTOR_NAME</stp>
        <stp>[DIF_Risk_20200430.xlsm]Geneva investment position repo!R25C51</stp>
        <tr r="AY25" s="1"/>
      </tp>
      <tp t="s">
        <v>#N/A Field Not Applicable</v>
        <stp/>
        <stp>##V3_BDPV12</stp>
        <stp>BBG00NDMRLH2 FIGI</stp>
        <stp>GICS_SECTOR_NAME</stp>
        <stp>[DIF_Risk_20200430.xlsm]Geneva investment position repo!R58C51</stp>
        <tr r="AY58" s="1"/>
      </tp>
      <tp t="s">
        <v>FINANCIAL</v>
        <stp/>
        <stp>##V3_BDPV12</stp>
        <stp>BBG00NHNXCH9 FIGI</stp>
        <stp>ISSUER_INDUSTRY</stp>
        <stp>[DIF_Risk_20200430.xlsm]Geneva investment position repo!R179C52</stp>
        <tr r="AZ179" s="1"/>
      </tp>
      <tp t="s">
        <v>BB-</v>
        <stp/>
        <stp>##V3_BDPV12</stp>
        <stp>BBG00NDM7WZ0 FIGI</stp>
        <stp>RTG_SP</stp>
        <stp>[DIF_Risk_20200430.xlsm]Geneva investment position repo!R103C31</stp>
        <tr r="AE103" s="1"/>
        <tr r="AE103" s="1"/>
      </tp>
      <tp t="s">
        <v>XS1923588096</v>
        <stp/>
        <stp>##V3_BDPV12</stp>
        <stp>BBG00MTS9QX5 FIGI</stp>
        <stp>ID_ISIN</stp>
        <stp>[DIF_Risk_20200430.xlsm]Geneva investment position repo!R157C63</stp>
        <tr r="BK157" s="1"/>
      </tp>
      <tp t="s">
        <v>#N/A Field Not Applicable</v>
        <stp/>
        <stp>##V3_BDPV12</stp>
        <stp>BBG00RHHSFZ2 FIGI</stp>
        <stp>GICS_SECTOR_NAME</stp>
        <stp>[DIF_Risk_20200430.xlsm]Geneva investment position repo!R122C51</stp>
        <tr r="AY122" s="1"/>
      </tp>
      <tp t="s">
        <v>Real Estate</v>
        <stp/>
        <stp>##V3_BDPV12</stp>
        <stp>BBG00NHNXCH9 FIGI</stp>
        <stp>INDUSTRY_GROUP</stp>
        <stp>[DIF_Risk_20200430.xlsm]Geneva investment position repo!R179C40</stp>
        <tr r="AN179" s="1"/>
      </tp>
      <tp t="s">
        <v>Real Estate</v>
        <stp/>
        <stp>##V3_BDPV12</stp>
        <stp>BBG00K6FDF25 FIGI</stp>
        <stp>INDUSTRY_GROUP</stp>
        <stp>[DIF_Risk_20200430.xlsm]Geneva investment position repo!R101C40</stp>
        <tr r="AN101" s="1"/>
      </tp>
      <tp t="s">
        <v>#N/A Field Not Applicable</v>
        <stp/>
        <stp>##V3_BDPV12</stp>
        <stp>BBG00JVKTCJ1 FIGI</stp>
        <stp>GICS_SECTOR_NAME</stp>
        <stp>[DIF_Risk_20200430.xlsm]Geneva investment position repo!R110C51</stp>
        <tr r="AY110" s="1"/>
      </tp>
      <tp t="s">
        <v>FINANCIAL</v>
        <stp/>
        <stp>##V3_BDPV12</stp>
        <stp>BBG00MNS44N6 FIGI</stp>
        <stp>ISSUER_INDUSTRY</stp>
        <stp>[DIF_Risk_20200430.xlsm]Geneva investment position repo!R129C52</stp>
        <tr r="AZ129" s="1"/>
      </tp>
      <tp t="s">
        <v>CN</v>
        <stp/>
        <stp>##V3_BDPV12</stp>
        <stp>BBG00HPPFXF4 FIGI</stp>
        <stp>CNTRY_ISSUE_ISO</stp>
        <stp>[DIF_Risk_20200430.xlsm]Geneva investment position repo!R127C38</stp>
        <tr r="AL127" s="1"/>
      </tp>
      <tp t="s">
        <v>INDUSTRIAL</v>
        <stp/>
        <stp>##V3_BDPV12</stp>
        <stp>BBG00T5WB757 FIGI</stp>
        <stp>ISSUER_INDUSTRY</stp>
        <stp>[DIF_Risk_20200430.xlsm]Geneva investment position repo!R124C52</stp>
        <tr r="AZ124" s="1"/>
      </tp>
      <tp t="s">
        <v>#N/A Field Not Applicable</v>
        <stp/>
        <stp>##V3_BDPV12</stp>
        <stp>BBG00T2MWMJ1 FIGI</stp>
        <stp>BOND_CLASSIFICATION_NAME</stp>
        <stp>[DIF_Risk_20200430.xlsm]Geneva investment position repo!R128C53</stp>
        <tr r="BA128" s="1"/>
      </tp>
      <tp t="s">
        <v>#N/A Field Not Applicable</v>
        <stp/>
        <stp>##V3_BDPV12</stp>
        <stp>BBG00QV37ZP9 FIGI</stp>
        <stp>MOODY_EFF_DT</stp>
        <stp>[DIF_Risk_20200430.xlsm]Geneva investment position repo!R7C72</stp>
        <tr r="BT7" s="1"/>
      </tp>
      <tp t="s">
        <v>Industrial</v>
        <stp/>
        <stp>##V3_BDPV12</stp>
        <stp>BBG00NV899R9 FIGI</stp>
        <stp>INDUSTRY_SECTOR</stp>
        <stp>[DIF_Risk_20200430.xlsm]Geneva investment position repo!R168C39</stp>
        <tr r="AM168" s="1"/>
      </tp>
      <tp t="s">
        <v>#N/A N/A</v>
        <stp/>
        <stp>##V3_BDPV12</stp>
        <stp>BBG00L1B1VB5 FIGI</stp>
        <stp>RTG_SP</stp>
        <stp>[DIF_Risk_20200430.xlsm]Geneva investment position repo!R163C31</stp>
        <tr r="AE163" s="1"/>
      </tp>
      <tp t="s">
        <v>B-</v>
        <stp/>
        <stp>##V3_BDPV12</stp>
        <stp>BBG00RD4VH41 FIGI</stp>
        <stp>RTG_SP</stp>
        <stp>[DIF_Risk_20200430.xlsm]Geneva investment position repo!R106C31</stp>
        <tr r="AE106" s="1"/>
        <tr r="AE106" s="1"/>
      </tp>
      <tp t="s">
        <v>EU</v>
        <stp/>
        <stp>##V3_BDPV12</stp>
        <stp>EUR Curncy</stp>
        <stp>Country</stp>
        <stp>[DIF_Risk_20200430.xlsm]Geneva investment position repo!R2C38</stp>
        <tr r="AL2" s="1"/>
      </tp>
      <tp t="s">
        <v>11/26/2017</v>
        <stp/>
        <stp>##V3_BDPV12</stp>
        <stp>BBG00JCQ6Y42 FIGI</stp>
        <stp>SP_EFF_DT</stp>
        <stp>[DIF_Risk_20200430.xlsm]Geneva investment position repo!R33C71</stp>
        <tr r="BS33" s="1"/>
      </tp>
      <tp t="s">
        <v>FINANCIAL</v>
        <stp/>
        <stp>##V3_BDPV12</stp>
        <stp>BBG00KKDSP44 FIGI</stp>
        <stp>ISSUER_INDUSTRY</stp>
        <stp>[DIF_Risk_20200430.xlsm]Geneva investment position repo!R56C52</stp>
        <tr r="AZ56" s="1"/>
      </tp>
      <tp t="s">
        <v>Financial</v>
        <stp/>
        <stp>##V3_BDPV12</stp>
        <stp>BBG00KKDSP44 FIGI</stp>
        <stp>INDUSTRY_SECTOR</stp>
        <stp>[DIF_Risk_20200430.xlsm]Geneva investment position repo!R56C39</stp>
        <tr r="AM56" s="1"/>
      </tp>
      <tp t="s">
        <v>XS1891659358</v>
        <stp/>
        <stp>##V3_BDPV12</stp>
        <stp>BBG00M5BYXF5 FIGI</stp>
        <stp>ID_ISIN</stp>
        <stp>[DIF_Risk_20200430.xlsm]Geneva investment position repo!R32C63</stp>
        <tr r="BK32" s="1"/>
      </tp>
      <tp t="s">
        <v>#N/A Field Not Applicable</v>
        <stp/>
        <stp>##V3_BDPV12</stp>
        <stp>BBG00QT8QWY7 FIGI</stp>
        <stp>BOND_CLASSIFICATION_NAME</stp>
        <stp>[DIF_Risk_20200430.xlsm]Geneva investment position repo!R46C53</stp>
        <tr r="BA46" s="1"/>
      </tp>
      <tp t="s">
        <v>4/26/2020</v>
        <stp/>
        <stp>##V3_BDPV12</stp>
        <stp>BBG00THTNZZ3 FIGI</stp>
        <stp>SP_EFF_DT</stp>
        <stp>[DIF_Risk_20200430.xlsm]Geneva investment position repo!R125C71</stp>
        <tr r="BS125" s="1"/>
      </tp>
      <tp t="s">
        <v>SUNAC 8.35 04/19/23</v>
        <stp/>
        <stp>##V3_BDPV12</stp>
        <stp>BBG00KMRGS75 FIGI</stp>
        <stp>SECURITY_NAME</stp>
        <stp>[DIF_Risk_20200430.xlsm]SFC Report!R122C1</stp>
        <tr r="A122" s="6"/>
      </tp>
      <tp t="s">
        <v>SUNSHI 6.8 03/11/21</v>
        <stp/>
        <stp>##V3_BDPV12</stp>
        <stp>BBG00S6SWBM6 FIGI</stp>
        <stp>SECURITY_NAME</stp>
        <stp>[DIF_Risk_20200430.xlsm]SFC Report!R183C8</stp>
        <tr r="H183" s="6"/>
      </tp>
      <tp t="s">
        <v>7/8/2019</v>
        <stp/>
        <stp>##V3_BDPV12</stp>
        <stp>BBG00PNSNLZ7 FIGI</stp>
        <stp>SP_EFF_DT</stp>
        <stp>[DIF_Risk_20200430.xlsm]Geneva investment position repo!R161C71</stp>
        <tr r="BS161" s="1"/>
      </tp>
      <tp t="s">
        <v>XS1924328807</v>
        <stp/>
        <stp>##V3_BDPV12</stp>
        <stp>BBG00MTKPX96 FIGI</stp>
        <stp>ID_ISIN</stp>
        <stp>[DIF_Risk_20200430.xlsm]Geneva investment position repo!R57C63</stp>
        <tr r="BK57" s="1"/>
      </tp>
      <tp t="s">
        <v>E-Commerce/Products</v>
        <stp/>
        <stp>##V3_BDPV12</stp>
        <stp>BBG00LLV9WW6 FIGI</stp>
        <stp>ISSUER_INDUSTRY</stp>
        <stp>[DIF_Risk_20200430.xlsm]Geneva investment position repo!R21C52</stp>
        <tr r="AZ21" s="1"/>
      </tp>
      <tp t="s">
        <v>Communications</v>
        <stp/>
        <stp>##V3_BDPV12</stp>
        <stp>BBG00LLV9WW6 FIGI</stp>
        <stp>INDUSTRY_SECTOR</stp>
        <stp>[DIF_Risk_20200430.xlsm]Geneva investment position repo!R21C39</stp>
        <tr r="AM21" s="1"/>
      </tp>
      <tp t="s">
        <v>Oil Comp-Integrated</v>
        <stp/>
        <stp>##V3_BDPV12</stp>
        <stp>BBG00T5WB757 FIGI</stp>
        <stp>INDUSTRY_SUBGROUP</stp>
        <stp>[DIF_Risk_20200430.xlsm]Geneva investment position repo!R124C41</stp>
        <tr r="AO124" s="1"/>
      </tp>
      <tp t="s">
        <v>Oil Comp-Integrated</v>
        <stp/>
        <stp>##V3_BDPV12</stp>
        <stp>BBG00T5WB7F6 FIGI</stp>
        <stp>INDUSTRY_SUBGROUP</stp>
        <stp>[DIF_Risk_20200430.xlsm]Geneva investment position repo!R123C41</stp>
        <tr r="AO123" s="1"/>
      </tp>
      <tp t="s">
        <v>Financials</v>
        <stp/>
        <stp>##V3_BDPV12</stp>
        <stp>BBG000DVPPK1 FIGI</stp>
        <stp>GICS_SECTOR_NAME</stp>
        <stp>[DIF_Risk_20200430.xlsm]Geneva investment position repo!R10C51</stp>
        <tr r="AY10" s="1"/>
      </tp>
      <tp t="s">
        <v>Sovereign</v>
        <stp/>
        <stp>##V3_BDPV12</stp>
        <stp>BBG00T21B8F5 FIGI</stp>
        <stp>INDUSTRY_SUBGROUP</stp>
        <stp>[DIF_Risk_20200430.xlsm]Geneva investment position repo!R133C41</stp>
        <tr r="AO133" s="1"/>
      </tp>
      <tp t="s">
        <v>#N/A N/A</v>
        <stp/>
        <stp>##V3_BDPV12</stp>
        <stp>BBG00RPXTZN6 FIGI</stp>
        <stp>RTG_MOODY</stp>
        <stp>[DIF_Risk_20200430.xlsm]Geneva investment position repo!R90C32</stp>
        <tr r="AF90" s="1"/>
      </tp>
      <tp t="s">
        <v>Commer Banks Non-US</v>
        <stp/>
        <stp>##V3_BDPV12</stp>
        <stp>BBG00RPXTZN6 FIGI</stp>
        <stp>INDUSTRY_SUBGROUP</stp>
        <stp>[DIF_Risk_20200430.xlsm]Geneva investment position repo!R90C41</stp>
        <tr r="AO90" s="1"/>
      </tp>
      <tp t="s">
        <v>Utilities</v>
        <stp/>
        <stp>##V3_BDPV12</stp>
        <stp>BBG000BDW8M1 FIGI</stp>
        <stp>GICS_SECTOR_NAME</stp>
        <stp>[DIF_Risk_20200430.xlsm]Geneva investment position repo!R14C51</stp>
        <tr r="AY14" s="1"/>
      </tp>
      <tp t="s">
        <v>Real Estate Oper/Develop</v>
        <stp/>
        <stp>##V3_BDPV12</stp>
        <stp>BBG00NB0B2N4 FIGI</stp>
        <stp>INDUSTRY_SUBGROUP</stp>
        <stp>[DIF_Risk_20200430.xlsm]Geneva investment position repo!R150C41</stp>
        <tr r="AO150" s="1"/>
      </tp>
      <tp t="s">
        <v>SPECIAL PURPOSE</v>
        <stp/>
        <stp>##V3_BDPV12</stp>
        <stp>BBG00LJTWWM9 FIGI</stp>
        <stp>ISSUER_INDUSTRY</stp>
        <stp>[DIF_Risk_20200430.xlsm]Geneva investment position repo!R60C52</stp>
        <tr r="AZ60" s="1"/>
      </tp>
      <tp t="s">
        <v>Consumer, Non-cyclical</v>
        <stp/>
        <stp>##V3_BDPV12</stp>
        <stp>BBG00LJTWWM9 FIGI</stp>
        <stp>INDUSTRY_SECTOR</stp>
        <stp>[DIF_Risk_20200430.xlsm]Geneva investment position repo!R60C39</stp>
        <tr r="AM60" s="1"/>
      </tp>
      <tp t="s">
        <v>#N/A Field Not Applicable</v>
        <stp/>
        <stp>##V3_BDPV12</stp>
        <stp>BBG00RPXTZN6 FIGI</stp>
        <stp>CAPITAL_TYP_COCO_INITIAL_TRIGGER</stp>
        <stp>[DIF_Risk_20200430.xlsm]Geneva investment position repo!R90C43</stp>
        <tr r="AQ90" s="1"/>
      </tp>
      <tp t="s">
        <v>FINANCIAL</v>
        <stp/>
        <stp>##V3_BDPV12</stp>
        <stp>BBG00NGF27D6 FIGI</stp>
        <stp>ISSUER_INDUSTRY</stp>
        <stp>[DIF_Risk_20200430.xlsm]Geneva investment position repo!R114C52</stp>
        <tr r="AZ114" s="1"/>
      </tp>
      <tp t="s">
        <v>#N/A Field Not Applicable</v>
        <stp/>
        <stp>##V3_BDPV12</stp>
        <stp>BBG00NDFM319 FIGI</stp>
        <stp>BOND_CLASSIFICATION_NAME</stp>
        <stp>[DIF_Risk_20200430.xlsm]Geneva investment position repo!R140C53</stp>
        <tr r="BA140" s="1"/>
      </tp>
      <tp t="s">
        <v>FINANCIAL</v>
        <stp/>
        <stp>##V3_BDPV12</stp>
        <stp>BBG00N2KDB12 FIGI</stp>
        <stp>ISSUER_INDUSTRY</stp>
        <stp>[DIF_Risk_20200430.xlsm]Geneva investment position repo!R174C52</stp>
        <tr r="AZ174" s="1"/>
      </tp>
      <tp t="s">
        <v>Financial</v>
        <stp/>
        <stp>##V3_BDPV12</stp>
        <stp>BBG00K6FDF25 FIGI</stp>
        <stp>INDUSTRY_SECTOR</stp>
        <stp>[DIF_Risk_20200430.xlsm]Geneva investment position repo!R101C39</stp>
        <tr r="AM101" s="1"/>
      </tp>
      <tp t="s">
        <v>B+</v>
        <stp/>
        <stp>##V3_BDPV12</stp>
        <stp>BBG00N14RT60 FIGI</stp>
        <stp>RTG_SP</stp>
        <stp>[DIF_Risk_20200430.xlsm]Geneva investment position repo!R153C31</stp>
        <tr r="AE153" s="1"/>
        <tr r="AE153" s="1"/>
      </tp>
      <tp t="s">
        <v>#N/A Field Not Applicable</v>
        <stp/>
        <stp>##V3_BDPV12</stp>
        <stp>BBG00NTXM180 FIGI</stp>
        <stp>CAPITAL_TYP_COCO_INITIAL_TRIGGER</stp>
        <stp>[DIF_Risk_20200430.xlsm]Geneva investment position repo!R136C43</stp>
        <tr r="AQ136" s="1"/>
      </tp>
      <tp t="s">
        <v>Sovereign</v>
        <stp/>
        <stp>##V3_BDPV12</stp>
        <stp>BBG00THTNZZ3 FIGI</stp>
        <stp>INDUSTRY_GROUP</stp>
        <stp>[DIF_Risk_20200430.xlsm]Geneva investment position repo!R125C40</stp>
        <tr r="AN125" s="1"/>
      </tp>
      <tp t="s">
        <v>Real Estate</v>
        <stp/>
        <stp>##V3_BDPV12</stp>
        <stp>BBG00N2KDB12 FIGI</stp>
        <stp>GICS_SECTOR_NAME</stp>
        <stp>[DIF_Risk_20200430.xlsm]Geneva investment position repo!R174C51</stp>
        <tr r="AY174" s="1"/>
      </tp>
      <tp t="s">
        <v>XS2013512608</v>
        <stp/>
        <stp>##V3_BDPV12</stp>
        <stp>BBG00PF578H3 FIGI</stp>
        <stp>ID_ISIN</stp>
        <stp>[DIF_Risk_20200430.xlsm]Geneva investment position repo!R181C63</stp>
        <tr r="BK181" s="1"/>
      </tp>
      <tp t="s">
        <v>B+</v>
        <stp/>
        <stp>##V3_BDPV12</stp>
        <stp>BBG00Q2B8JR6 FIGI</stp>
        <stp>RTG_SP</stp>
        <stp>[DIF_Risk_20200430.xlsm]Geneva investment position repo!R170C31</stp>
        <tr r="AE170" s="1"/>
        <tr r="AE170" s="1"/>
      </tp>
      <tp t="s">
        <v>#N/A N/A</v>
        <stp/>
        <stp>##V3_BDPV12</stp>
        <stp>BBG00QNT5B76 FIGI</stp>
        <stp>SP_EFF_DT</stp>
        <stp>[DIF_Risk_20200430.xlsm]Geneva investment position repo!R30C71</stp>
        <tr r="BS30" s="1"/>
      </tp>
      <tp t="s">
        <v>B1</v>
        <stp/>
        <stp>##V3_BDPV12</stp>
        <stp>BBG00KMRGS75 FIGI</stp>
        <stp>RTG_MOODY</stp>
        <stp>[DIF_Risk_20200430.xlsm]Geneva investment position repo!R152C32</stp>
        <tr r="AF152" s="1"/>
        <tr r="AF152" s="1"/>
      </tp>
      <tp t="s">
        <v>SIB 5 PERP</v>
        <stp/>
        <stp>##V3_BDPV12</stp>
        <stp>BBG00PKD4F69 FIGI</stp>
        <stp>SECURITY_NAME</stp>
        <stp>[DIF_Risk_20200430.xlsm]SFC Report!R134C1</stp>
        <tr r="A134" s="6"/>
      </tp>
      <tp t="s">
        <v>#N/A N/A</v>
        <stp/>
        <stp>##V3_BDPV12</stp>
        <stp>BBG00DVX5HS1 FIGI</stp>
        <stp>RTG_FITCH</stp>
        <stp>[DIF_Risk_20200430.xlsm]Geneva investment position repo!R44C33</stp>
        <tr r="AG44" s="1"/>
      </tp>
      <tp t="s">
        <v>B2</v>
        <stp/>
        <stp>##V3_BDPV12</stp>
        <stp>BBG00NV0G541 FIGI</stp>
        <stp>RTG_MOODY</stp>
        <stp>[DIF_Risk_20200430.xlsm]Geneva investment position repo!R165C32</stp>
        <tr r="AF165" s="1"/>
        <tr r="AF165" s="1"/>
      </tp>
      <tp t="s">
        <v>XS2009869897</v>
        <stp/>
        <stp>##V3_BDPV12</stp>
        <stp>BBG00PCCVDV7 FIGI</stp>
        <stp>ID_ISIN</stp>
        <stp>[DIF_Risk_20200430.xlsm]Geneva investment position repo!R76C63</stp>
        <tr r="BK76" s="1"/>
      </tp>
      <tp t="s">
        <v>#N/A Field Not Applicable</v>
        <stp/>
        <stp>##V3_BDPV12</stp>
        <stp>BBG00RYDYKF6 FIGI</stp>
        <stp>CAPITAL_TYP_COCO_INITIAL_TRIGGER</stp>
        <stp>[DIF_Risk_20200430.xlsm]Geneva investment position repo!R89C43</stp>
        <tr r="AQ89" s="1"/>
      </tp>
      <tp t="s">
        <v>XS2008565116</v>
        <stp/>
        <stp>##V3_BDPV12</stp>
        <stp>BBG00PDL9DV1 FIGI</stp>
        <stp>ID_ISIN</stp>
        <stp>[DIF_Risk_20200430.xlsm]Geneva investment position repo!R53C63</stp>
        <tr r="BK53" s="1"/>
      </tp>
      <tp t="s">
        <v>XS2010988074</v>
        <stp/>
        <stp>##V3_BDPV12</stp>
        <stp>BBG00PDL9DC2 FIGI</stp>
        <stp>ID_ISIN</stp>
        <stp>[DIF_Risk_20200430.xlsm]Geneva investment position repo!R92C63</stp>
        <tr r="BK92" s="1"/>
      </tp>
      <tp t="s">
        <v>Baa2</v>
        <stp/>
        <stp>##V3_BDPV12</stp>
        <stp>BBG00TFTG847 FIGI</stp>
        <stp>RTG_MOODY</stp>
        <stp>[DIF_Risk_20200430.xlsm]Geneva investment position repo!R117C32</stp>
        <tr r="AF117" s="1"/>
        <tr r="AF117" s="1"/>
      </tp>
      <tp t="s">
        <v>#N/A Field Not Applicable</v>
        <stp/>
        <stp>##V3_BDPV12</stp>
        <stp>BBG00LVCGFZ3 FIGI</stp>
        <stp>BOND_CLASSIFICATION_NAME</stp>
        <stp>[DIF_Risk_20200430.xlsm]Geneva investment position repo!R77C53</stp>
        <tr r="BA77" s="1"/>
      </tp>
      <tp t="s">
        <v>#N/A Field Not Applicable</v>
        <stp/>
        <stp>##V3_BDPV12</stp>
        <stp>BBG000BJ35N5 FIGI</stp>
        <stp>BOND_CLASSIFICATION_NAME</stp>
        <stp>[DIF_Risk_20200430.xlsm]Geneva investment position repo!R25C53</stp>
        <tr r="BA25" s="1"/>
      </tp>
      <tp t="s">
        <v>#N/A Field Not Applicable</v>
        <stp/>
        <stp>##V3_BDPV12</stp>
        <stp>BBG00NDMRLH2 FIGI</stp>
        <stp>BOND_CLASSIFICATION_NAME</stp>
        <stp>[DIF_Risk_20200430.xlsm]Geneva investment position repo!R58C53</stp>
        <tr r="BA58" s="1"/>
      </tp>
      <tp t="s">
        <v>#N/A N/A</v>
        <stp/>
        <stp>##V3_BDPV12</stp>
        <stp>BBG00R9SNB81 FIGI</stp>
        <stp>SP_EFF_DT</stp>
        <stp>[DIF_Risk_20200430.xlsm]Geneva investment position repo!R64C71</stp>
        <tr r="BS64" s="1"/>
      </tp>
      <tp t="s">
        <v>#N/A Field Not Applicable</v>
        <stp/>
        <stp>##V3_BDPV12</stp>
        <stp>BBG00S9HKR72 FIGI</stp>
        <stp>GICS_SECTOR_NAME</stp>
        <stp>[DIF_Risk_20200430.xlsm]Geneva investment position repo!R36C51</stp>
        <tr r="AY36" s="1"/>
      </tp>
      <tp t="s">
        <v>2/27/2019</v>
        <stp/>
        <stp>##V3_BDPV12</stp>
        <stp>BBG00NGWHP25 FIGI</stp>
        <stp>SP_EFF_DT</stp>
        <stp>[DIF_Risk_20200430.xlsm]Geneva investment position repo!R29C71</stp>
        <tr r="BS29" s="1"/>
      </tp>
      <tp t="s">
        <v>Utilities</v>
        <stp/>
        <stp>##V3_BDPV12</stp>
        <stp>BBG000BDWNL9 FIGI</stp>
        <stp>GICS_SECTOR_NAME</stp>
        <stp>[DIF_Risk_20200430.xlsm]Geneva investment position repo!R24C51</stp>
        <tr r="AY24" s="1"/>
      </tp>
      <tp t="s">
        <v>#N/A Field Not Applicable</v>
        <stp/>
        <stp>##V3_BDPV12</stp>
        <stp>BBG00RPXTTD1 FIGI</stp>
        <stp>CAPITAL_TYP_COCO_INITIAL_TRIGGER</stp>
        <stp>[DIF_Risk_20200430.xlsm]Geneva investment position repo!R137C43</stp>
        <tr r="AQ137" s="1"/>
      </tp>
      <tp t="s">
        <v>Real Estate</v>
        <stp/>
        <stp>##V3_BDPV12</stp>
        <stp>BBG00R9LVRX4 FIGI</stp>
        <stp>GICS_SECTOR_NAME</stp>
        <stp>[DIF_Risk_20200430.xlsm]Geneva investment position repo!R172C51</stp>
        <tr r="AY172" s="1"/>
      </tp>
      <tp t="s">
        <v>FINANCIAL</v>
        <stp/>
        <stp>##V3_BDPV12</stp>
        <stp>BBG00QRVV8P5 FIGI</stp>
        <stp>ISSUER_INDUSTRY</stp>
        <stp>[DIF_Risk_20200430.xlsm]Geneva investment position repo!R131C52</stp>
        <tr r="AZ131" s="1"/>
      </tp>
      <tp t="s">
        <v>HK</v>
        <stp/>
        <stp>##V3_BDPV12</stp>
        <stp>HKD Curncy</stp>
        <stp>Country</stp>
        <stp>[DIF_Risk_20200430.xlsm]Geneva investment position repo!R3C38</stp>
        <tr r="AL3" s="1"/>
      </tp>
      <tp t="s">
        <v>XS1953029284</v>
        <stp/>
        <stp>##V3_BDPV12</stp>
        <stp>BBG00NB7HXS0 FIGI</stp>
        <stp>ID_ISIN</stp>
        <stp>[DIF_Risk_20200430.xlsm]Geneva investment position repo!R143C63</stp>
        <tr r="BK143" s="1"/>
      </tp>
      <tp t="s">
        <v>B2</v>
        <stp/>
        <stp>##V3_BDPV12</stp>
        <stp>BBG00PDYXN26 FIGI</stp>
        <stp>RTG_MOODY</stp>
        <stp>[DIF_Risk_20200430.xlsm]Geneva investment position repo!R156C32</stp>
        <tr r="AF156" s="1"/>
        <tr r="AF156" s="1"/>
      </tp>
      <tp t="s">
        <v>Financials</v>
        <stp/>
        <stp>##V3_BDPV12</stp>
        <stp>BBG00SY1QXH9 FIGI</stp>
        <stp>GICS_SECTOR_NAME</stp>
        <stp>[DIF_Risk_20200430.xlsm]Geneva investment position repo!R31C51</stp>
        <tr r="AY31" s="1"/>
      </tp>
      <tp t="s">
        <v>#N/A N/A</v>
        <stp/>
        <stp>##V3_BDPV12</stp>
        <stp>BBG00PDL9DV1 FIGI</stp>
        <stp>SP_EFF_DT</stp>
        <stp>[DIF_Risk_20200430.xlsm]Geneva investment position repo!R53C71</stp>
        <tr r="BS53" s="1"/>
      </tp>
      <tp t="s">
        <v>Utilities</v>
        <stp/>
        <stp>##V3_BDPV12</stp>
        <stp>BBG000BDV566 FIGI</stp>
        <stp>INDUSTRY_SECTOR</stp>
        <stp>[DIF_Risk_20200430.xlsm]Geneva investment position repo!R13C39</stp>
        <tr r="AM13" s="1"/>
      </tp>
      <tp t="s">
        <v>Multi-line Insurance</v>
        <stp/>
        <stp>##V3_BDPV12</stp>
        <stp>BBG000GD4N44 FIGI</stp>
        <stp>INDUSTRY_SUBGROUP</stp>
        <stp>[DIF_Risk_20200430.xlsm]Geneva investment position repo!R23C41</stp>
        <tr r="AO23" s="1"/>
      </tp>
      <tp t="s">
        <v>Electric-Integrated</v>
        <stp/>
        <stp>##V3_BDPV12</stp>
        <stp>BBG000BDV566 FIGI</stp>
        <stp>ISSUER_INDUSTRY</stp>
        <stp>[DIF_Risk_20200430.xlsm]Geneva investment position repo!R13C52</stp>
        <tr r="AZ13" s="1"/>
      </tp>
      <tp t="s">
        <v>AIA Group Ltd</v>
        <stp/>
        <stp>##V3_BDPV12</stp>
        <stp>BBG0016XR1Q8 FIGI</stp>
        <stp>SECURITY_NAME</stp>
        <stp>[DIF_Risk_20200430.xlsm]SFC Report!R181C1</stp>
        <tr r="A181" s="6"/>
      </tp>
      <tp t="s">
        <v>B2</v>
        <stp/>
        <stp>##V3_BDPV12</stp>
        <stp>BBG00NHNXCH9 FIGI</stp>
        <stp>RTG_MOODY</stp>
        <stp>[DIF_Risk_20200430.xlsm]Geneva investment position repo!R179C32</stp>
        <tr r="AF179" s="1"/>
        <tr r="AF179" s="1"/>
      </tp>
      <tp t="s">
        <v>BOND</v>
        <stp/>
        <stp>##V3_BDPV12</stp>
        <stp>BBG00K7D75S0 FIGI</stp>
        <stp>MIFID_ASSET_CLASS</stp>
        <stp>[DIF_Risk_20200430.xlsm]Geneva investment position repo!R75C19</stp>
        <tr r="S75" s="1"/>
      </tp>
      <tp t="s">
        <v>#N/A Field Not Applicable</v>
        <stp/>
        <stp>##V3_BDPV12</stp>
        <stp>BBG00PV1L0V9 FIGI</stp>
        <stp>CAPITAL_TYP_COCO_INITIAL_TRIGGER</stp>
        <stp>[DIF_Risk_20200430.xlsm]Geneva investment position repo!R86C43</stp>
        <tr r="AQ86" s="1"/>
      </tp>
      <tp t="s">
        <v>BOND</v>
        <stp/>
        <stp>##V3_BDPV12</stp>
        <stp>BBG00T21B8F5 FIGI</stp>
        <stp>MIFID_ASSET_CLASS</stp>
        <stp>[DIF_Risk_20200430.xlsm]Geneva investment position repo!R133C19</stp>
        <tr r="S133" s="1"/>
      </tp>
      <tp t="s">
        <v>#N/A Field Not Applicable</v>
        <stp/>
        <stp>##V3_BDPV12</stp>
        <stp>BBG00LLFHRL5 FIGI</stp>
        <stp>CAPITAL_TYP_COCO_INITIAL_TRIGGER</stp>
        <stp>[DIF_Risk_20200430.xlsm]Geneva investment position repo!R61C43</stp>
        <tr r="AQ61" s="1"/>
      </tp>
      <tp t="s">
        <v>#N/A Field Not Applicable</v>
        <stp/>
        <stp>##V3_BDPV12</stp>
        <stp>BBG000BDWNL9 FIGI</stp>
        <stp>SP_EFF_DT</stp>
        <stp>[DIF_Risk_20200430.xlsm]Geneva investment position repo!R24C71</stp>
        <tr r="BS24" s="1"/>
      </tp>
      <tp t="s">
        <v>#N/A N/A</v>
        <stp/>
        <stp>##V3_BDPV12</stp>
        <stp>BBG00MTKPX96 FIGI</stp>
        <stp>SP_EFF_DT</stp>
        <stp>[DIF_Risk_20200430.xlsm]Geneva investment position repo!R57C71</stp>
        <tr r="BS57" s="1"/>
      </tp>
      <tp t="s">
        <v>US00131MAJ27</v>
        <stp/>
        <stp>##V3_BDPV12</stp>
        <stp>BBG00SY1QXH9 FIGI</stp>
        <stp>ID_ISIN</stp>
        <stp>[DIF_Risk_20200430.xlsm]Geneva investment position repo!R31C63</stp>
        <tr r="BK31" s="1"/>
      </tp>
      <tp t="s">
        <v>B1</v>
        <stp/>
        <stp>##V3_BDPV12</stp>
        <stp>BBG00HDTX5P9 FIGI</stp>
        <stp>RTG_MOODY</stp>
        <stp>[DIF_Risk_20200430.xlsm]Geneva investment position repo!R111C32</stp>
        <tr r="AF111" s="1"/>
        <tr r="AF111" s="1"/>
      </tp>
      <tp t="s">
        <v>Real Estate Oper/Develop</v>
        <stp/>
        <stp>##V3_BDPV12</stp>
        <stp>BBG00KKDSP44 FIGI</stp>
        <stp>INDUSTRY_SUBGROUP</stp>
        <stp>[DIF_Risk_20200430.xlsm]Geneva investment position repo!R56C41</stp>
        <tr r="AO56" s="1"/>
      </tp>
      <tp t="s">
        <v>B1</v>
        <stp/>
        <stp>##V3_BDPV12</stp>
        <stp>BBG00KKDSP44 FIGI</stp>
        <stp>RTG_MOODY</stp>
        <stp>[DIF_Risk_20200430.xlsm]Geneva investment position repo!R56C32</stp>
        <tr r="AF56" s="1"/>
        <tr r="AF56" s="1"/>
      </tp>
      <tp t="s">
        <v>A-</v>
        <stp/>
        <stp>##V3_BDPV12</stp>
        <stp>BBG00RYGHZS1 FIGI</stp>
        <stp>RTG_FITCH</stp>
        <stp>[DIF_Risk_20200430.xlsm]Geneva investment position repo!R51C33</stp>
        <tr r="AG51" s="1"/>
        <tr r="AG51" s="1"/>
      </tp>
      <tp t="s">
        <v>Real Estate Oper/Develop</v>
        <stp/>
        <stp>##V3_BDPV12</stp>
        <stp>BBG00RYDWX24 FIGI</stp>
        <stp>INDUSTRY_SUBGROUP</stp>
        <stp>[DIF_Risk_20200430.xlsm]Geneva investment position repo!R85C41</stp>
        <tr r="AO85" s="1"/>
      </tp>
      <tp t="s">
        <v>BOND</v>
        <stp/>
        <stp>##V3_BDPV12</stp>
        <stp>BBG00TDCM8F7 FIGI</stp>
        <stp>MIFID_ASSET_CLASS</stp>
        <stp>[DIF_Risk_20200430.xlsm]Geneva investment position repo!R38C19</stp>
        <tr r="S38" s="1"/>
      </tp>
      <tp t="s">
        <v>#N/A Field Not Applicable</v>
        <stp/>
        <stp>##V3_BDPV12</stp>
        <stp>BBG000PXTGY5 FIGI</stp>
        <stp>CAPITAL_TYP_COCO_INITIAL_TRIGGER</stp>
        <stp>[DIF_Risk_20200430.xlsm]Geneva investment position repo!R9C43</stp>
        <tr r="AQ9" s="1"/>
      </tp>
      <tp t="s">
        <v>BOND</v>
        <stp/>
        <stp>##V3_BDPV12</stp>
        <stp>BBG00T5WB757 FIGI</stp>
        <stp>MIFID_ASSET_CLASS</stp>
        <stp>[DIF_Risk_20200430.xlsm]Geneva investment position repo!R124C19</stp>
        <tr r="S124" s="1"/>
      </tp>
      <tp t="s">
        <v>BOND</v>
        <stp/>
        <stp>##V3_BDPV12</stp>
        <stp>BBG00T5WB7F6 FIGI</stp>
        <stp>MIFID_ASSET_CLASS</stp>
        <stp>[DIF_Risk_20200430.xlsm]Geneva investment position repo!R123C19</stp>
        <tr r="S123" s="1"/>
      </tp>
      <tp t="s">
        <v>#N/A N/A</v>
        <stp/>
        <stp>##V3_BDPV12</stp>
        <stp>BBG00RYDWX24 FIGI</stp>
        <stp>RTG_MOODY</stp>
        <stp>[DIF_Risk_20200430.xlsm]Geneva investment position repo!R85C32</stp>
        <tr r="AF85" s="1"/>
      </tp>
      <tp t="s">
        <v>BOND</v>
        <stp/>
        <stp>##V3_BDPV12</stp>
        <stp>BBG00NB0B2N4 FIGI</stp>
        <stp>MIFID_ASSET_CLASS</stp>
        <stp>[DIF_Risk_20200430.xlsm]Geneva investment position repo!R150C19</stp>
        <tr r="S150" s="1"/>
      </tp>
      <tp t="s">
        <v>Commer Banks Non-US</v>
        <stp/>
        <stp>##V3_BDPV12</stp>
        <stp>BBG00RDBJ3B2 FIGI</stp>
        <stp>INDUSTRY_SUBGROUP</stp>
        <stp>[DIF_Risk_20200430.xlsm]Geneva investment position repo!R34C41</stp>
        <tr r="AO34" s="1"/>
      </tp>
      <tp t="s">
        <v>Ba3</v>
        <stp/>
        <stp>##V3_BDPV12</stp>
        <stp>BBG00RDBJ3B2 FIGI</stp>
        <stp>RTG_MOODY</stp>
        <stp>[DIF_Risk_20200430.xlsm]Geneva investment position repo!R34C32</stp>
        <tr r="AF34" s="1"/>
        <tr r="AF34" s="1"/>
      </tp>
      <tp t="s">
        <v>Chengtou Bond</v>
        <stp/>
        <stp>##V3_BDPV12</stp>
        <stp>BBG00NBG3YQ5 FIGI</stp>
        <stp>BOND_CLASSIFICATION_NAME</stp>
        <stp>[DIF_Risk_20200430.xlsm]Geneva investment position repo!R91C53</stp>
        <tr r="BA91" s="1"/>
      </tp>
      <tp t="s">
        <v>#N/A Field Not Applicable</v>
        <stp/>
        <stp>##V3_BDPV12</stp>
        <stp>BBG00RYF5CJ7 FIGI</stp>
        <stp>BOND_CLASSIFICATION_NAME</stp>
        <stp>[DIF_Risk_20200430.xlsm]Geneva investment position repo!R35C53</stp>
        <tr r="BA35" s="1"/>
      </tp>
      <tp t="s">
        <v>BOND</v>
        <stp/>
        <stp>##V3_BDPV12</stp>
        <stp>BBG00PCCVDV7 FIGI</stp>
        <stp>MIFID_ASSET_CLASS</stp>
        <stp>[DIF_Risk_20200430.xlsm]Geneva investment position repo!R76C19</stp>
        <tr r="S76" s="1"/>
      </tp>
      <tp t="s">
        <v>Communications</v>
        <stp/>
        <stp>##V3_BDPV12</stp>
        <stp>BBG000BJ35N5 FIGI</stp>
        <stp>INDUSTRY_SECTOR</stp>
        <stp>[DIF_Risk_20200430.xlsm]Geneva investment position repo!R25C39</stp>
        <tr r="AM25" s="1"/>
      </tp>
      <tp t="s">
        <v>Internet Content-Info/Ne</v>
        <stp/>
        <stp>##V3_BDPV12</stp>
        <stp>BBG000BJ35N5 FIGI</stp>
        <stp>ISSUER_INDUSTRY</stp>
        <stp>[DIF_Risk_20200430.xlsm]Geneva investment position repo!R25C52</stp>
        <tr r="AZ25" s="1"/>
      </tp>
      <tp t="s">
        <v>Real Estate Oper/Develop</v>
        <stp/>
        <stp>##V3_BDPV12</stp>
        <stp>BBG00LVCGFZ3 FIGI</stp>
        <stp>INDUSTRY_SUBGROUP</stp>
        <stp>[DIF_Risk_20200430.xlsm]Geneva investment position repo!R77C41</stp>
        <tr r="AO77" s="1"/>
      </tp>
      <tp t="s">
        <v>#N/A Field Not Applicable</v>
        <stp/>
        <stp>##V3_BDPV12</stp>
        <stp>BBG00PSJD0B5 FIGI</stp>
        <stp>GICS_SECTOR_NAME</stp>
        <stp>[DIF_Risk_20200430.xlsm]Geneva investment position repo!R81C51</stp>
        <tr r="AY81" s="1"/>
      </tp>
      <tp t="s">
        <v>Ba3</v>
        <stp/>
        <stp>##V3_BDPV12</stp>
        <stp>BBG00LVCGFZ3 FIGI</stp>
        <stp>RTG_MOODY</stp>
        <stp>[DIF_Risk_20200430.xlsm]Geneva investment position repo!R77C32</stp>
        <tr r="AF77" s="1"/>
        <tr r="AF77" s="1"/>
      </tp>
      <tp t="s">
        <v>#N/A Field Not Applicable</v>
        <stp/>
        <stp>##V3_BDPV12</stp>
        <stp>BBG00NWVJPB7 FIGI</stp>
        <stp>BOND_CLASSIFICATION_NAME</stp>
        <stp>[DIF_Risk_20200430.xlsm]Geneva investment position repo!R141C53</stp>
        <tr r="BA141" s="1"/>
      </tp>
      <tp t="s">
        <v>SPECIAL PURPOSE</v>
        <stp/>
        <stp>##V3_BDPV12</stp>
        <stp>BBG00GDDS1Y1 FIGI</stp>
        <stp>ISSUER_INDUSTRY</stp>
        <stp>[DIF_Risk_20200430.xlsm]Geneva investment position repo!R109C52</stp>
        <tr r="AZ109" s="1"/>
      </tp>
      <tp t="s">
        <v>BANK</v>
        <stp/>
        <stp>##V3_BDPV12</stp>
        <stp>BBG00GSCY4N6 FIGI</stp>
        <stp>ISSUER_INDUSTRY</stp>
        <stp>[DIF_Risk_20200430.xlsm]Geneva investment position repo!R116C52</stp>
        <tr r="AZ116" s="1"/>
      </tp>
      <tp t="s">
        <v>#N/A Field Not Applicable</v>
        <stp/>
        <stp>##V3_BDPV12</stp>
        <stp>BBG00T5WB7F6 FIGI</stp>
        <stp>BOND_CLASSIFICATION_NAME</stp>
        <stp>[DIF_Risk_20200430.xlsm]Geneva investment position repo!R123C53</stp>
        <tr r="BA123" s="1"/>
      </tp>
      <tp t="s">
        <v>Financial</v>
        <stp/>
        <stp>##V3_BDPV12</stp>
        <stp>BBG00MNWHQT8 FIGI</stp>
        <stp>INDUSTRY_SECTOR</stp>
        <stp>[DIF_Risk_20200430.xlsm]Geneva investment position repo!R135C39</stp>
        <tr r="AM135" s="1"/>
      </tp>
      <tp t="s">
        <v>#N/A Field Not Applicable</v>
        <stp/>
        <stp>##V3_BDPV12</stp>
        <stp>BBG00THTNZZ3 FIGI</stp>
        <stp>GICS_SECTOR_NAME</stp>
        <stp>[DIF_Risk_20200430.xlsm]Geneva investment position repo!R125C51</stp>
        <tr r="AY125" s="1"/>
      </tp>
      <tp t="s">
        <v>Real Estate</v>
        <stp/>
        <stp>##V3_BDPV12</stp>
        <stp>BBG00KMRGS75 FIGI</stp>
        <stp>GICS_SECTOR_NAME</stp>
        <stp>[DIF_Risk_20200430.xlsm]Geneva investment position repo!R152C51</stp>
        <tr r="AY152" s="1"/>
      </tp>
      <tp t="s">
        <v>#N/A Field Not Applicable</v>
        <stp/>
        <stp>##V3_BDPV12</stp>
        <stp>BBG00B6SDBV4 FIGI</stp>
        <stp>GICS_SECTOR_NAME</stp>
        <stp>[DIF_Risk_20200430.xlsm]Geneva investment position repo!R115C51</stp>
        <tr r="AY115" s="1"/>
      </tp>
      <tp t="s">
        <v>Banks</v>
        <stp/>
        <stp>##V3_BDPV12</stp>
        <stp>BBG00HPPFXF4 FIGI</stp>
        <stp>INDUSTRY_GROUP</stp>
        <stp>[DIF_Risk_20200430.xlsm]Geneva investment position repo!R127C40</stp>
        <tr r="AN127" s="1"/>
      </tp>
      <tp t="s">
        <v>#N/A Field Not Applicable</v>
        <stp/>
        <stp>##V3_BDPV12</stp>
        <stp>BBG00MTS9QX5 FIGI</stp>
        <stp>GICS_SECTOR_NAME</stp>
        <stp>[DIF_Risk_20200430.xlsm]Geneva investment position repo!R157C51</stp>
        <tr r="AY157" s="1"/>
      </tp>
      <tp t="s">
        <v>#N/A Field Not Applicable</v>
        <stp/>
        <stp>##V3_BDPV12</stp>
        <stp>BBG00L1B1VB5 FIGI</stp>
        <stp>CAPITAL_TYP_COCO_INITIAL_TRIGGER</stp>
        <stp>[DIF_Risk_20200430.xlsm]Geneva investment position repo!R163C43</stp>
        <tr r="AQ163" s="1"/>
      </tp>
      <tp t="s">
        <v>#N/A N/A</v>
        <stp/>
        <stp>##V3_BDPV12</stp>
        <stp>BBG00KNCMN62 FIGI</stp>
        <stp>RTG_SP</stp>
        <stp>[DIF_Risk_20200430.xlsm]Geneva investment position repo!R102C31</stp>
        <tr r="AE102" s="1"/>
      </tp>
      <tp t="s">
        <v>Real Estate</v>
        <stp/>
        <stp>##V3_BDPV12</stp>
        <stp>BBG00HVHMY65 FIGI</stp>
        <stp>INDUSTRY_GROUP</stp>
        <stp>[DIF_Risk_20200430.xlsm]Geneva investment position repo!R119C40</stp>
        <tr r="AN119" s="1"/>
      </tp>
      <tp t="s">
        <v>B</v>
        <stp/>
        <stp>##V3_BDPV12</stp>
        <stp>BBG00H4BZMF0 FIGI</stp>
        <stp>RTG_SP</stp>
        <stp>[DIF_Risk_20200430.xlsm]Geneva investment position repo!R130C31</stp>
        <tr r="AE130" s="1"/>
        <tr r="AE130" s="1"/>
      </tp>
      <tp t="s">
        <v>Real Estate</v>
        <stp/>
        <stp>##V3_BDPV12</stp>
        <stp>BBG00S6SWBM6 FIGI</stp>
        <stp>INDUSTRY_GROUP</stp>
        <stp>[DIF_Risk_20200430.xlsm]Geneva investment position repo!R158C40</stp>
        <tr r="AN158" s="1"/>
      </tp>
      <tp t="s">
        <v>Food</v>
        <stp/>
        <stp>##V3_BDPV12</stp>
        <stp>BBG000PXTGY5 FIGI</stp>
        <stp>INDUSTRY_GROUP</stp>
        <stp>[DIF_Risk_20200430.xlsm]Geneva investment position repo!R9C40</stp>
        <tr r="AN9" s="1"/>
      </tp>
      <tp t="s">
        <v>HK</v>
        <stp/>
        <stp>##V3_BDPV12</stp>
        <stp>BBG000PXTGY5 FIGI</stp>
        <stp>CNTRY_ISSUE_ISO</stp>
        <stp>[DIF_Risk_20200430.xlsm]Geneva investment position repo!R9C38</stp>
        <tr r="AL9" s="1"/>
      </tp>
      <tp t="s">
        <v>INDUSTRIAL</v>
        <stp/>
        <stp>##V3_BDPV12</stp>
        <stp>BBG00RCY5V08 FIGI</stp>
        <stp>ISSUER_INDUSTRY</stp>
        <stp>[DIF_Risk_20200430.xlsm]Geneva investment position repo!R39C52</stp>
        <tr r="AZ39" s="1"/>
      </tp>
      <tp t="s">
        <v>Energy</v>
        <stp/>
        <stp>##V3_BDPV12</stp>
        <stp>BBG00RCY5V08 FIGI</stp>
        <stp>INDUSTRY_SECTOR</stp>
        <stp>[DIF_Risk_20200430.xlsm]Geneva investment position repo!R39C39</stp>
        <tr r="AM39" s="1"/>
      </tp>
      <tp t="s">
        <v>Ba1</v>
        <stp/>
        <stp>##V3_BDPV12</stp>
        <stp>BBG00RYF5CJ7 FIGI</stp>
        <stp>RTG_MOODY</stp>
        <stp>[DIF_Risk_20200430.xlsm]Geneva investment position repo!R35C32</stp>
        <tr r="AF35" s="1"/>
        <tr r="AF35" s="1"/>
      </tp>
      <tp t="s">
        <v>Commer Banks Non-US</v>
        <stp/>
        <stp>##V3_BDPV12</stp>
        <stp>BBG00RYF5CJ7 FIGI</stp>
        <stp>INDUSTRY_SUBGROUP</stp>
        <stp>[DIF_Risk_20200430.xlsm]Geneva investment position repo!R35C41</stp>
        <tr r="AO35" s="1"/>
      </tp>
      <tp t="s">
        <v>BOND</v>
        <stp/>
        <stp>##V3_BDPV12</stp>
        <stp>BBG00N6M20C8 FIGI</stp>
        <stp>MIFID_ASSET_CLASS</stp>
        <stp>[DIF_Risk_20200430.xlsm]Geneva investment position repo!R79C19</stp>
        <tr r="S79" s="1"/>
      </tp>
      <tp t="s">
        <v>#N/A Field Not Applicable</v>
        <stp/>
        <stp>##V3_BDPV12</stp>
        <stp>BBG00GQ752P3 FIGI</stp>
        <stp>CAPITAL_TYP_COCO_INITIAL_TRIGGER</stp>
        <stp>[DIF_Risk_20200430.xlsm]Geneva investment position repo!R99C43</stp>
        <tr r="AQ99" s="1"/>
      </tp>
      <tp t="s">
        <v>Ba2</v>
        <stp/>
        <stp>##V3_BDPV12</stp>
        <stp>BBG00D2WYB33 FIGI</stp>
        <stp>RTG_MOODY</stp>
        <stp>[DIF_Risk_20200430.xlsm]Geneva investment position repo!R126C32</stp>
        <tr r="AF126" s="1"/>
        <tr r="AF126" s="1"/>
      </tp>
      <tp t="s">
        <v>XS2125118971</v>
        <stp/>
        <stp>##V3_BDPV12</stp>
        <stp>BBG00RYDWX24 FIGI</stp>
        <stp>ID_ISIN</stp>
        <stp>[DIF_Risk_20200430.xlsm]Geneva investment position repo!R85C63</stp>
        <tr r="BK85" s="1"/>
      </tp>
      <tp t="s">
        <v>BB</v>
        <stp/>
        <stp>##V3_BDPV12</stp>
        <stp>BBG00NB0B2N4 FIGI</stp>
        <stp>RTG_FITCH</stp>
        <stp>[DIF_Risk_20200430.xlsm]Geneva investment position repo!R150C33</stp>
        <tr r="AG150" s="1"/>
        <tr r="AG150" s="1"/>
      </tp>
      <tp t="s">
        <v>#N/A Field Not Applicable</v>
        <stp/>
        <stp>##V3_BDPV12</stp>
        <stp>BBG00KVGG4W4 FIGI</stp>
        <stp>CAPITAL_TYP_COCO_INITIAL_TRIGGER</stp>
        <stp>[DIF_Risk_20200430.xlsm]Geneva investment position repo!R83C43</stp>
        <tr r="AQ83" s="1"/>
      </tp>
      <tp t="s">
        <v>#N/A Field Not Applicable</v>
        <stp/>
        <stp>##V3_BDPV12</stp>
        <stp>BBG005BTJ9P5 FIGI</stp>
        <stp>BOND_CLASSIFICATION_NAME</stp>
        <stp>[DIF_Risk_20200430.xlsm]Geneva investment position repo!R65C53</stp>
        <tr r="BA65" s="1"/>
      </tp>
      <tp t="s">
        <v>Ba2</v>
        <stp/>
        <stp>##V3_BDPV12</stp>
        <stp>BBG00GSCY4N6 FIGI</stp>
        <stp>RTG_MOODY</stp>
        <stp>[DIF_Risk_20200430.xlsm]Geneva investment position repo!R116C32</stp>
        <tr r="AF116" s="1"/>
        <tr r="AF116" s="1"/>
      </tp>
      <tp t="s">
        <v>KYG040111059</v>
        <stp/>
        <stp>##V3_BDPV12</stp>
        <stp>BBG000QWR4M8 FIGI</stp>
        <stp>ID_ISIN</stp>
        <stp>[DIF_Risk_20200430.xlsm]Geneva investment position repo!R8C63</stp>
        <tr r="BK8" s="1"/>
      </tp>
      <tp t="s">
        <v>HK0000069689</v>
        <stp/>
        <stp>##V3_BDPV12</stp>
        <stp>BBG0016XR1Q8 FIGI</stp>
        <stp>ID_ISIN</stp>
        <stp>[DIF_Risk_20200430.xlsm]Geneva investment position repo!R6C63</stp>
        <tr r="BK6" s="1"/>
      </tp>
      <tp t="s">
        <v>#N/A Field Not Applicable</v>
        <stp/>
        <stp>##V3_BDPV12</stp>
        <stp>BBG00T6LYC72 FIGI</stp>
        <stp>CAPITAL_TYP_COCO_INITIAL_TRIGGER</stp>
        <stp>[DIF_Risk_20200430.xlsm]Geneva investment position repo!R95C43</stp>
        <tr r="AQ95" s="1"/>
      </tp>
      <tp t="s">
        <v>AA-</v>
        <stp/>
        <stp>##V3_BDPV12</stp>
        <stp>BBG00T21B8F5 FIGI</stp>
        <stp>RTG_FITCH</stp>
        <stp>[DIF_Risk_20200430.xlsm]Geneva investment position repo!R133C33</stp>
        <tr r="AG133" s="1"/>
        <tr r="AG133" s="1"/>
      </tp>
      <tp t="s">
        <v>#N/A Field Not Applicable</v>
        <stp/>
        <stp>##V3_BDPV12</stp>
        <stp>BBG00R9SNB81 FIGI</stp>
        <stp>CAPITAL_TYP_COCO_INITIAL_TRIGGER</stp>
        <stp>[DIF_Risk_20200430.xlsm]Geneva investment position repo!R64C43</stp>
        <tr r="AQ64" s="1"/>
      </tp>
      <tp t="s">
        <v>2/11/2020</v>
        <stp/>
        <stp>##V3_BDPV12</stp>
        <stp>BBG00RPJBQ56 FIGI</stp>
        <stp>SP_EFF_DT</stp>
        <stp>[DIF_Risk_20200430.xlsm]Geneva investment position repo!R27C71</stp>
        <tr r="BS27" s="1"/>
      </tp>
      <tp t="s">
        <v>EQUI</v>
        <stp/>
        <stp>##V3_BDPV12</stp>
        <stp>BBG000BDW8M1 FIGI</stp>
        <stp>MIFID_ASSET_CLASS</stp>
        <stp>[DIF_Risk_20200430.xlsm]Geneva investment position repo!R14C19</stp>
        <tr r="S14" s="1"/>
      </tp>
      <tp t="s">
        <v>XS1820761556</v>
        <stp/>
        <stp>##V3_BDPV12</stp>
        <stp>BBG00LVCGFZ3 FIGI</stp>
        <stp>ID_ISIN</stp>
        <stp>[DIF_Risk_20200430.xlsm]Geneva investment position repo!R77C63</stp>
        <tr r="BK77" s="1"/>
      </tp>
      <tp t="s">
        <v>#N/A Field Not Applicable</v>
        <stp/>
        <stp>##V3_BDPV12</stp>
        <stp>BBG00PDL9DV1 FIGI</stp>
        <stp>BOND_CLASSIFICATION_NAME</stp>
        <stp>[DIF_Risk_20200430.xlsm]Geneva investment position repo!R53C53</stp>
        <tr r="BA53" s="1"/>
      </tp>
      <tp t="s">
        <v>#N/A N/A</v>
        <stp/>
        <stp>##V3_BDPV12</stp>
        <stp>BBG00H5KNJZ7 FIGI</stp>
        <stp>SP_EFF_DT</stp>
        <stp>[DIF_Risk_20200430.xlsm]Geneva investment position repo!R80C71</stp>
        <tr r="BS80" s="1"/>
      </tp>
      <tp t="s">
        <v>A-</v>
        <stp/>
        <stp>##V3_BDPV12</stp>
        <stp>BBG00M5BYXF5 FIGI</stp>
        <stp>RTG_FITCH</stp>
        <stp>[DIF_Risk_20200430.xlsm]Geneva investment position repo!R32C33</stp>
        <tr r="AG32" s="1"/>
        <tr r="AG32" s="1"/>
      </tp>
      <tp t="s">
        <v>BBB+ *-</v>
        <stp/>
        <stp>##V3_BDPV12</stp>
        <stp>BBG00RTNXBH9 FIGI</stp>
        <stp>RTG_FITCH</stp>
        <stp>[DIF_Risk_20200430.xlsm]Geneva investment position repo!R69C33</stp>
        <tr r="AG69" s="1"/>
        <tr r="AG69" s="1"/>
      </tp>
      <tp t="s">
        <v>#N/A Field Not Applicable</v>
        <stp/>
        <stp>##V3_BDPV12</stp>
        <stp>BBG00RPNYQB5 FIGI</stp>
        <stp>BOND_CLASSIFICATION_NAME</stp>
        <stp>[DIF_Risk_20200430.xlsm]Geneva investment position repo!R47C53</stp>
        <tr r="BA47" s="1"/>
      </tp>
      <tp t="s">
        <v>Real Estate</v>
        <stp/>
        <stp>##V3_BDPV12</stp>
        <stp>BBG00MSJ57C5 FIGI</stp>
        <stp>GICS_SECTOR_NAME</stp>
        <stp>[DIF_Risk_20200430.xlsm]Geneva investment position repo!R74C51</stp>
        <tr r="AY74" s="1"/>
      </tp>
      <tp t="s">
        <v>#N/A N/A</v>
        <stp/>
        <stp>##V3_BDPV12</stp>
        <stp>BBG00T5WB757 FIGI</stp>
        <stp>RTG_FITCH</stp>
        <stp>[DIF_Risk_20200430.xlsm]Geneva investment position repo!R124C33</stp>
        <tr r="AG124" s="1"/>
      </tp>
      <tp t="s">
        <v>#N/A N/A</v>
        <stp/>
        <stp>##V3_BDPV12</stp>
        <stp>BBG00T5WB7F6 FIGI</stp>
        <stp>RTG_FITCH</stp>
        <stp>[DIF_Risk_20200430.xlsm]Geneva investment position repo!R123C33</stp>
        <tr r="AG123" s="1"/>
      </tp>
      <tp t="s">
        <v>#N/A Field Not Applicable</v>
        <stp/>
        <stp>##V3_BDPV12</stp>
        <stp>BBG00T5WB757 FIGI</stp>
        <stp>BOND_CLASSIFICATION_NAME</stp>
        <stp>[DIF_Risk_20200430.xlsm]Geneva investment position repo!R124C53</stp>
        <tr r="BA124" s="1"/>
      </tp>
      <tp t="s">
        <v>#N/A Field Not Applicable</v>
        <stp/>
        <stp>##V3_BDPV12</stp>
        <stp>BBG00NHNXCH9 FIGI</stp>
        <stp>CAPITAL_TYP_COCO_INITIAL_TRIGGER</stp>
        <stp>[DIF_Risk_20200430.xlsm]Geneva investment position repo!R179C43</stp>
        <tr r="AQ179" s="1"/>
      </tp>
      <tp t="s">
        <v>INDUSTRIAL</v>
        <stp/>
        <stp>##V3_BDPV12</stp>
        <stp>BBG00JVKTCJ1 FIGI</stp>
        <stp>ISSUER_INDUSTRY</stp>
        <stp>[DIF_Risk_20200430.xlsm]Geneva investment position repo!R110C52</stp>
        <tr r="AZ110" s="1"/>
      </tp>
      <tp t="s">
        <v>#N/A Field Not Applicable</v>
        <stp/>
        <stp>##V3_BDPV12</stp>
        <stp>BBG00SXGDG60 FIGI</stp>
        <stp>CAPITAL_TYP_COCO_INITIAL_TRIGGER</stp>
        <stp>[DIF_Risk_20200430.xlsm]Geneva investment position repo!R120C43</stp>
        <tr r="AQ120" s="1"/>
      </tp>
      <tp t="s">
        <v>#N/A Field Not Applicable</v>
        <stp/>
        <stp>##V3_BDPV12</stp>
        <stp>BBG00LJTVJR4 FIGI</stp>
        <stp>BOND_CLASSIFICATION_NAME</stp>
        <stp>[DIF_Risk_20200430.xlsm]Geneva investment position repo!R154C53</stp>
        <tr r="BA154" s="1"/>
      </tp>
      <tp t="s">
        <v>#N/A Field Not Applicable</v>
        <stp/>
        <stp>##V3_BDPV12</stp>
        <stp>BBG00RPXWXD8 FIGI</stp>
        <stp>BOND_CLASSIFICATION_NAME</stp>
        <stp>[DIF_Risk_20200430.xlsm]Geneva investment position repo!R173C53</stp>
        <tr r="BA173" s="1"/>
      </tp>
      <tp t="s">
        <v>#N/A Field Not Applicable</v>
        <stp/>
        <stp>##V3_BDPV12</stp>
        <stp>BBG00NQF0SC2 FIGI</stp>
        <stp>CAPITAL_TYP_COCO_INITIAL_TRIGGER</stp>
        <stp>[DIF_Risk_20200430.xlsm]Geneva investment position repo!R160C43</stp>
        <tr r="AQ160" s="1"/>
      </tp>
      <tp t="s">
        <v>Government</v>
        <stp/>
        <stp>##V3_BDPV12</stp>
        <stp>BBG00PK1ZYS6 FIGI</stp>
        <stp>INDUSTRY_SECTOR</stp>
        <stp>[DIF_Risk_20200430.xlsm]Geneva investment position repo!R146C39</stp>
        <tr r="AM146" s="1"/>
      </tp>
      <tp t="s">
        <v>BBB+</v>
        <stp/>
        <stp>##V3_BDPV12</stp>
        <stp>BBG00NL43H88 FIGI</stp>
        <stp>RTG_SP</stp>
        <stp>[DIF_Risk_20200430.xlsm]Geneva investment position repo!R121C31</stp>
        <tr r="AE121" s="1"/>
        <tr r="AE121" s="1"/>
      </tp>
      <tp t="s">
        <v>#N/A Field Not Applicable</v>
        <stp/>
        <stp>##V3_BDPV12</stp>
        <stp>BBG00Q2B8JR6 FIGI</stp>
        <stp>CAPITAL_TYP_COCO_INITIAL_TRIGGER</stp>
        <stp>[DIF_Risk_20200430.xlsm]Geneva investment position repo!R170C43</stp>
        <tr r="AQ170" s="1"/>
      </tp>
      <tp t="s">
        <v>#N/A Field Not Applicable</v>
        <stp/>
        <stp>##V3_BDPV12</stp>
        <stp>BBG00MNS44N6 FIGI</stp>
        <stp>GICS_SECTOR_NAME</stp>
        <stp>[DIF_Risk_20200430.xlsm]Geneva investment position repo!R129C51</stp>
        <tr r="AY129" s="1"/>
      </tp>
      <tp t="s">
        <v>#N/A N/A</v>
        <stp/>
        <stp>##V3_BDPV12</stp>
        <stp>BBG00MSJ57C5 FIGI</stp>
        <stp>SP_EFF_DT</stp>
        <stp>[DIF_Risk_20200430.xlsm]Geneva investment position repo!R74C71</stp>
        <tr r="BS74" s="1"/>
      </tp>
      <tp t="s">
        <v>#N/A Field Not Applicable</v>
        <stp/>
        <stp>##V3_BDPV12</stp>
        <stp>BBG000BJ35N5 FIGI</stp>
        <stp>SP_EFF_DT</stp>
        <stp>[DIF_Risk_20200430.xlsm]Geneva investment position repo!R25C71</stp>
        <tr r="BS25" s="1"/>
      </tp>
      <tp t="s">
        <v>Metal Products-Distrib</v>
        <stp/>
        <stp>##V3_BDPV12</stp>
        <stp>BBG00NBG3YQ5 FIGI</stp>
        <stp>INDUSTRY_SUBGROUP</stp>
        <stp>[DIF_Risk_20200430.xlsm]Geneva investment position repo!R91C41</stp>
        <tr r="AO91" s="1"/>
      </tp>
      <tp t="s">
        <v>#N/A N/A</v>
        <stp/>
        <stp>##V3_BDPV12</stp>
        <stp>BBG00NBG3YQ5 FIGI</stp>
        <stp>RTG_MOODY</stp>
        <stp>[DIF_Risk_20200430.xlsm]Geneva investment position repo!R91C32</stp>
        <tr r="AF91" s="1"/>
      </tp>
      <tp t="s">
        <v>#N/A N/A</v>
        <stp/>
        <stp>##V3_BDPV12</stp>
        <stp>BBG00CNK44T9 FIGI</stp>
        <stp>RTG_MOODY</stp>
        <stp>[DIF_Risk_20200430.xlsm]Geneva investment position repo!R45C32</stp>
        <tr r="AF45" s="1"/>
      </tp>
      <tp t="s">
        <v>Ba3</v>
        <stp/>
        <stp>##V3_BDPV12</stp>
        <stp>BBG00P1GZFC2 FIGI</stp>
        <stp>RTG_MOODY</stp>
        <stp>[DIF_Risk_20200430.xlsm]Geneva investment position repo!R112C32</stp>
        <tr r="AF112" s="1"/>
        <tr r="AF112" s="1"/>
      </tp>
      <tp t="s">
        <v>Energy-Alternate Sources</v>
        <stp/>
        <stp>##V3_BDPV12</stp>
        <stp>BBG00CNK44T9 FIGI</stp>
        <stp>INDUSTRY_SUBGROUP</stp>
        <stp>[DIF_Risk_20200430.xlsm]Geneva investment position repo!R45C41</stp>
        <tr r="AO45" s="1"/>
      </tp>
      <tp t="s">
        <v>#N/A Field Not Applicable</v>
        <stp/>
        <stp>##V3_BDPV12</stp>
        <stp>BBG00SY1QXH9 FIGI</stp>
        <stp>BOND_CLASSIFICATION_NAME</stp>
        <stp>[DIF_Risk_20200430.xlsm]Geneva investment position repo!R31C53</stp>
        <tr r="BA31" s="1"/>
      </tp>
      <tp t="s">
        <v>B2 *-</v>
        <stp/>
        <stp>##V3_BDPV12</stp>
        <stp>BBG00PK1ZYS6 FIGI</stp>
        <stp>RTG_MOODY</stp>
        <stp>[DIF_Risk_20200430.xlsm]Geneva investment position repo!R146C32</stp>
        <tr r="AF146" s="1"/>
        <tr r="AF146" s="1"/>
      </tp>
      <tp t="s">
        <v>LPKRIJ 6 3/4 10/31/26</v>
        <stp/>
        <stp>##V3_BDPV12</stp>
        <stp>BBG00F2W1SP3 FIGI</stp>
        <stp>SECURITY_NAME</stp>
        <stp>[DIF_Risk_20200430.xlsm]SFC Report!R196C1</stp>
        <tr r="A196" s="6"/>
      </tp>
      <tp t="s">
        <v>#N/A N/A</v>
        <stp/>
        <stp>##V3_BDPV12</stp>
        <stp>BBG00K7D75S0 FIGI</stp>
        <stp>RTG_FITCH</stp>
        <stp>[DIF_Risk_20200430.xlsm]Geneva investment position repo!R75C33</stp>
        <tr r="AG75" s="1"/>
      </tp>
      <tp t="s">
        <v>B1</v>
        <stp/>
        <stp>##V3_BDPV12</stp>
        <stp>BBG00HC2ZDQ9 FIGI</stp>
        <stp>RTG_MOODY</stp>
        <stp>[DIF_Risk_20200430.xlsm]Geneva investment position repo!R151C32</stp>
        <tr r="AF151" s="1"/>
        <tr r="AF151" s="1"/>
      </tp>
      <tp t="s">
        <v>B2</v>
        <stp/>
        <stp>##V3_BDPV12</stp>
        <stp>BBG00NQDZNG6 FIGI</stp>
        <stp>RTG_MOODY</stp>
        <stp>[DIF_Risk_20200430.xlsm]Geneva investment position repo!R178C32</stp>
        <tr r="AF178" s="1"/>
        <tr r="AF178" s="1"/>
      </tp>
      <tp t="s">
        <v>4/1/2019</v>
        <stp/>
        <stp>##V3_BDPV12</stp>
        <stp>BBG00N14RT60 FIGI</stp>
        <stp>SP_EFF_DT</stp>
        <stp>[DIF_Risk_20200430.xlsm]Geneva investment position repo!R153C71</stp>
        <tr r="BS153" s="1"/>
      </tp>
      <tp t="s">
        <v>B2</v>
        <stp/>
        <stp>##V3_BDPV12</stp>
        <stp>BBG00H4BZMF0 FIGI</stp>
        <stp>RTG_MOODY</stp>
        <stp>[DIF_Risk_20200430.xlsm]Geneva investment position repo!R130C32</stp>
        <tr r="AF130" s="1"/>
        <tr r="AF130" s="1"/>
      </tp>
      <tp t="s">
        <v>#N/A N/A</v>
        <stp/>
        <stp>##V3_BDPV12</stp>
        <stp>BBG00DXBXRD0 FIGI</stp>
        <stp>RTG_MOODY</stp>
        <stp>[DIF_Risk_20200430.xlsm]Geneva investment position repo!R93C32</stp>
        <tr r="AF93" s="1"/>
      </tp>
      <tp t="s">
        <v>Baa2</v>
        <stp/>
        <stp>##V3_BDPV12</stp>
        <stp>BBG00RYDYKF6 FIGI</stp>
        <stp>RTG_MOODY</stp>
        <stp>[DIF_Risk_20200430.xlsm]Geneva investment position repo!R89C32</stp>
        <tr r="AF89" s="1"/>
        <tr r="AF89" s="1"/>
      </tp>
      <tp t="s">
        <v>Real Estate Oper/Develop</v>
        <stp/>
        <stp>##V3_BDPV12</stp>
        <stp>BBG00RYDYKF6 FIGI</stp>
        <stp>INDUSTRY_SUBGROUP</stp>
        <stp>[DIF_Risk_20200430.xlsm]Geneva investment position repo!R89C41</stp>
        <tr r="AO89" s="1"/>
      </tp>
      <tp t="s">
        <v>Real Estate Oper/Develop</v>
        <stp/>
        <stp>##V3_BDPV12</stp>
        <stp>BBG00DXBXRD0 FIGI</stp>
        <stp>INDUSTRY_SUBGROUP</stp>
        <stp>[DIF_Risk_20200430.xlsm]Geneva investment position repo!R93C41</stp>
        <tr r="AO93" s="1"/>
      </tp>
      <tp t="s">
        <v>#N/A Field Not Applicable</v>
        <stp/>
        <stp>##V3_BDPV12</stp>
        <stp>BBG00TDCM8F7 FIGI</stp>
        <stp>CAPITAL_TYP_COCO_INITIAL_TRIGGER</stp>
        <stp>[DIF_Risk_20200430.xlsm]Geneva investment position repo!R38C43</stp>
        <tr r="AQ38" s="1"/>
      </tp>
      <tp t="s">
        <v>#N/A N/A</v>
        <stp/>
        <stp>##V3_BDPV12</stp>
        <stp>BBG00NDMRLH2 FIGI</stp>
        <stp>SP_EFF_DT</stp>
        <stp>[DIF_Risk_20200430.xlsm]Geneva investment position repo!R58C71</stp>
        <tr r="BS58" s="1"/>
      </tp>
      <tp t="s">
        <v>BOND</v>
        <stp/>
        <stp>##V3_BDPV12</stp>
        <stp>BBG00RYGHZS1 FIGI</stp>
        <stp>MIFID_ASSET_CLASS</stp>
        <stp>[DIF_Risk_20200430.xlsm]Geneva investment position repo!R51C19</stp>
        <tr r="S51" s="1"/>
      </tp>
      <tp t="s">
        <v>Ba1</v>
        <stp/>
        <stp>##V3_BDPV12</stp>
        <stp>BBG00PSJPXV8 FIGI</stp>
        <stp>RTG_MOODY</stp>
        <stp>[DIF_Risk_20200430.xlsm]Geneva investment position repo!R82C32</stp>
        <tr r="AF82" s="1"/>
        <tr r="AF82" s="1"/>
      </tp>
      <tp t="s">
        <v>Energy-Alternate Sources</v>
        <stp/>
        <stp>##V3_BDPV12</stp>
        <stp>BBG00PSJPXV8 FIGI</stp>
        <stp>INDUSTRY_SUBGROUP</stp>
        <stp>[DIF_Risk_20200430.xlsm]Geneva investment position repo!R82C41</stp>
        <tr r="AO82" s="1"/>
      </tp>
      <tp t="s">
        <v>#N/A Field Not Applicable</v>
        <stp/>
        <stp>##V3_BDPV12</stp>
        <stp>BBG00LVCWLT9 FIGI</stp>
        <stp>CAPITAL_TYP_COCO_INITIAL_TRIGGER</stp>
        <stp>[DIF_Risk_20200430.xlsm]Geneva investment position repo!R42C43</stp>
        <tr r="AQ42" s="1"/>
      </tp>
      <tp t="s">
        <v>#N/A Field Not Applicable</v>
        <stp/>
        <stp>##V3_BDPV12</stp>
        <stp>BBG00Q3NXL14 FIGI</stp>
        <stp>CAPITAL_TYP_COCO_INITIAL_TRIGGER</stp>
        <stp>[DIF_Risk_20200430.xlsm]Geneva investment position repo!R59C43</stp>
        <tr r="AQ59" s="1"/>
      </tp>
      <tp t="s">
        <v>Electric-Integrated</v>
        <stp/>
        <stp>##V3_BDPV12</stp>
        <stp>BBG000BDV566 FIGI</stp>
        <stp>INDUSTRY_SUBGROUP</stp>
        <stp>[DIF_Risk_20200430.xlsm]Geneva investment position repo!R13C41</stp>
        <tr r="AO13" s="1"/>
      </tp>
      <tp t="s">
        <v>A-</v>
        <stp/>
        <stp>##V3_BDPV12</stp>
        <stp>BBG00TDCM8F7 FIGI</stp>
        <stp>RTG_FITCH</stp>
        <stp>[DIF_Risk_20200430.xlsm]Geneva investment position repo!R38C33</stp>
        <tr r="AG38" s="1"/>
        <tr r="AG38" s="1"/>
      </tp>
      <tp t="s">
        <v>USV3854PAA94</v>
        <stp/>
        <stp>##V3_BDPV12</stp>
        <stp>BBG00DKQ0MQ4 FIGI</stp>
        <stp>ID_ISIN</stp>
        <stp>[DIF_Risk_20200430.xlsm]Geneva investment position repo!R78C63</stp>
        <tr r="BK78" s="1"/>
      </tp>
      <tp t="s">
        <v>Financials</v>
        <stp/>
        <stp>##V3_BDPV12</stp>
        <stp>BBG00RYF5CJ7 FIGI</stp>
        <stp>GICS_SECTOR_NAME</stp>
        <stp>[DIF_Risk_20200430.xlsm]Geneva investment position repo!R35C51</stp>
        <tr r="AY35" s="1"/>
      </tp>
      <tp t="s">
        <v>INDUSTRIAL</v>
        <stp/>
        <stp>##V3_BDPV12</stp>
        <stp>BBG00PQ3PWZ3 FIGI</stp>
        <stp>ISSUER_INDUSTRY</stp>
        <stp>[DIF_Risk_20200430.xlsm]Geneva investment position repo!R84C52</stp>
        <tr r="AZ84" s="1"/>
      </tp>
      <tp t="s">
        <v>#N/A N/A</v>
        <stp/>
        <stp>##V3_BDPV12</stp>
        <stp>BBG00PSJD0B5 FIGI</stp>
        <stp>SP_EFF_DT</stp>
        <stp>[DIF_Risk_20200430.xlsm]Geneva investment position repo!R81C71</stp>
        <tr r="BS81" s="1"/>
      </tp>
      <tp t="s">
        <v>Basic Materials</v>
        <stp/>
        <stp>##V3_BDPV12</stp>
        <stp>BBG00PQ3PWZ3 FIGI</stp>
        <stp>INDUSTRY_SECTOR</stp>
        <stp>[DIF_Risk_20200430.xlsm]Geneva investment position repo!R84C39</stp>
        <tr r="AM84" s="1"/>
      </tp>
      <tp t="s">
        <v>#N/A Field Not Applicable</v>
        <stp/>
        <stp>##V3_BDPV12</stp>
        <stp>BBG00NBG3YQ5 FIGI</stp>
        <stp>GICS_SECTOR_NAME</stp>
        <stp>[DIF_Risk_20200430.xlsm]Geneva investment position repo!R91C51</stp>
        <tr r="AY91" s="1"/>
      </tp>
      <tp t="s">
        <v>#N/A N/A</v>
        <stp/>
        <stp>##V3_BDPV12</stp>
        <stp>BBG00PCCVDV7 FIGI</stp>
        <stp>RTG_FITCH</stp>
        <stp>[DIF_Risk_20200430.xlsm]Geneva investment position repo!R76C33</stp>
        <tr r="AG76" s="1"/>
      </tp>
      <tp t="s">
        <v>#N/A N/A</v>
        <stp/>
        <stp>##V3_BDPV12</stp>
        <stp>BBG00S0GV953 FIGI</stp>
        <stp>RTG_FITCH</stp>
        <stp>[DIF_Risk_20200430.xlsm]Geneva investment position repo!R98C33</stp>
        <tr r="AG98" s="1"/>
      </tp>
      <tp t="s">
        <v>SUNAC 7 1/2 02/01/24</v>
        <stp/>
        <stp>##V3_BDPV12</stp>
        <stp>BBG00QQ1W050 FIGI</stp>
        <stp>SECURITY_NAME</stp>
        <stp>[DIF_Risk_20200430.xlsm]SFC Report!R120C1</stp>
        <tr r="A120" s="6"/>
      </tp>
      <tp t="s">
        <v>#N/A Field Not Applicable</v>
        <stp/>
        <stp>##V3_BDPV12</stp>
        <stp>BBG00PSJD0B5 FIGI</stp>
        <stp>BOND_CLASSIFICATION_NAME</stp>
        <stp>[DIF_Risk_20200430.xlsm]Geneva investment position repo!R81C53</stp>
        <tr r="BA81" s="1"/>
      </tp>
      <tp t="s">
        <v>FINANCIAL</v>
        <stp/>
        <stp>##V3_BDPV12</stp>
        <stp>BBG00KDP8LC7 FIGI</stp>
        <stp>ISSUER_INDUSTRY</stp>
        <stp>[DIF_Risk_20200430.xlsm]Geneva investment position repo!R49C52</stp>
        <tr r="AZ49" s="1"/>
      </tp>
      <tp t="s">
        <v>Financial</v>
        <stp/>
        <stp>##V3_BDPV12</stp>
        <stp>BBG00KDP8LC7 FIGI</stp>
        <stp>INDUSTRY_SECTOR</stp>
        <stp>[DIF_Risk_20200430.xlsm]Geneva investment position repo!R49C39</stp>
        <tr r="AM49" s="1"/>
      </tp>
      <tp t="s">
        <v>2/26/2018</v>
        <stp/>
        <stp>##V3_BDPV12</stp>
        <stp>BBG00K67R1J1 FIGI</stp>
        <stp>SP_EFF_DT</stp>
        <stp>[DIF_Risk_20200430.xlsm]Geneva investment position repo!R171C71</stp>
        <tr r="BS171" s="1"/>
      </tp>
      <tp t="s">
        <v>#N/A N/A</v>
        <stp/>
        <stp>##V3_BDPV12</stp>
        <stp>BBG00PGHK257 FIGI</stp>
        <stp>SP_EFF_DT</stp>
        <stp>[DIF_Risk_20200430.xlsm]Geneva investment position repo!R87C71</stp>
        <tr r="BS87" s="1"/>
      </tp>
      <tp t="s">
        <v>Financial</v>
        <stp/>
        <stp>##V3_BDPV12</stp>
        <stp>BBG00LJTVJR4 FIGI</stp>
        <stp>INDUSTRY_SECTOR</stp>
        <stp>[DIF_Risk_20200430.xlsm]Geneva investment position repo!R154C39</stp>
        <tr r="AM154" s="1"/>
      </tp>
      <tp t="s">
        <v>B+</v>
        <stp/>
        <stp>##V3_BDPV12</stp>
        <stp>BBG00LJTVJR4 FIGI</stp>
        <stp>RTG_SP</stp>
        <stp>[DIF_Risk_20200430.xlsm]Geneva investment position repo!R154C31</stp>
        <tr r="AE154" s="1"/>
        <tr r="AE154" s="1"/>
      </tp>
      <tp t="s">
        <v>#N/A N/A</v>
        <stp/>
        <stp>##V3_BDPV12</stp>
        <stp>BBG00RPXTTD1 FIGI</stp>
        <stp>RTG_SP</stp>
        <stp>[DIF_Risk_20200430.xlsm]Geneva investment position repo!R137C31</stp>
        <tr r="AE137" s="1"/>
      </tp>
      <tp t="s">
        <v>#N/A Field Not Applicable</v>
        <stp/>
        <stp>##V3_BDPV12</stp>
        <stp>BBG00S6SWBM6 FIGI</stp>
        <stp>GICS_SECTOR_NAME</stp>
        <stp>[DIF_Risk_20200430.xlsm]Geneva investment position repo!R158C51</stp>
        <tr r="AY158" s="1"/>
      </tp>
      <tp t="s">
        <v>#N/A Field Not Applicable</v>
        <stp/>
        <stp>##V3_BDPV12</stp>
        <stp>BBG00TFTG847 FIGI</stp>
        <stp>BOND_CLASSIFICATION_NAME</stp>
        <stp>[DIF_Risk_20200430.xlsm]Geneva investment position repo!R117C53</stp>
        <tr r="BA117" s="1"/>
      </tp>
      <tp t="s">
        <v>#N/A Field Not Applicable</v>
        <stp/>
        <stp>##V3_BDPV12</stp>
        <stp>BBG00KMQKL04 FIGI</stp>
        <stp>GICS_SECTOR_NAME</stp>
        <stp>[DIF_Risk_20200430.xlsm]Geneva investment position repo!R169C51</stp>
        <tr r="AY169" s="1"/>
      </tp>
      <tp t="s">
        <v>#N/A Field Not Applicable</v>
        <stp/>
        <stp>##V3_BDPV12</stp>
        <stp>BBG00TDCM2R7 FIGI</stp>
        <stp>CAPITAL_TYP_COCO_INITIAL_TRIGGER</stp>
        <stp>[DIF_Risk_20200430.xlsm]Geneva investment position repo!R147C43</stp>
        <tr r="AQ147" s="1"/>
      </tp>
      <tp t="s">
        <v>#N/A Field Not Applicable</v>
        <stp/>
        <stp>##V3_BDPV12</stp>
        <stp>BBG00QRVV8P5 FIGI</stp>
        <stp>BOND_CLASSIFICATION_NAME</stp>
        <stp>[DIF_Risk_20200430.xlsm]Geneva investment position repo!R131C53</stp>
        <tr r="BA131" s="1"/>
      </tp>
      <tp t="s">
        <v>BBB</v>
        <stp/>
        <stp>##V3_BDPV12</stp>
        <stp>BBG00D2WYB33 FIGI</stp>
        <stp>RTG_SP</stp>
        <stp>[DIF_Risk_20200430.xlsm]Geneva investment position repo!R126C31</stp>
        <tr r="AE126" s="1"/>
        <tr r="AE126" s="1"/>
      </tp>
      <tp t="s">
        <v>#N/A N/A</v>
        <stp/>
        <stp>##V3_BDPV12</stp>
        <stp>BBG00TJ8VS75 FIGI</stp>
        <stp>RTG_SP</stp>
        <stp>[DIF_Risk_20200430.xlsm]Geneva investment position repo!R167C31</stp>
        <tr r="AE167" s="1"/>
      </tp>
      <tp t="s">
        <v>B+</v>
        <stp/>
        <stp>##V3_BDPV12</stp>
        <stp>BBG00KMQKL04 FIGI</stp>
        <stp>RTG_SP</stp>
        <stp>[DIF_Risk_20200430.xlsm]Geneva investment position repo!R169C31</stp>
        <tr r="AE169" s="1"/>
        <tr r="AE169" s="1"/>
      </tp>
      <tp t="s">
        <v>XS1594400449</v>
        <stp/>
        <stp>##V3_BDPV12</stp>
        <stp>BBG00HC2ZDQ9 FIGI</stp>
        <stp>ID_ISIN</stp>
        <stp>[DIF_Risk_20200430.xlsm]Geneva investment position repo!R151C63</stp>
        <tr r="BK151" s="1"/>
      </tp>
      <tp t="s">
        <v>XS1402194952</v>
        <stp/>
        <stp>##V3_BDPV12</stp>
        <stp>BBG00CP5W6B3 FIGI</stp>
        <stp>ID_ISIN</stp>
        <stp>[DIF_Risk_20200430.xlsm]Geneva investment position repo!R107C63</stp>
        <tr r="BK107" s="1"/>
      </tp>
      <tp t="s">
        <v>#N/A Field Not Applicable</v>
        <stp/>
        <stp>##V3_BDPV12</stp>
        <stp>BBG00F2W1SP3 FIGI</stp>
        <stp>GICS_SECTOR_NAME</stp>
        <stp>[DIF_Risk_20200430.xlsm]Geneva investment position repo!R105C51</stp>
        <tr r="AY105" s="1"/>
      </tp>
      <tp t="s">
        <v>USJ54675AZ63</v>
        <stp/>
        <stp>##V3_BDPV12</stp>
        <stp>BBG00RD35MV1 FIGI</stp>
        <stp>ID_ISIN</stp>
        <stp>[DIF_Risk_20200430.xlsm]Geneva investment position repo!R118C63</stp>
        <tr r="BK118" s="1"/>
      </tp>
      <tp t="s">
        <v>Retail</v>
        <stp/>
        <stp>##V3_BDPV12</stp>
        <stp>BBG000QWR4M8 FIGI</stp>
        <stp>INDUSTRY_GROUP</stp>
        <stp>[DIF_Risk_20200430.xlsm]Geneva investment position repo!R8C40</stp>
        <tr r="AN8" s="1"/>
      </tp>
      <tp t="s">
        <v>6/10/2019</v>
        <stp/>
        <stp>##V3_BDPV12</stp>
        <stp>BBG00PDL9DC2 FIGI</stp>
        <stp>SP_EFF_DT</stp>
        <stp>[DIF_Risk_20200430.xlsm]Geneva investment position repo!R92C71</stp>
        <tr r="BS92" s="1"/>
      </tp>
      <tp t="s">
        <v>3/26/2020</v>
        <stp/>
        <stp>##V3_BDPV12</stp>
        <stp>BBG00RHHSFZ2 FIGI</stp>
        <stp>SP_EFF_DT</stp>
        <stp>[DIF_Risk_20200430.xlsm]Geneva investment position repo!R122C71</stp>
        <tr r="BS122" s="1"/>
      </tp>
      <tp t="s">
        <v>#N/A N/A</v>
        <stp/>
        <stp>##V3_BDPV12</stp>
        <stp>BBG00N6M20C8 FIGI</stp>
        <stp>RTG_FITCH</stp>
        <stp>[DIF_Risk_20200430.xlsm]Geneva investment position repo!R79C33</stp>
        <tr r="AG79" s="1"/>
      </tp>
      <tp t="s">
        <v>#N/A Field Not Applicable</v>
        <stp/>
        <stp>##V3_BDPV12</stp>
        <stp>BBG000Q16VR4 FIGI</stp>
        <stp>CAPITAL_TYP_COCO_INITIAL_TRIGGER</stp>
        <stp>[DIF_Risk_20200430.xlsm]Geneva investment position repo!R18C43</stp>
        <tr r="AQ18" s="1"/>
      </tp>
      <tp t="s">
        <v>Real Estate</v>
        <stp/>
        <stp>##V3_BDPV12</stp>
        <stp>BBG005BTJ9P5 FIGI</stp>
        <stp>GICS_SECTOR_NAME</stp>
        <stp>[DIF_Risk_20200430.xlsm]Geneva investment position repo!R65C51</stp>
        <tr r="AY65" s="1"/>
      </tp>
      <tp t="s">
        <v>Ba2</v>
        <stp/>
        <stp>##V3_BDPV12</stp>
        <stp>BBG00PMFP1T5 FIGI</stp>
        <stp>RTG_MOODY</stp>
        <stp>[DIF_Risk_20200430.xlsm]Geneva investment position repo!R52C32</stp>
        <tr r="AF52" s="1"/>
        <tr r="AF52" s="1"/>
      </tp>
      <tp t="s">
        <v>XS2122176113</v>
        <stp/>
        <stp>##V3_BDPV12</stp>
        <stp>BBG00RPXTZN6 FIGI</stp>
        <stp>ID_ISIN</stp>
        <stp>[DIF_Risk_20200430.xlsm]Geneva investment position repo!R90C63</stp>
        <tr r="BK90" s="1"/>
      </tp>
      <tp t="s">
        <v>Commer Banks Non-US</v>
        <stp/>
        <stp>##V3_BDPV12</stp>
        <stp>BBG00PMFP1T5 FIGI</stp>
        <stp>INDUSTRY_SUBGROUP</stp>
        <stp>[DIF_Risk_20200430.xlsm]Geneva investment position repo!R52C41</stp>
        <tr r="AO52" s="1"/>
      </tp>
      <tp t="s">
        <v>Finance-Other Services</v>
        <stp/>
        <stp>##V3_BDPV12</stp>
        <stp>BBG000BGW354 FIGI</stp>
        <stp>INDUSTRY_SUBGROUP</stp>
        <stp>[DIF_Risk_20200430.xlsm]Geneva investment position repo!R17C41</stp>
        <tr r="AO17" s="1"/>
      </tp>
      <tp t="s">
        <v>#N/A N/A</v>
        <stp/>
        <stp>##V3_BDPV12</stp>
        <stp>BBG00T6LYC72 FIGI</stp>
        <stp>SP_EFF_DT</stp>
        <stp>[DIF_Risk_20200430.xlsm]Geneva investment position repo!R95C71</stp>
        <tr r="BS95" s="1"/>
      </tp>
      <tp t="s">
        <v>Baa1</v>
        <stp/>
        <stp>##V3_BDPV12</stp>
        <stp>BBG00LLFHRL5 FIGI</stp>
        <stp>RTG_MOODY</stp>
        <stp>[DIF_Risk_20200430.xlsm]Geneva investment position repo!R61C32</stp>
        <tr r="AF61" s="1"/>
        <tr r="AF61" s="1"/>
      </tp>
      <tp t="s">
        <v>8/28/2019</v>
        <stp/>
        <stp>##V3_BDPV12</stp>
        <stp>BBG00LSRS878 FIGI</stp>
        <stp>SP_EFF_DT</stp>
        <stp>[DIF_Risk_20200430.xlsm]Geneva investment position repo!R104C71</stp>
        <tr r="BS104" s="1"/>
      </tp>
      <tp t="s">
        <v>USV3855GAB69</v>
        <stp/>
        <stp>##V3_BDPV12</stp>
        <stp>BBG00PSJPXV8 FIGI</stp>
        <stp>ID_ISIN</stp>
        <stp>[DIF_Risk_20200430.xlsm]Geneva investment position repo!R82C63</stp>
        <tr r="BK82" s="1"/>
      </tp>
      <tp t="s">
        <v>4/7/2020</v>
        <stp/>
        <stp>##V3_BDPV12</stp>
        <stp>BBG00GDDS1Y1 FIGI</stp>
        <stp>SP_EFF_DT</stp>
        <stp>[DIF_Risk_20200430.xlsm]Geneva investment position repo!R109C71</stp>
        <tr r="BS109" s="1"/>
      </tp>
      <tp t="s">
        <v>Whsing&amp;Harbor Trans Serv</v>
        <stp/>
        <stp>##V3_BDPV12</stp>
        <stp>BBG00LLFHRL5 FIGI</stp>
        <stp>INDUSTRY_SUBGROUP</stp>
        <stp>[DIF_Risk_20200430.xlsm]Geneva investment position repo!R61C41</stp>
        <tr r="AO61" s="1"/>
      </tp>
      <tp t="s">
        <v>INDUSTRIAL</v>
        <stp/>
        <stp>##V3_BDPV12</stp>
        <stp>BBG00QT8QWY7 FIGI</stp>
        <stp>ISSUER_INDUSTRY</stp>
        <stp>[DIF_Risk_20200430.xlsm]Geneva investment position repo!R46C52</stp>
        <tr r="AZ46" s="1"/>
      </tp>
      <tp t="s">
        <v>Industrial</v>
        <stp/>
        <stp>##V3_BDPV12</stp>
        <stp>BBG00QT8QWY7 FIGI</stp>
        <stp>INDUSTRY_SECTOR</stp>
        <stp>[DIF_Risk_20200430.xlsm]Geneva investment position repo!R46C39</stp>
        <tr r="AM46" s="1"/>
      </tp>
      <tp t="s">
        <v>#N/A Field Not Applicable</v>
        <stp/>
        <stp>##V3_BDPV12</stp>
        <stp>BBG00MSJ57C5 FIGI</stp>
        <stp>BOND_CLASSIFICATION_NAME</stp>
        <stp>[DIF_Risk_20200430.xlsm]Geneva investment position repo!R74C53</stp>
        <tr r="BA74" s="1"/>
      </tp>
      <tp t="s">
        <v>BOND</v>
        <stp/>
        <stp>##V3_BDPV12</stp>
        <stp>BBG00RTNXBH9 FIGI</stp>
        <stp>MIFID_ASSET_CLASS</stp>
        <stp>[DIF_Risk_20200430.xlsm]Geneva investment position repo!R69C19</stp>
        <tr r="S69" s="1"/>
      </tp>
      <tp t="s">
        <v>BOND</v>
        <stp/>
        <stp>##V3_BDPV12</stp>
        <stp>BBG00M5BYXF5 FIGI</stp>
        <stp>MIFID_ASSET_CLASS</stp>
        <stp>[DIF_Risk_20200430.xlsm]Geneva investment position repo!R32C19</stp>
        <tr r="S32" s="1"/>
      </tp>
      <tp t="s">
        <v>#N/A Field Not Applicable</v>
        <stp/>
        <stp>##V3_BDPV12</stp>
        <stp>BBG00RPNYQB5 FIGI</stp>
        <stp>GICS_SECTOR_NAME</stp>
        <stp>[DIF_Risk_20200430.xlsm]Geneva investment position repo!R47C51</stp>
        <tr r="AY47" s="1"/>
      </tp>
      <tp t="s">
        <v>HK0270001396</v>
        <stp/>
        <stp>##V3_BDPV12</stp>
        <stp>BBG000BDW8M1 FIGI</stp>
        <stp>ID_ISIN</stp>
        <stp>[DIF_Risk_20200430.xlsm]Geneva investment position repo!R14C63</stp>
        <tr r="BK14" s="1"/>
      </tp>
      <tp t="s">
        <v>#N/A Field Not Applicable</v>
        <stp/>
        <stp>##V3_BDPV12</stp>
        <stp>BBG00PDL9DV1 FIGI</stp>
        <stp>GICS_SECTOR_NAME</stp>
        <stp>[DIF_Risk_20200430.xlsm]Geneva investment position repo!R53C51</stp>
        <tr r="AY53" s="1"/>
      </tp>
      <tp t="s">
        <v>Invest Mgmnt/Advis Serv</v>
        <stp/>
        <stp>##V3_BDPV12</stp>
        <stp>BBG00KVGG4W4 FIGI</stp>
        <stp>INDUSTRY_SUBGROUP</stp>
        <stp>[DIF_Risk_20200430.xlsm]Geneva investment position repo!R83C41</stp>
        <tr r="AO83" s="1"/>
      </tp>
      <tp t="s">
        <v>XS2125715800</v>
        <stp/>
        <stp>##V3_BDPV12</stp>
        <stp>BBG00RYGHZS1 FIGI</stp>
        <stp>ID_ISIN</stp>
        <stp>[DIF_Risk_20200430.xlsm]Geneva investment position repo!R51C63</stp>
        <tr r="BK51" s="1"/>
      </tp>
      <tp t="s">
        <v>Baa1</v>
        <stp/>
        <stp>##V3_BDPV12</stp>
        <stp>BBG00KVGG4W4 FIGI</stp>
        <stp>RTG_MOODY</stp>
        <stp>[DIF_Risk_20200430.xlsm]Geneva investment position repo!R83C32</stp>
        <tr r="AF83" s="1"/>
        <tr r="AF83" s="1"/>
      </tp>
      <tp t="s">
        <v>#N/A Field Not Applicable</v>
        <stp/>
        <stp>##V3_BDPV12</stp>
        <stp>BBG00D2WYB33 FIGI</stp>
        <stp>GICS_SECTOR_NAME</stp>
        <stp>[DIF_Risk_20200430.xlsm]Geneva investment position repo!R126C51</stp>
        <tr r="AY126" s="1"/>
      </tp>
      <tp t="s">
        <v>#N/A Field Not Applicable</v>
        <stp/>
        <stp>##V3_BDPV12</stp>
        <stp>BBG00GDDS1Y1 FIGI</stp>
        <stp>CAPITAL_TYP_COCO_INITIAL_TRIGGER</stp>
        <stp>[DIF_Risk_20200430.xlsm]Geneva investment position repo!R109C43</stp>
        <tr r="AQ109" s="1"/>
      </tp>
      <tp t="s">
        <v>US718286CJ41</v>
        <stp/>
        <stp>##V3_BDPV12</stp>
        <stp>BBG00THTNZZ3 FIGI</stp>
        <stp>ID_ISIN</stp>
        <stp>[DIF_Risk_20200430.xlsm]Geneva investment position repo!R125C63</stp>
        <tr r="BK125" s="1"/>
      </tp>
      <tp t="s">
        <v>FINANCIAL</v>
        <stp/>
        <stp>##V3_BDPV12</stp>
        <stp>BBG00NDM7WZ0 FIGI</stp>
        <stp>ISSUER_INDUSTRY</stp>
        <stp>[DIF_Risk_20200430.xlsm]Geneva investment position repo!R103C52</stp>
        <tr r="AZ103" s="1"/>
      </tp>
      <tp t="s">
        <v>#N/A N/A</v>
        <stp/>
        <stp>##V3_BDPV12</stp>
        <stp>BBG00LNF6KZ5 FIGI</stp>
        <stp>RTG_SP</stp>
        <stp>[DIF_Risk_20200430.xlsm]Geneva investment position repo!R144C31</stp>
        <tr r="AE144" s="1"/>
      </tp>
      <tp t="s">
        <v>#N/A Field Not Applicable</v>
        <stp/>
        <stp>##V3_BDPV12</stp>
        <stp>BBG00GSCY4N6 FIGI</stp>
        <stp>CAPITAL_TYP_COCO_INITIAL_TRIGGER</stp>
        <stp>[DIF_Risk_20200430.xlsm]Geneva investment position repo!R116C43</stp>
        <tr r="AQ116" s="1"/>
      </tp>
      <tp t="s">
        <v>SPECIAL PURPOSE</v>
        <stp/>
        <stp>##V3_BDPV12</stp>
        <stp>BBG00QDN9PZ4 FIGI</stp>
        <stp>ISSUER_INDUSTRY</stp>
        <stp>[DIF_Risk_20200430.xlsm]Geneva investment position repo!R138C52</stp>
        <tr r="AZ138" s="1"/>
      </tp>
      <tp t="s">
        <v>#N/A Field Not Applicable</v>
        <stp/>
        <stp>##V3_BDPV12</stp>
        <stp>BBG00P1GZFC2 FIGI</stp>
        <stp>CAPITAL_TYP_COCO_INITIAL_TRIGGER</stp>
        <stp>[DIF_Risk_20200430.xlsm]Geneva investment position repo!R112C43</stp>
        <tr r="AQ112" s="1"/>
      </tp>
      <tp t="s">
        <v>Real Estate</v>
        <stp/>
        <stp>##V3_BDPV12</stp>
        <stp>BBG00PNSNLZ7 FIGI</stp>
        <stp>GICS_SECTOR_NAME</stp>
        <stp>[DIF_Risk_20200430.xlsm]Geneva investment position repo!R161C51</stp>
        <tr r="AY161" s="1"/>
      </tp>
      <tp t="s">
        <v>USP78625EA73</v>
        <stp/>
        <stp>##V3_BDPV12</stp>
        <stp>BBG00RHHSFZ2 FIGI</stp>
        <stp>ID_ISIN</stp>
        <stp>[DIF_Risk_20200430.xlsm]Geneva investment position repo!R122C63</stp>
        <tr r="BK122" s="1"/>
      </tp>
      <tp t="s">
        <v>XS1973241125</v>
        <stp/>
        <stp>##V3_BDPV12</stp>
        <stp>BBG00NQF0SC2 FIGI</stp>
        <stp>ID_ISIN</stp>
        <stp>[DIF_Risk_20200430.xlsm]Geneva investment position repo!R160C63</stp>
        <tr r="BK160" s="1"/>
      </tp>
      <tp t="s">
        <v>Financials</v>
        <stp/>
        <stp>##V3_BDPV12</stp>
        <stp>BBG00HPPFXF4 FIGI</stp>
        <stp>GICS_SECTOR_NAME</stp>
        <stp>[DIF_Risk_20200430.xlsm]Geneva investment position repo!R127C51</stp>
        <tr r="AY127" s="1"/>
      </tp>
      <tp t="s">
        <v>US948596AD39</v>
        <stp/>
        <stp>##V3_BDPV12</stp>
        <stp>BBG00PKGT0Y7 FIGI</stp>
        <stp>ID_ISIN</stp>
        <stp>[DIF_Risk_20200430.xlsm]Geneva investment position repo!R166C63</stp>
        <tr r="BK166" s="1"/>
      </tp>
      <tp t="s">
        <v>Software</v>
        <stp/>
        <stp>##V3_BDPV12</stp>
        <stp>BBG00SXGDG60 FIGI</stp>
        <stp>INDUSTRY_GROUP</stp>
        <stp>[DIF_Risk_20200430.xlsm]Geneva investment position repo!R120C40</stp>
        <tr r="AN120" s="1"/>
      </tp>
      <tp t="s">
        <v>#N/A Field Not Applicable</v>
        <stp/>
        <stp>##V3_BDPV12</stp>
        <stp>BBG00N0J9QB8 FIGI</stp>
        <stp>CAPITAL_TYP_COCO_INITIAL_TRIGGER</stp>
        <stp>[DIF_Risk_20200430.xlsm]Geneva investment position repo!R132C43</stp>
        <tr r="AQ132" s="1"/>
      </tp>
      <tp t="s">
        <v>#N/A Field Not Applicable</v>
        <stp/>
        <stp>##V3_BDPV12</stp>
        <stp>BBG00MNS44N6 FIGI</stp>
        <stp>BOND_CLASSIFICATION_NAME</stp>
        <stp>[DIF_Risk_20200430.xlsm]Geneva investment position repo!R129C53</stp>
        <tr r="BA129" s="1"/>
      </tp>
      <tp t="s">
        <v>#N/A N/A</v>
        <stp/>
        <stp>##V3_BDPV12</stp>
        <stp>BBG00R9LVRX4 FIGI</stp>
        <stp>RTG_SP</stp>
        <stp>[DIF_Risk_20200430.xlsm]Geneva investment position repo!R172C31</stp>
        <tr r="AE172" s="1"/>
      </tp>
      <tp t="s">
        <v>A-</v>
        <stp/>
        <stp>##V3_BDPV12</stp>
        <stp>BBG00B6SDBV4 FIGI</stp>
        <stp>RTG_SP</stp>
        <stp>[DIF_Risk_20200430.xlsm]Geneva investment position repo!R115C31</stp>
        <tr r="AE115" s="1"/>
        <tr r="AE115" s="1"/>
      </tp>
      <tp t="s">
        <v>#N/A N/A</v>
        <stp/>
        <stp>##V3_BDPV12</stp>
        <stp>BBG00RPXTTD1 FIGI</stp>
        <stp>SP_EFF_DT</stp>
        <stp>[DIF_Risk_20200430.xlsm]Geneva investment position repo!R137C71</stp>
        <tr r="BS137" s="1"/>
      </tp>
      <tp t="s">
        <v>BB</v>
        <stp/>
        <stp>##V3_BDPV12</stp>
        <stp>BBG00KMRGS75 FIGI</stp>
        <stp>RTG_FITCH</stp>
        <stp>[DIF_Risk_20200430.xlsm]Geneva investment position repo!R152C33</stp>
        <tr r="AG152" s="1"/>
        <tr r="AG152" s="1"/>
      </tp>
      <tp t="s">
        <v>Real Estate Oper/Develop</v>
        <stp/>
        <stp>##V3_BDPV12</stp>
        <stp>BBG00NHNXCH9 FIGI</stp>
        <stp>INDUSTRY_SUBGROUP</stp>
        <stp>[DIF_Risk_20200430.xlsm]Geneva investment position repo!R179C41</stp>
        <tr r="AO179" s="1"/>
      </tp>
      <tp t="s">
        <v>Real Estate Oper/Develop</v>
        <stp/>
        <stp>##V3_BDPV12</stp>
        <stp>BBG00K7D75S0 FIGI</stp>
        <stp>INDUSTRY_SUBGROUP</stp>
        <stp>[DIF_Risk_20200430.xlsm]Geneva investment position repo!R75C41</stp>
        <tr r="AO75" s="1"/>
      </tp>
      <tp t="s">
        <v>1/9/2020</v>
        <stp/>
        <stp>##V3_BDPV12</stp>
        <stp>BBG00JVKTCJ1 FIGI</stp>
        <stp>SP_EFF_DT</stp>
        <stp>[DIF_Risk_20200430.xlsm]Geneva investment position repo!R110C71</stp>
        <tr r="BS110" s="1"/>
      </tp>
      <tp t="s">
        <v>B3</v>
        <stp/>
        <stp>##V3_BDPV12</stp>
        <stp>BBG00K7D75S0 FIGI</stp>
        <stp>RTG_MOODY</stp>
        <stp>[DIF_Risk_20200430.xlsm]Geneva investment position repo!R75C32</stp>
        <tr r="AF75" s="1"/>
        <tr r="AF75" s="1"/>
      </tp>
      <tp t="s">
        <v>A-</v>
        <stp/>
        <stp>##V3_BDPV12</stp>
        <stp>BBG00NBG3YQ5 FIGI</stp>
        <stp>RTG_FITCH</stp>
        <stp>[DIF_Risk_20200430.xlsm]Geneva investment position repo!R91C33</stp>
        <tr r="AG91" s="1"/>
        <tr r="AG91" s="1"/>
      </tp>
      <tp t="s">
        <v>#N/A N/A</v>
        <stp/>
        <stp>##V3_BDPV12</stp>
        <stp>BBG00PKGTF65 FIGI</stp>
        <stp>SP_EFF_DT</stp>
        <stp>[DIF_Risk_20200430.xlsm]Geneva investment position repo!R164C71</stp>
        <tr r="BS164" s="1"/>
      </tp>
      <tp t="s">
        <v>LPKRIJ 6 3/4 10/31/26</v>
        <stp/>
        <stp>##V3_BDPV12</stp>
        <stp>BBG00F2W1SP3 FIGI</stp>
        <stp>SECURITY_NAME</stp>
        <stp>[DIF_Risk_20200430.xlsm]SFC Report!R140C1</stp>
        <tr r="A140" s="6"/>
      </tp>
      <tp t="s">
        <v>EQUI</v>
        <stp/>
        <stp>##V3_BDPV12</stp>
        <stp>BBG000GD4N44 FIGI</stp>
        <stp>MIFID_ASSET_CLASS</stp>
        <stp>[DIF_Risk_20200430.xlsm]Geneva investment position repo!R23C19</stp>
        <tr r="S23" s="1"/>
      </tp>
      <tp t="s">
        <v>#N/A N/A</v>
        <stp/>
        <stp>##V3_BDPV12</stp>
        <stp>BBG00CNK44T9 FIGI</stp>
        <stp>RTG_FITCH</stp>
        <stp>[DIF_Risk_20200430.xlsm]Geneva investment position repo!R45C33</stp>
        <tr r="AG45" s="1"/>
      </tp>
      <tp t="s">
        <v>Real Estate Oper/Develop</v>
        <stp/>
        <stp>##V3_BDPV12</stp>
        <stp>BBG00PDYXN26 FIGI</stp>
        <stp>INDUSTRY_SUBGROUP</stp>
        <stp>[DIF_Risk_20200430.xlsm]Geneva investment position repo!R156C41</stp>
        <tr r="AO156" s="1"/>
      </tp>
      <tp t="s">
        <v>BOND</v>
        <stp/>
        <stp>##V3_BDPV12</stp>
        <stp>BBG00HPPFXF4 FIGI</stp>
        <stp>MIFID_ASSET_CLASS</stp>
        <stp>[DIF_Risk_20200430.xlsm]Geneva investment position repo!R127C19</stp>
        <tr r="S127" s="1"/>
      </tp>
      <tp t="s">
        <v>Financial</v>
        <stp/>
        <stp>##V3_BDPV12</stp>
        <stp>BBG00QYPDPC6 FIGI</stp>
        <stp>INDUSTRY_SECTOR</stp>
        <stp>[DIF_Risk_20200430.xlsm]Geneva investment position repo!R68C39</stp>
        <tr r="AM68" s="1"/>
      </tp>
      <tp t="s">
        <v>SPECIAL PURPOSE</v>
        <stp/>
        <stp>##V3_BDPV12</stp>
        <stp>BBG00QYPDPC6 FIGI</stp>
        <stp>ISSUER_INDUSTRY</stp>
        <stp>[DIF_Risk_20200430.xlsm]Geneva investment position repo!R68C52</stp>
        <tr r="AZ68" s="1"/>
      </tp>
      <tp t="s">
        <v>6/20/2019</v>
        <stp/>
        <stp>##V3_BDPV12</stp>
        <stp>BBG00PKGT0Y7 FIGI</stp>
        <stp>SP_EFF_DT</stp>
        <stp>[DIF_Risk_20200430.xlsm]Geneva investment position repo!R166C71</stp>
        <tr r="BS166" s="1"/>
      </tp>
      <tp t="s">
        <v>B+</v>
        <stp/>
        <stp>##V3_BDPV12</stp>
        <stp>BBG00NV0G541 FIGI</stp>
        <stp>RTG_FITCH</stp>
        <stp>[DIF_Risk_20200430.xlsm]Geneva investment position repo!R165C33</stp>
        <tr r="AG165" s="1"/>
        <tr r="AG165" s="1"/>
      </tp>
      <tp t="s">
        <v>BOND</v>
        <stp/>
        <stp>##V3_BDPV12</stp>
        <stp>BBG00LVCGFZ3 FIGI</stp>
        <stp>MIFID_ASSET_CLASS</stp>
        <stp>[DIF_Risk_20200430.xlsm]Geneva investment position repo!R77C19</stp>
        <tr r="S77" s="1"/>
      </tp>
      <tp t="s">
        <v>BOND</v>
        <stp/>
        <stp>##V3_BDPV12</stp>
        <stp>BBG00RDBJ3B2 FIGI</stp>
        <stp>MIFID_ASSET_CLASS</stp>
        <stp>[DIF_Risk_20200430.xlsm]Geneva investment position repo!R34C19</stp>
        <tr r="S34" s="1"/>
      </tp>
      <tp t="s">
        <v>Real Estate Oper/Develop</v>
        <stp/>
        <stp>##V3_BDPV12</stp>
        <stp>BBG00PCCVDV7 FIGI</stp>
        <stp>INDUSTRY_SUBGROUP</stp>
        <stp>[DIF_Risk_20200430.xlsm]Geneva investment position repo!R76C41</stp>
        <tr r="AO76" s="1"/>
      </tp>
      <tp t="s">
        <v>Real Estate Oper/Develop</v>
        <stp/>
        <stp>##V3_BDPV12</stp>
        <stp>BBG00S0GV953 FIGI</stp>
        <stp>INDUSTRY_SUBGROUP</stp>
        <stp>[DIF_Risk_20200430.xlsm]Geneva investment position repo!R98C41</stp>
        <tr r="AO98" s="1"/>
      </tp>
      <tp t="s">
        <v>Ba3</v>
        <stp/>
        <stp>##V3_BDPV12</stp>
        <stp>BBG00PCCVDV7 FIGI</stp>
        <stp>RTG_MOODY</stp>
        <stp>[DIF_Risk_20200430.xlsm]Geneva investment position repo!R76C32</stp>
        <tr r="AF76" s="1"/>
        <tr r="AF76" s="1"/>
      </tp>
      <tp t="s">
        <v>#N/A N/A</v>
        <stp/>
        <stp>##V3_BDPV12</stp>
        <stp>BBG00S0GV953 FIGI</stp>
        <stp>RTG_MOODY</stp>
        <stp>[DIF_Risk_20200430.xlsm]Geneva investment position repo!R98C32</stp>
        <tr r="AF98" s="1"/>
      </tp>
      <tp t="s">
        <v>#N/A N/A</v>
        <stp/>
        <stp>##V3_BDPV12</stp>
        <stp>BBG00TFTG847 FIGI</stp>
        <stp>RTG_FITCH</stp>
        <stp>[DIF_Risk_20200430.xlsm]Geneva investment position repo!R117C33</stp>
        <tr r="AG117" s="1"/>
      </tp>
      <tp t="s">
        <v>#N/A N/A</v>
        <stp/>
        <stp>##V3_BDPV12</stp>
        <stp>BBG00RRMFK74 FIGI</stp>
        <stp>SP_EFF_DT</stp>
        <stp>[DIF_Risk_20200430.xlsm]Geneva investment position repo!R41C71</stp>
        <tr r="BS41" s="1"/>
      </tp>
      <tp t="s">
        <v>BOND</v>
        <stp/>
        <stp>##V3_BDPV12</stp>
        <stp>BBG00KKDSP44 FIGI</stp>
        <stp>MIFID_ASSET_CLASS</stp>
        <stp>[DIF_Risk_20200430.xlsm]Geneva investment position repo!R56C19</stp>
        <tr r="S56" s="1"/>
      </tp>
      <tp t="s">
        <v>BB-</v>
        <stp/>
        <stp>##V3_BDPV12</stp>
        <stp>BBG00PSJPXV8 FIGI</stp>
        <stp>RTG_FITCH</stp>
        <stp>[DIF_Risk_20200430.xlsm]Geneva investment position repo!R82C33</stp>
        <tr r="AG82" s="1"/>
        <tr r="AG82" s="1"/>
      </tp>
      <tp t="s">
        <v>Financial</v>
        <stp/>
        <stp>##V3_BDPV12</stp>
        <stp>BBG00S9HKR72 FIGI</stp>
        <stp>INDUSTRY_SECTOR</stp>
        <stp>[DIF_Risk_20200430.xlsm]Geneva investment position repo!R36C39</stp>
        <tr r="AM36" s="1"/>
      </tp>
      <tp t="s">
        <v>#N/A N/A</v>
        <stp/>
        <stp>##V3_BDPV12</stp>
        <stp>BBG00TDCM8F7 FIGI</stp>
        <stp>RTG_MOODY</stp>
        <stp>[DIF_Risk_20200430.xlsm]Geneva investment position repo!R38C32</stp>
        <tr r="AF38" s="1"/>
      </tp>
      <tp t="s">
        <v>SPECIAL PURPOSE</v>
        <stp/>
        <stp>##V3_BDPV12</stp>
        <stp>BBG00S9HKR72 FIGI</stp>
        <stp>ISSUER_INDUSTRY</stp>
        <stp>[DIF_Risk_20200430.xlsm]Geneva investment position repo!R36C52</stp>
        <tr r="AZ36" s="1"/>
      </tp>
      <tp t="s">
        <v>#N/A Field Not Applicable</v>
        <stp/>
        <stp>##V3_BDPV12</stp>
        <stp>BBG00PCCVDV7 FIGI</stp>
        <stp>GICS_SECTOR_NAME</stp>
        <stp>[DIF_Risk_20200430.xlsm]Geneva investment position repo!R76C51</stp>
        <tr r="AY76" s="1"/>
      </tp>
      <tp t="s">
        <v>Finance-Leasing Compan</v>
        <stp/>
        <stp>##V3_BDPV12</stp>
        <stp>BBG00TDCM8F7 FIGI</stp>
        <stp>INDUSTRY_SUBGROUP</stp>
        <stp>[DIF_Risk_20200430.xlsm]Geneva investment position repo!R38C41</stp>
        <tr r="AO38" s="1"/>
      </tp>
      <tp t="s">
        <v>BOND</v>
        <stp/>
        <stp>##V3_BDPV12</stp>
        <stp>BBG00RYDWX24 FIGI</stp>
        <stp>MIFID_ASSET_CLASS</stp>
        <stp>[DIF_Risk_20200430.xlsm]Geneva investment position repo!R85C19</stp>
        <tr r="S85" s="1"/>
      </tp>
      <tp t="s">
        <v>Oil Comp-Explor&amp;Prodtn</v>
        <stp/>
        <stp>##V3_BDPV12</stp>
        <stp>BBG00HDTX5P9 FIGI</stp>
        <stp>INDUSTRY_SUBGROUP</stp>
        <stp>[DIF_Risk_20200430.xlsm]Geneva investment position repo!R111C41</stp>
        <tr r="AO111" s="1"/>
      </tp>
      <tp t="s">
        <v>BBB</v>
        <stp/>
        <stp>##V3_BDPV12</stp>
        <stp>BBG00RYDYKF6 FIGI</stp>
        <stp>RTG_FITCH</stp>
        <stp>[DIF_Risk_20200430.xlsm]Geneva investment position repo!R89C33</stp>
        <tr r="AG89" s="1"/>
        <tr r="AG89" s="1"/>
      </tp>
      <tp t="s">
        <v>B</v>
        <stp/>
        <stp>##V3_BDPV12</stp>
        <stp>BBG00DXBXRD0 FIGI</stp>
        <stp>RTG_FITCH</stp>
        <stp>[DIF_Risk_20200430.xlsm]Geneva investment position repo!R93C33</stp>
        <tr r="AG93" s="1"/>
        <tr r="AG93" s="1"/>
      </tp>
      <tp t="s">
        <v>#N/A Field Not Applicable</v>
        <stp/>
        <stp>##V3_BDPV12</stp>
        <stp>BBG00PKGTF65 FIGI</stp>
        <stp>CAPITAL_TYP_COCO_INITIAL_TRIGGER</stp>
        <stp>[DIF_Risk_20200430.xlsm]Geneva investment position repo!R164C43</stp>
        <tr r="AQ164" s="1"/>
      </tp>
      <tp t="s">
        <v>#N/A Field Not Applicable</v>
        <stp/>
        <stp>##V3_BDPV12</stp>
        <stp>BBG00KMQKL04 FIGI</stp>
        <stp>BOND_CLASSIFICATION_NAME</stp>
        <stp>[DIF_Risk_20200430.xlsm]Geneva investment position repo!R169C53</stp>
        <tr r="BA169" s="1"/>
      </tp>
      <tp t="s">
        <v>B-</v>
        <stp/>
        <stp>##V3_BDPV12</stp>
        <stp>BBG00NQDZNG6 FIGI</stp>
        <stp>RTG_SP</stp>
        <stp>[DIF_Risk_20200430.xlsm]Geneva investment position repo!R178C31</stp>
        <tr r="AE178" s="1"/>
        <tr r="AE178" s="1"/>
      </tp>
      <tp t="s">
        <v>Real Estate</v>
        <stp/>
        <stp>##V3_BDPV12</stp>
        <stp>BBG00QRVV8P5 FIGI</stp>
        <stp>GICS_SECTOR_NAME</stp>
        <stp>[DIF_Risk_20200430.xlsm]Geneva investment position repo!R131C51</stp>
        <tr r="AY131" s="1"/>
      </tp>
      <tp t="s">
        <v>#N/A Field Not Applicable</v>
        <stp/>
        <stp>##V3_BDPV12</stp>
        <stp>BBG00NQDZNG6 FIGI</stp>
        <stp>CAPITAL_TYP_COCO_INITIAL_TRIGGER</stp>
        <stp>[DIF_Risk_20200430.xlsm]Geneva investment position repo!R178C43</stp>
        <tr r="AQ178" s="1"/>
      </tp>
      <tp t="s">
        <v>#N/A Field Not Applicable</v>
        <stp/>
        <stp>##V3_BDPV12</stp>
        <stp>BBG00H4BZMF0 FIGI</stp>
        <stp>CAPITAL_TYP_COCO_INITIAL_TRIGGER</stp>
        <stp>[DIF_Risk_20200430.xlsm]Geneva investment position repo!R130C43</stp>
        <tr r="AQ130" s="1"/>
      </tp>
      <tp t="s">
        <v>XS1976760782</v>
        <stp/>
        <stp>##V3_BDPV12</stp>
        <stp>BBG00NWVJPB7 FIGI</stp>
        <stp>ID_ISIN</stp>
        <stp>[DIF_Risk_20200430.xlsm]Geneva investment position repo!R141C63</stp>
        <tr r="BK141" s="1"/>
      </tp>
      <tp t="s">
        <v>Financial</v>
        <stp/>
        <stp>##V3_BDPV12</stp>
        <stp>BBG00QDN9PZ4 FIGI</stp>
        <stp>INDUSTRY_SECTOR</stp>
        <stp>[DIF_Risk_20200430.xlsm]Geneva investment position repo!R138C39</stp>
        <tr r="AM138" s="1"/>
      </tp>
      <tp t="s">
        <v>Oil&amp;Gas</v>
        <stp/>
        <stp>##V3_BDPV12</stp>
        <stp>BBG00RHHSFZ2 FIGI</stp>
        <stp>INDUSTRY_GROUP</stp>
        <stp>[DIF_Risk_20200430.xlsm]Geneva investment position repo!R122C40</stp>
        <tr r="AN122" s="1"/>
      </tp>
      <tp t="s">
        <v>Financial</v>
        <stp/>
        <stp>##V3_BDPV12</stp>
        <stp>BBG00NDM7WZ0 FIGI</stp>
        <stp>INDUSTRY_SECTOR</stp>
        <stp>[DIF_Risk_20200430.xlsm]Geneva investment position repo!R103C39</stp>
        <tr r="AM103" s="1"/>
      </tp>
      <tp t="s">
        <v>#N/A Field Not Applicable</v>
        <stp/>
        <stp>##V3_BDPV12</stp>
        <stp>BBG00S6SWBM6 FIGI</stp>
        <stp>BOND_CLASSIFICATION_NAME</stp>
        <stp>[DIF_Risk_20200430.xlsm]Geneva investment position repo!R158C53</stp>
        <tr r="BA158" s="1"/>
      </tp>
      <tp t="s">
        <v>Financials</v>
        <stp/>
        <stp>##V3_BDPV12</stp>
        <stp>BBG00TFTG847 FIGI</stp>
        <stp>GICS_SECTOR_NAME</stp>
        <stp>[DIF_Risk_20200430.xlsm]Geneva investment position repo!R117C51</stp>
        <tr r="AY117" s="1"/>
      </tp>
      <tp t="s">
        <v>#N/A Field Not Applicable</v>
        <stp/>
        <stp>##V3_BDPV12</stp>
        <stp>BBG00LNF6KZ5 FIGI</stp>
        <stp>CAPITAL_TYP_COCO_INITIAL_TRIGGER</stp>
        <stp>[DIF_Risk_20200430.xlsm]Geneva investment position repo!R144C43</stp>
        <tr r="AQ144" s="1"/>
      </tp>
      <tp t="s">
        <v>Real Estate</v>
        <stp/>
        <stp>##V3_BDPV12</stp>
        <stp>BBG00F2W1SP3 FIGI</stp>
        <stp>INDUSTRY_GROUP</stp>
        <stp>[DIF_Risk_20200430.xlsm]Geneva investment position repo!R105C40</stp>
        <tr r="AN105" s="1"/>
      </tp>
      <tp t="s">
        <v>XS1958110089</v>
        <stp/>
        <stp>##V3_BDPV12</stp>
        <stp>BBG00NG9L0S8 FIGI</stp>
        <stp>ID_ISIN</stp>
        <stp>[DIF_Risk_20200430.xlsm]Geneva investment position repo!R134C63</stp>
        <tr r="BK134" s="1"/>
      </tp>
      <tp t="s">
        <v>GOVT NATIONAL</v>
        <stp/>
        <stp>##V3_BDPV12</stp>
        <stp>BBG00PK1ZYS6 FIGI</stp>
        <stp>ISSUER_INDUSTRY</stp>
        <stp>[DIF_Risk_20200430.xlsm]Geneva investment position repo!R146C52</stp>
        <tr r="AZ146" s="1"/>
      </tp>
      <tp t="s">
        <v>ACTV</v>
        <stp/>
        <stp>##V3_BDPV12</stp>
        <stp>BBG00L07ZBX8 FIGI</stp>
        <stp>EXCH_MARKET_STATUS</stp>
        <stp>[DIF_Risk_20200430.xlsm]Geneva investment position repo!R66C44</stp>
        <tr r="AR66" s="1"/>
        <tr r="AR66" s="1"/>
      </tp>
      <tp t="s">
        <v>#N/A Field Not Applicable</v>
        <stp/>
        <stp>##V3_BDPV12</stp>
        <stp>BBG00F2W1SP3 FIGI</stp>
        <stp>BOND_CLASSIFICATION_NAME</stp>
        <stp>[DIF_Risk_20200430.xlsm]Geneva investment position repo!R105C53</stp>
        <tr r="BA105" s="1"/>
      </tp>
      <tp t="s">
        <v>Real Estate</v>
        <stp/>
        <stp>##V3_BDPV12</stp>
        <stp>BBG00RB0MG61 FIGI</stp>
        <stp>INDUSTRY_GROUP</stp>
        <stp>[DIF_Risk_20200430.xlsm]Geneva investment position repo!R100C40</stp>
        <tr r="AN100" s="1"/>
      </tp>
      <tp t="s">
        <v>Oil-Field Services</v>
        <stp/>
        <stp>##V3_BDPV12</stp>
        <stp>BBG00D2WYB33 FIGI</stp>
        <stp>INDUSTRY_SUBGROUP</stp>
        <stp>[DIF_Risk_20200430.xlsm]Geneva investment position repo!R126C41</stp>
        <tr r="AO126" s="1"/>
      </tp>
      <tp t="s">
        <v>Real Estate Oper/Develop</v>
        <stp/>
        <stp>##V3_BDPV12</stp>
        <stp>BBG00N6M20C8 FIGI</stp>
        <stp>INDUSTRY_SUBGROUP</stp>
        <stp>[DIF_Risk_20200430.xlsm]Geneva investment position repo!R79C41</stp>
        <tr r="AO79" s="1"/>
      </tp>
      <tp t="s">
        <v>Ba3</v>
        <stp/>
        <stp>##V3_BDPV12</stp>
        <stp>BBG00N6M20C8 FIGI</stp>
        <stp>RTG_MOODY</stp>
        <stp>[DIF_Risk_20200430.xlsm]Geneva investment position repo!R79C32</stp>
        <tr r="AF79" s="1"/>
        <tr r="AF79" s="1"/>
      </tp>
      <tp t="s">
        <v>Financial</v>
        <stp/>
        <stp>##V3_BDPV12</stp>
        <stp>BBG00SBW5S62 FIGI</stp>
        <stp>INDUSTRY_SECTOR</stp>
        <stp>[DIF_Risk_20200430.xlsm]Geneva investment position repo!R88C39</stp>
        <tr r="AM88" s="1"/>
      </tp>
      <tp t="s">
        <v>FINANCIAL</v>
        <stp/>
        <stp>##V3_BDPV12</stp>
        <stp>BBG00SBW5S62 FIGI</stp>
        <stp>ISSUER_INDUSTRY</stp>
        <stp>[DIF_Risk_20200430.xlsm]Geneva investment position repo!R88C52</stp>
        <tr r="AZ88" s="1"/>
      </tp>
      <tp t="s">
        <v>BOND</v>
        <stp/>
        <stp>##V3_BDPV12</stp>
        <stp>BBG00RYF5CJ7 FIGI</stp>
        <stp>MIFID_ASSET_CLASS</stp>
        <stp>[DIF_Risk_20200430.xlsm]Geneva investment position repo!R35C19</stp>
        <tr r="S35" s="1"/>
      </tp>
      <tp t="s">
        <v>BOND</v>
        <stp/>
        <stp>##V3_BDPV12</stp>
        <stp>BBG00KMRGS75 FIGI</stp>
        <stp>MIFID_ASSET_CLASS</stp>
        <stp>[DIF_Risk_20200430.xlsm]Geneva investment position repo!R152C19</stp>
        <tr r="S152" s="1"/>
      </tp>
      <tp t="s">
        <v>XS1823212904</v>
        <stp/>
        <stp>##V3_BDPV12</stp>
        <stp>BBG00L07ZBX8 FIGI</stp>
        <stp>ID_ISIN</stp>
        <stp>[DIF_Risk_20200430.xlsm]Geneva investment position repo!R66C63</stp>
        <tr r="BK66" s="1"/>
      </tp>
      <tp t="s">
        <v>BOND</v>
        <stp/>
        <stp>##V3_BDPV12</stp>
        <stp>BBG00TFTG847 FIGI</stp>
        <stp>MIFID_ASSET_CLASS</stp>
        <stp>[DIF_Risk_20200430.xlsm]Geneva investment position repo!R117C19</stp>
        <tr r="S117" s="1"/>
      </tp>
      <tp t="s">
        <v>#N/A Field Not Applicable</v>
        <stp/>
        <stp>##V3_BDPV12</stp>
        <stp>BBG00PSJPXV8 FIGI</stp>
        <stp>CAPITAL_TYP_COCO_INITIAL_TRIGGER</stp>
        <stp>[DIF_Risk_20200430.xlsm]Geneva investment position repo!R82C43</stp>
        <tr r="AQ82" s="1"/>
      </tp>
      <tp t="s">
        <v>A</v>
        <stp/>
        <stp>##V3_BDPV12</stp>
        <stp>BBG00KVGG4W4 FIGI</stp>
        <stp>RTG_FITCH</stp>
        <stp>[DIF_Risk_20200430.xlsm]Geneva investment position repo!R83C33</stp>
        <tr r="AG83" s="1"/>
        <tr r="AG83" s="1"/>
      </tp>
      <tp t="s">
        <v>#N/A Field Not Applicable</v>
        <stp/>
        <stp>##V3_BDPV12</stp>
        <stp>BBG00S0GV953 FIGI</stp>
        <stp>CAPITAL_TYP_COCO_INITIAL_TRIGGER</stp>
        <stp>[DIF_Risk_20200430.xlsm]Geneva investment position repo!R98C43</stp>
        <tr r="AQ98" s="1"/>
      </tp>
      <tp t="s">
        <v>#N/A N/A</v>
        <stp/>
        <stp>##V3_BDPV12</stp>
        <stp>BBG00LLFHRL5 FIGI</stp>
        <stp>RTG_FITCH</stp>
        <stp>[DIF_Risk_20200430.xlsm]Geneva investment position repo!R61C33</stp>
        <tr r="AG61" s="1"/>
      </tp>
      <tp t="s">
        <v>Water</v>
        <stp/>
        <stp>##V3_BDPV12</stp>
        <stp>BBG000BDW8M1 FIGI</stp>
        <stp>INDUSTRY_SUBGROUP</stp>
        <stp>[DIF_Risk_20200430.xlsm]Geneva investment position repo!R14C41</stp>
        <tr r="AO14" s="1"/>
      </tp>
      <tp t="s">
        <v>#N/A N/A</v>
        <stp/>
        <stp>##V3_BDPV12</stp>
        <stp>BBG00T6LY8D4 FIGI</stp>
        <stp>SP_EFF_DT</stp>
        <stp>[DIF_Risk_20200430.xlsm]Geneva investment position repo!R94C71</stp>
        <tr r="BS94" s="1"/>
      </tp>
      <tp t="s">
        <v>#N/A Field Not Applicable</v>
        <stp/>
        <stp>##V3_BDPV12</stp>
        <stp>BBG000BZWNT2 FIGI</stp>
        <stp>BOND_CLASSIFICATION_NAME</stp>
        <stp>[DIF_Risk_20200430.xlsm]Geneva investment position repo!R11C53</stp>
        <tr r="BA11" s="1"/>
      </tp>
      <tp t="s">
        <v>#N/A N/A</v>
        <stp/>
        <stp>##V3_BDPV12</stp>
        <stp>BBG00PMFP1T5 FIGI</stp>
        <stp>RTG_FITCH</stp>
        <stp>[DIF_Risk_20200430.xlsm]Geneva investment position repo!R52C33</stp>
        <tr r="AG52" s="1"/>
      </tp>
      <tp t="s">
        <v>Commer Banks Non-US</v>
        <stp/>
        <stp>##V3_BDPV12</stp>
        <stp>BBG00GSCY4N6 FIGI</stp>
        <stp>INDUSTRY_SUBGROUP</stp>
        <stp>[DIF_Risk_20200430.xlsm]Geneva investment position repo!R116C41</stp>
        <tr r="AO116" s="1"/>
      </tp>
      <tp t="s">
        <v>BOND</v>
        <stp/>
        <stp>##V3_BDPV12</stp>
        <stp>BBG00NV0G541 FIGI</stp>
        <stp>MIFID_ASSET_CLASS</stp>
        <stp>[DIF_Risk_20200430.xlsm]Geneva investment position repo!R165C19</stp>
        <tr r="S165" s="1"/>
      </tp>
      <tp t="s">
        <v>#N/A Field Not Applicable</v>
        <stp/>
        <stp>##V3_BDPV12</stp>
        <stp>BBG00DVX5HS1 FIGI</stp>
        <stp>CAPITAL_TYP_COCO_INITIAL_TRIGGER</stp>
        <stp>[DIF_Risk_20200430.xlsm]Geneva investment position repo!R44C43</stp>
        <tr r="AQ44" s="1"/>
      </tp>
      <tp t="s">
        <v>Financial</v>
        <stp/>
        <stp>##V3_BDPV12</stp>
        <stp>BBG00LVCWLT9 FIGI</stp>
        <stp>INDUSTRY_SECTOR</stp>
        <stp>[DIF_Risk_20200430.xlsm]Geneva investment position repo!R42C39</stp>
        <tr r="AM42" s="1"/>
      </tp>
      <tp t="s">
        <v>FINANCIAL</v>
        <stp/>
        <stp>##V3_BDPV12</stp>
        <stp>BBG00LVCWLT9 FIGI</stp>
        <stp>ISSUER_INDUSTRY</stp>
        <stp>[DIF_Risk_20200430.xlsm]Geneva investment position repo!R42C52</stp>
        <tr r="AZ42" s="1"/>
      </tp>
      <tp t="s">
        <v>Real Estate</v>
        <stp/>
        <stp>##V3_BDPV12</stp>
        <stp>BBG00PSJ40G0 FIGI</stp>
        <stp>GICS_SECTOR_NAME</stp>
        <stp>[DIF_Risk_20200430.xlsm]Geneva investment position repo!R97C51</stp>
        <tr r="AY97" s="1"/>
      </tp>
      <tp t="s">
        <v>BB-</v>
        <stp/>
        <stp>##V3_BDPV12</stp>
        <stp>BBG00QDN9PZ4 FIGI</stp>
        <stp>RTG_SP</stp>
        <stp>[DIF_Risk_20200430.xlsm]Geneva investment position repo!R138C31</stp>
        <tr r="AE138" s="1"/>
        <tr r="AE138" s="1"/>
      </tp>
      <tp t="s">
        <v>USY59515AA72</v>
        <stp/>
        <stp>##V3_BDPV12</stp>
        <stp>BBG00HDTX5P9 FIGI</stp>
        <stp>ID_ISIN</stp>
        <stp>[DIF_Risk_20200430.xlsm]Geneva investment position repo!R111C63</stp>
        <tr r="BK111" s="1"/>
      </tp>
      <tp t="s">
        <v>#N/A Field Not Applicable</v>
        <stp/>
        <stp>##V3_BDPV12</stp>
        <stp>BBG00PNSNLZ7 FIGI</stp>
        <stp>BOND_CLASSIFICATION_NAME</stp>
        <stp>[DIF_Risk_20200430.xlsm]Geneva investment position repo!R161C53</stp>
        <tr r="BA161" s="1"/>
      </tp>
      <tp t="s">
        <v>XS2120069047</v>
        <stp/>
        <stp>##V3_BDPV12</stp>
        <stp>BBG00RPXTTD1 FIGI</stp>
        <stp>ID_ISIN</stp>
        <stp>[DIF_Risk_20200430.xlsm]Geneva investment position repo!R137C63</stp>
        <tr r="BK137" s="1"/>
      </tp>
      <tp t="s">
        <v>XS2027426027</v>
        <stp/>
        <stp>##V3_BDPV12</stp>
        <stp>BBG00PNSNLZ7 FIGI</stp>
        <stp>ID_ISIN</stp>
        <stp>[DIF_Risk_20200430.xlsm]Geneva investment position repo!R161C63</stp>
        <tr r="BK161" s="1"/>
      </tp>
      <tp t="s">
        <v>#N/A Field Not Applicable</v>
        <stp/>
        <stp>##V3_BDPV12</stp>
        <stp>BBG00HPPFXF4 FIGI</stp>
        <stp>BOND_CLASSIFICATION_NAME</stp>
        <stp>[DIF_Risk_20200430.xlsm]Geneva investment position repo!R127C53</stp>
        <tr r="BA127" s="1"/>
      </tp>
      <tp t="s">
        <v>XS2121187962</v>
        <stp/>
        <stp>##V3_BDPV12</stp>
        <stp>BBG00RPXWXD8 FIGI</stp>
        <stp>ID_ISIN</stp>
        <stp>[DIF_Risk_20200430.xlsm]Geneva investment position repo!R173C63</stp>
        <tr r="BK173" s="1"/>
      </tp>
      <tp t="s">
        <v>#N/A Field Not Applicable</v>
        <stp/>
        <stp>##V3_BDPV12</stp>
        <stp>BBG00K6FDF25 FIGI</stp>
        <stp>CAPITAL_TYP_COCO_INITIAL_TRIGGER</stp>
        <stp>[DIF_Risk_20200430.xlsm]Geneva investment position repo!R101C43</stp>
        <tr r="AQ101" s="1"/>
      </tp>
      <tp t="s">
        <v>#N/A Field Not Applicable</v>
        <stp/>
        <stp>##V3_BDPV12</stp>
        <stp>BBG00D2WYB33 FIGI</stp>
        <stp>BOND_CLASSIFICATION_NAME</stp>
        <stp>[DIF_Risk_20200430.xlsm]Geneva investment position repo!R126C53</stp>
        <tr r="BA126" s="1"/>
      </tp>
      <tp t="s">
        <v>FINANCIAL</v>
        <stp/>
        <stp>##V3_BDPV12</stp>
        <stp>BBG00LJTVJR4 FIGI</stp>
        <stp>ISSUER_INDUSTRY</stp>
        <stp>[DIF_Risk_20200430.xlsm]Geneva investment position repo!R154C52</stp>
        <tr r="AZ154" s="1"/>
      </tp>
      <tp t="s">
        <v>XS1856024432</v>
        <stp/>
        <stp>##V3_BDPV12</stp>
        <stp>BBG00LNF6KZ5 FIGI</stp>
        <stp>ID_ISIN</stp>
        <stp>[DIF_Risk_20200430.xlsm]Geneva investment position repo!R144C63</stp>
        <tr r="BK144" s="1"/>
      </tp>
      <tp t="s">
        <v>ACTV</v>
        <stp/>
        <stp>##V3_BDPV12</stp>
        <stp>BBG00RYDYKF6 FIGI</stp>
        <stp>EXCH_MARKET_STATUS</stp>
        <stp>[DIF_Risk_20200430.xlsm]Geneva investment position repo!R89C44</stp>
        <tr r="AR89" s="1"/>
        <tr r="AR89" s="1"/>
      </tp>
      <tp t="s">
        <v>XS1728036952</v>
        <stp/>
        <stp>##V3_BDPV12</stp>
        <stp>BBG00JC8V4T3 FIGI</stp>
        <stp>ID_ISIN</stp>
        <stp>[DIF_Risk_20200430.xlsm]Geneva investment position repo!R176C63</stp>
        <tr r="BK176" s="1"/>
      </tp>
      <tp t="s">
        <v>#N/A Field Not Applicable</v>
        <stp/>
        <stp>##V3_BDPV12</stp>
        <stp>BBG00NGF27D6 FIGI</stp>
        <stp>CAPITAL_TYP_COCO_INITIAL_TRIGGER</stp>
        <stp>[DIF_Risk_20200430.xlsm]Geneva investment position repo!R114C43</stp>
        <tr r="AQ114" s="1"/>
      </tp>
      <tp t="s">
        <v>ACTV</v>
        <stp/>
        <stp>##V3_BDPV12</stp>
        <stp>BBG00M5BYXF5 FIGI</stp>
        <stp>EXCH_MARKET_STATUS</stp>
        <stp>[DIF_Risk_20200430.xlsm]Geneva investment position repo!R32C44</stp>
        <tr r="AR32" s="1"/>
        <tr r="AR32" s="1"/>
      </tp>
      <tp t="s">
        <v>ACTV</v>
        <stp/>
        <stp>##V3_BDPV12</stp>
        <stp>BBG00T6LYC72 FIGI</stp>
        <stp>EXCH_MARKET_STATUS</stp>
        <stp>[DIF_Risk_20200430.xlsm]Geneva investment position repo!R95C44</stp>
        <tr r="AR95" s="1"/>
        <tr r="AR95" s="1"/>
      </tp>
      <tp t="s">
        <v>B-</v>
        <stp/>
        <stp>##V3_BDPV12</stp>
        <stp>BBG00N9X3LW2 FIGI</stp>
        <stp>RTG_SP</stp>
        <stp>[DIF_Risk_20200430.xlsm]Geneva investment position repo!R180C31</stp>
        <tr r="AE180" s="1"/>
        <tr r="AE180" s="1"/>
      </tp>
      <tp t="s">
        <v>Banks</v>
        <stp/>
        <stp>##V3_BDPV12</stp>
        <stp>BBG00PKD4F69 FIGI</stp>
        <stp>INDUSTRY_GROUP</stp>
        <stp>[DIF_Risk_20200430.xlsm]Geneva investment position repo!R145C40</stp>
        <tr r="AN145" s="1"/>
      </tp>
      <tp t="s">
        <v>Computers</v>
        <stp/>
        <stp>##V3_BDPV12</stp>
        <stp>BBG00PKGTF65 FIGI</stp>
        <stp>INDUSTRY_GROUP</stp>
        <stp>[DIF_Risk_20200430.xlsm]Geneva investment position repo!R164C40</stp>
        <tr r="AN164" s="1"/>
      </tp>
      <tp t="s">
        <v>ACTV</v>
        <stp/>
        <stp>##V3_BDPV12</stp>
        <stp>BBG00RPNYQB5 FIGI</stp>
        <stp>EXCH_MARKET_STATUS</stp>
        <stp>[DIF_Risk_20200430.xlsm]Geneva investment position repo!R47C44</stp>
        <tr r="AR47" s="1"/>
        <tr r="AR47" s="1"/>
      </tp>
      <tp t="s">
        <v>Lodging</v>
        <stp/>
        <stp>##V3_BDPV12</stp>
        <stp>BBG00P1GZFC2 FIGI</stp>
        <stp>INDUSTRY_GROUP</stp>
        <stp>[DIF_Risk_20200430.xlsm]Geneva investment position repo!R112C40</stp>
        <tr r="AN112" s="1"/>
      </tp>
      <tp t="s">
        <v>BOND</v>
        <stp/>
        <stp>##V3_BDPV12</stp>
        <stp>BBG00K6FDF25 FIGI</stp>
        <stp>MIFID_ASSET_CLASS</stp>
        <stp>[DIF_Risk_20200430.xlsm]Geneva investment position repo!R101C19</stp>
        <tr r="S101" s="1"/>
      </tp>
      <tp t="s">
        <v>Real Estate Oper/Develop</v>
        <stp/>
        <stp>##V3_BDPV12</stp>
        <stp>BBG00H4BZMF0 FIGI</stp>
        <stp>INDUSTRY_SUBGROUP</stp>
        <stp>[DIF_Risk_20200430.xlsm]Geneva investment position repo!R130C41</stp>
        <tr r="AO130" s="1"/>
      </tp>
      <tp t="s">
        <v>BOND</v>
        <stp/>
        <stp>##V3_BDPV12</stp>
        <stp>BBG00N2KDB12 FIGI</stp>
        <stp>MIFID_ASSET_CLASS</stp>
        <stp>[DIF_Risk_20200430.xlsm]Geneva investment position repo!R174C19</stp>
        <tr r="S174" s="1"/>
      </tp>
      <tp t="s">
        <v>4/1/2019</v>
        <stp/>
        <stp>##V3_BDPV12</stp>
        <stp>BBG00LJTVJR4 FIGI</stp>
        <stp>SP_EFF_DT</stp>
        <stp>[DIF_Risk_20200430.xlsm]Geneva investment position repo!R154C71</stp>
        <tr r="BS154" s="1"/>
      </tp>
      <tp t="s">
        <v>#N/A N/A</v>
        <stp/>
        <stp>##V3_BDPV12</stp>
        <stp>BBG00TJ8VS75 FIGI</stp>
        <stp>SP_EFF_DT</stp>
        <stp>[DIF_Risk_20200430.xlsm]Geneva investment position repo!R167C71</stp>
        <tr r="BS167" s="1"/>
      </tp>
      <tp t="s">
        <v>#N/A N/A</v>
        <stp/>
        <stp>##V3_BDPV12</stp>
        <stp>BBG00R9LVRX4 FIGI</stp>
        <stp>SP_EFF_DT</stp>
        <stp>[DIF_Risk_20200430.xlsm]Geneva investment position repo!R172C71</stp>
        <tr r="BS172" s="1"/>
      </tp>
      <tp t="s">
        <v>Real Estate Oper/Develop</v>
        <stp/>
        <stp>##V3_BDPV12</stp>
        <stp>BBG00NQDZNG6 FIGI</stp>
        <stp>INDUSTRY_SUBGROUP</stp>
        <stp>[DIF_Risk_20200430.xlsm]Geneva investment position repo!R178C41</stp>
        <tr r="AO178" s="1"/>
      </tp>
      <tp t="s">
        <v>INDUSTRIAL</v>
        <stp/>
        <stp>##V3_BDPV12</stp>
        <stp>BBG00QJ3FR72 FIGI</stp>
        <stp>ISSUER_INDUSTRY</stp>
        <stp>[DIF_Risk_20200430.xlsm]Geneva investment position repo!R37C52</stp>
        <tr r="AZ37" s="1"/>
      </tp>
      <tp t="s">
        <v>Communications</v>
        <stp/>
        <stp>##V3_BDPV12</stp>
        <stp>BBG00QJ3FR72 FIGI</stp>
        <stp>INDUSTRY_SECTOR</stp>
        <stp>[DIF_Risk_20200430.xlsm]Geneva investment position repo!R37C39</stp>
        <tr r="AM37" s="1"/>
      </tp>
      <tp t="s">
        <v>Real Estate Oper/Develop</v>
        <stp/>
        <stp>##V3_BDPV12</stp>
        <stp>BBG00HC2ZDQ9 FIGI</stp>
        <stp>INDUSTRY_SUBGROUP</stp>
        <stp>[DIF_Risk_20200430.xlsm]Geneva investment position repo!R151C41</stp>
        <tr r="AO151" s="1"/>
      </tp>
      <tp t="s">
        <v>Sovereign</v>
        <stp/>
        <stp>##V3_BDPV12</stp>
        <stp>BBG00PK1ZYS6 FIGI</stp>
        <stp>INDUSTRY_SUBGROUP</stp>
        <stp>[DIF_Risk_20200430.xlsm]Geneva investment position repo!R146C41</stp>
        <tr r="AO146" s="1"/>
      </tp>
      <tp t="s">
        <v>#N/A N/A</v>
        <stp/>
        <stp>##V3_BDPV12</stp>
        <stp>BBG00N2K8LG0 FIGI</stp>
        <stp>SP_EFF_DT</stp>
        <stp>[DIF_Risk_20200430.xlsm]Geneva investment position repo!R43C71</stp>
        <tr r="BS43" s="1"/>
      </tp>
      <tp t="s">
        <v>Finance-Other Services</v>
        <stp/>
        <stp>##V3_BDPV12</stp>
        <stp>BBG000BGW354 FIGI</stp>
        <stp>ISSUER_INDUSTRY</stp>
        <stp>[DIF_Risk_20200430.xlsm]Geneva investment position repo!R17C52</stp>
        <tr r="AZ17" s="1"/>
      </tp>
      <tp t="s">
        <v>BOND</v>
        <stp/>
        <stp>##V3_BDPV12</stp>
        <stp>BBG00B6SDBV4 FIGI</stp>
        <stp>MIFID_ASSET_CLASS</stp>
        <stp>[DIF_Risk_20200430.xlsm]Geneva investment position repo!R115C19</stp>
        <tr r="S115" s="1"/>
      </tp>
      <tp t="s">
        <v>Financial</v>
        <stp/>
        <stp>##V3_BDPV12</stp>
        <stp>BBG000BGW354 FIGI</stp>
        <stp>INDUSTRY_SECTOR</stp>
        <stp>[DIF_Risk_20200430.xlsm]Geneva investment position repo!R17C39</stp>
        <tr r="AM17" s="1"/>
      </tp>
      <tp t="s">
        <v>#N/A Field Not Applicable</v>
        <stp/>
        <stp>##V3_BDPV12</stp>
        <stp>BBG00NV886P8 FIGI</stp>
        <stp>CAPITAL_TYP_COCO_INITIAL_TRIGGER</stp>
        <stp>[DIF_Risk_20200430.xlsm]Geneva investment position repo!R72C43</stp>
        <tr r="AQ72" s="1"/>
      </tp>
      <tp t="s">
        <v>BOND</v>
        <stp/>
        <stp>##V3_BDPV12</stp>
        <stp>BBG00NBG3YQ5 FIGI</stp>
        <stp>MIFID_ASSET_CLASS</stp>
        <stp>[DIF_Risk_20200430.xlsm]Geneva investment position repo!R91C19</stp>
        <tr r="S91" s="1"/>
      </tp>
      <tp t="s">
        <v>Casino Hotels</v>
        <stp/>
        <stp>##V3_BDPV12</stp>
        <stp>BBG00P1GZFC2 FIGI</stp>
        <stp>INDUSTRY_SUBGROUP</stp>
        <stp>[DIF_Risk_20200430.xlsm]Geneva investment position repo!R112C41</stp>
        <tr r="AO112" s="1"/>
      </tp>
      <tp t="s">
        <v>BOND</v>
        <stp/>
        <stp>##V3_BDPV12</stp>
        <stp>BBG00CNK44T9 FIGI</stp>
        <stp>MIFID_ASSET_CLASS</stp>
        <stp>[DIF_Risk_20200430.xlsm]Geneva investment position repo!R45C19</stp>
        <tr r="S45" s="1"/>
      </tp>
      <tp t="s">
        <v>BOND</v>
        <stp/>
        <stp>##V3_BDPV12</stp>
        <stp>BBG00SXGDG60 FIGI</stp>
        <stp>MIFID_ASSET_CLASS</stp>
        <stp>[DIF_Risk_20200430.xlsm]Geneva investment position repo!R120C19</stp>
        <tr r="S120" s="1"/>
      </tp>
      <tp t="s">
        <v>Communications</v>
        <stp/>
        <stp>##V3_BDPV12</stp>
        <stp>BBG00226B1T3 FIGI</stp>
        <stp>INDUSTRY_SECTOR</stp>
        <stp>[DIF_Risk_20200430.xlsm]Geneva investment position repo!R16C39</stp>
        <tr r="AM16" s="1"/>
      </tp>
      <tp t="s">
        <v>Telecom Services</v>
        <stp/>
        <stp>##V3_BDPV12</stp>
        <stp>BBG00226B1T3 FIGI</stp>
        <stp>ISSUER_INDUSTRY</stp>
        <stp>[DIF_Risk_20200430.xlsm]Geneva investment position repo!R16C52</stp>
        <tr r="AZ16" s="1"/>
      </tp>
      <tp t="s">
        <v>1/13/2020</v>
        <stp/>
        <stp>##V3_BDPV12</stp>
        <stp>BBG00RD4VH41 FIGI</stp>
        <stp>SP_EFF_DT</stp>
        <stp>[DIF_Risk_20200430.xlsm]Geneva investment position repo!R106C71</stp>
        <tr r="BS106" s="1"/>
      </tp>
      <tp t="s">
        <v>TELEPHONE</v>
        <stp/>
        <stp>##V3_BDPV12</stp>
        <stp>BBG00RPJBQ56 FIGI</stp>
        <stp>ISSUER_INDUSTRY</stp>
        <stp>[DIF_Risk_20200430.xlsm]Geneva investment position repo!R27C52</stp>
        <tr r="AZ27" s="1"/>
      </tp>
      <tp t="s">
        <v>Communications</v>
        <stp/>
        <stp>##V3_BDPV12</stp>
        <stp>BBG00RPJBQ56 FIGI</stp>
        <stp>INDUSTRY_SECTOR</stp>
        <stp>[DIF_Risk_20200430.xlsm]Geneva investment position repo!R27C39</stp>
        <tr r="AM27" s="1"/>
      </tp>
      <tp t="s">
        <v>#N/A Field Not Applicable</v>
        <stp/>
        <stp>##V3_BDPV12</stp>
        <stp>BBG00RDBJ3B2 FIGI</stp>
        <stp>CAPITAL_TYP_COCO_INITIAL_TRIGGER</stp>
        <stp>[DIF_Risk_20200430.xlsm]Geneva investment position repo!R34C43</stp>
        <tr r="AQ34" s="1"/>
      </tp>
      <tp t="s">
        <v>#N/A N/A</v>
        <stp/>
        <stp>##V3_BDPV12</stp>
        <stp>BBG00QRVV6Z8 FIGI</stp>
        <stp>SP_EFF_DT</stp>
        <stp>[DIF_Risk_20200430.xlsm]Geneva investment position repo!R155C71</stp>
        <tr r="BS155" s="1"/>
      </tp>
      <tp t="s">
        <v>#N/A N/A</v>
        <stp/>
        <stp>##V3_BDPV12</stp>
        <stp>BBG00LVCGFZ3 FIGI</stp>
        <stp>RTG_FITCH</stp>
        <stp>[DIF_Risk_20200430.xlsm]Geneva investment position repo!R77C33</stp>
        <tr r="AG77" s="1"/>
      </tp>
      <tp t="s">
        <v>Industrial</v>
        <stp/>
        <stp>##V3_BDPV12</stp>
        <stp>BBG00RPNYQB5 FIGI</stp>
        <stp>INDUSTRY_SECTOR</stp>
        <stp>[DIF_Risk_20200430.xlsm]Geneva investment position repo!R47C39</stp>
        <tr r="AM47" s="1"/>
      </tp>
      <tp t="s">
        <v>#N/A N/A</v>
        <stp/>
        <stp>##V3_BDPV12</stp>
        <stp>BBG00RDBJ3B2 FIGI</stp>
        <stp>RTG_FITCH</stp>
        <stp>[DIF_Risk_20200430.xlsm]Geneva investment position repo!R34C33</stp>
        <tr r="AG34" s="1"/>
      </tp>
      <tp t="s">
        <v>SPECIAL PURPOSE</v>
        <stp/>
        <stp>##V3_BDPV12</stp>
        <stp>BBG00RPNYQB5 FIGI</stp>
        <stp>ISSUER_INDUSTRY</stp>
        <stp>[DIF_Risk_20200430.xlsm]Geneva investment position repo!R47C52</stp>
        <tr r="AZ47" s="1"/>
      </tp>
      <tp t="s">
        <v>#N/A N/A</v>
        <stp/>
        <stp>##V3_BDPV12</stp>
        <stp>BBG00RPNYQB5 FIGI</stp>
        <stp>SP_EFF_DT</stp>
        <stp>[DIF_Risk_20200430.xlsm]Geneva investment position repo!R47C71</stp>
        <tr r="BS47" s="1"/>
      </tp>
      <tp t="s">
        <v>#N/A N/A</v>
        <stp/>
        <stp>##V3_BDPV12</stp>
        <stp>BBG00QRVV8P5 FIGI</stp>
        <stp>SP_EFF_DT</stp>
        <stp>[DIF_Risk_20200430.xlsm]Geneva investment position repo!R131C71</stp>
        <tr r="BS131" s="1"/>
      </tp>
      <tp t="s">
        <v>BB</v>
        <stp/>
        <stp>##V3_BDPV12</stp>
        <stp>BBG00KKDSP44 FIGI</stp>
        <stp>RTG_FITCH</stp>
        <stp>[DIF_Risk_20200430.xlsm]Geneva investment position repo!R56C33</stp>
        <tr r="AG56" s="1"/>
        <tr r="AG56" s="1"/>
      </tp>
      <tp t="s">
        <v>BOND</v>
        <stp/>
        <stp>##V3_BDPV12</stp>
        <stp>BBG00PSJPXV8 FIGI</stp>
        <stp>MIFID_ASSET_CLASS</stp>
        <stp>[DIF_Risk_20200430.xlsm]Geneva investment position repo!R82C19</stp>
        <tr r="S82" s="1"/>
      </tp>
      <tp t="s">
        <v>Baa1</v>
        <stp/>
        <stp>##V3_BDPV12</stp>
        <stp>BBG00RYGHZS1 FIGI</stp>
        <stp>RTG_MOODY</stp>
        <stp>[DIF_Risk_20200430.xlsm]Geneva investment position repo!R51C32</stp>
        <tr r="AF51" s="1"/>
        <tr r="AF51" s="1"/>
      </tp>
      <tp t="s">
        <v>Real Estate Oper/Develop</v>
        <stp/>
        <stp>##V3_BDPV12</stp>
        <stp>BBG00RYGHZS1 FIGI</stp>
        <stp>INDUSTRY_SUBGROUP</stp>
        <stp>[DIF_Risk_20200430.xlsm]Geneva investment position repo!R51C41</stp>
        <tr r="AO51" s="1"/>
      </tp>
      <tp t="s">
        <v>4/6/2020</v>
        <stp/>
        <stp>##V3_BDPV12</stp>
        <stp>BBG00SYNG075 FIGI</stp>
        <stp>SP_EFF_DT</stp>
        <stp>[DIF_Risk_20200430.xlsm]Geneva investment position repo!R40C71</stp>
        <tr r="BS40" s="1"/>
      </tp>
      <tp t="s">
        <v>#N/A Field Not Applicable</v>
        <stp/>
        <stp>##V3_BDPV12</stp>
        <stp>BBG00PCCVDV7 FIGI</stp>
        <stp>BOND_CLASSIFICATION_NAME</stp>
        <stp>[DIF_Risk_20200430.xlsm]Geneva investment position repo!R76C53</stp>
        <tr r="BA76" s="1"/>
      </tp>
      <tp t="s">
        <v>B+</v>
        <stp/>
        <stp>##V3_BDPV12</stp>
        <stp>BBG00RYDWX24 FIGI</stp>
        <stp>RTG_FITCH</stp>
        <stp>[DIF_Risk_20200430.xlsm]Geneva investment position repo!R85C33</stp>
        <tr r="AG85" s="1"/>
        <tr r="AG85" s="1"/>
      </tp>
      <tp t="s">
        <v>EQUI</v>
        <stp/>
        <stp>##V3_BDPV12</stp>
        <stp>BBG000BDV566 FIGI</stp>
        <stp>MIFID_ASSET_CLASS</stp>
        <stp>[DIF_Risk_20200430.xlsm]Geneva investment position repo!R13C19</stp>
        <tr r="S13" s="1"/>
      </tp>
      <tp t="s">
        <v>BOND</v>
        <stp/>
        <stp>##V3_BDPV12</stp>
        <stp>BBG00DXBXRD0 FIGI</stp>
        <stp>MIFID_ASSET_CLASS</stp>
        <stp>[DIF_Risk_20200430.xlsm]Geneva investment position repo!R93C19</stp>
        <tr r="S93" s="1"/>
      </tp>
      <tp t="s">
        <v>BOND</v>
        <stp/>
        <stp>##V3_BDPV12</stp>
        <stp>BBG00RYDYKF6 FIGI</stp>
        <stp>MIFID_ASSET_CLASS</stp>
        <stp>[DIF_Risk_20200430.xlsm]Geneva investment position repo!R89C19</stp>
        <tr r="S89" s="1"/>
      </tp>
      <tp t="s">
        <v>#N/A N/A</v>
        <stp/>
        <stp>##V3_BDPV12</stp>
        <stp>BBG00JC8V4T3 FIGI</stp>
        <stp>SP_EFF_DT</stp>
        <stp>[DIF_Risk_20200430.xlsm]Geneva investment position repo!R176C71</stp>
        <tr r="BS176" s="1"/>
      </tp>
      <tp t="s">
        <v>#N/A Field Not Applicable</v>
        <stp/>
        <stp>##V3_BDPV12</stp>
        <stp>BBG00PKGT0Y7 FIGI</stp>
        <stp>CAPITAL_TYP_COCO_INITIAL_TRIGGER</stp>
        <stp>[DIF_Risk_20200430.xlsm]Geneva investment position repo!R166C43</stp>
        <tr r="AQ166" s="1"/>
      </tp>
      <tp t="s">
        <v>#N/A Field Not Applicable</v>
        <stp/>
        <stp>##V3_BDPV12</stp>
        <stp>BBG00THTNZZ3 FIGI</stp>
        <stp>BOND_CLASSIFICATION_NAME</stp>
        <stp>[DIF_Risk_20200430.xlsm]Geneva investment position repo!R125C53</stp>
        <tr r="BA125" s="1"/>
      </tp>
      <tp t="s">
        <v>#N/A Field Not Applicable</v>
        <stp/>
        <stp>##V3_BDPV12</stp>
        <stp>BBG00KMRGS75 FIGI</stp>
        <stp>BOND_CLASSIFICATION_NAME</stp>
        <stp>[DIF_Risk_20200430.xlsm]Geneva investment position repo!R152C53</stp>
        <tr r="BA152" s="1"/>
      </tp>
      <tp t="s">
        <v>#N/A Field Not Applicable</v>
        <stp/>
        <stp>##V3_BDPV12</stp>
        <stp>BBG00B6SDBV4 FIGI</stp>
        <stp>BOND_CLASSIFICATION_NAME</stp>
        <stp>[DIF_Risk_20200430.xlsm]Geneva investment position repo!R115C53</stp>
        <tr r="BA115" s="1"/>
      </tp>
      <tp t="s">
        <v>Real Estate</v>
        <stp/>
        <stp>##V3_BDPV12</stp>
        <stp>BBG00NWVJPB7 FIGI</stp>
        <stp>GICS_SECTOR_NAME</stp>
        <stp>[DIF_Risk_20200430.xlsm]Geneva investment position repo!R141C51</stp>
        <tr r="AY141" s="1"/>
      </tp>
      <tp t="s">
        <v>ACTV</v>
        <stp/>
        <stp>##V3_BDPV12</stp>
        <stp>BBG00T6LY8D4 FIGI</stp>
        <stp>EXCH_MARKET_STATUS</stp>
        <stp>[DIF_Risk_20200430.xlsm]Geneva investment position repo!R94C44</stp>
        <tr r="AR94" s="1"/>
        <tr r="AR94" s="1"/>
      </tp>
      <tp t="s">
        <v>Real Estate</v>
        <stp/>
        <stp>##V3_BDPV12</stp>
        <stp>BBG00NB7HXS0 FIGI</stp>
        <stp>INDUSTRY_GROUP</stp>
        <stp>[DIF_Risk_20200430.xlsm]Geneva investment position repo!R143C40</stp>
        <tr r="AN143" s="1"/>
      </tp>
      <tp t="s">
        <v>#N/A Field Not Applicable</v>
        <stp/>
        <stp>##V3_BDPV12</stp>
        <stp>BBG00T5WB7F6 FIGI</stp>
        <stp>GICS_SECTOR_NAME</stp>
        <stp>[DIF_Risk_20200430.xlsm]Geneva investment position repo!R123C51</stp>
        <tr r="AY123" s="1"/>
      </tp>
      <tp t="s">
        <v>Energy</v>
        <stp/>
        <stp>##V3_BDPV12</stp>
        <stp>BBG00JVKTCJ1 FIGI</stp>
        <stp>INDUSTRY_SECTOR</stp>
        <stp>[DIF_Risk_20200430.xlsm]Geneva investment position repo!R110C39</stp>
        <tr r="AM110" s="1"/>
      </tp>
      <tp t="s">
        <v>ACTV</v>
        <stp/>
        <stp>##V3_BDPV12</stp>
        <stp>BBG00Q3NXL14 FIGI</stp>
        <stp>EXCH_MARKET_STATUS</stp>
        <stp>[DIF_Risk_20200430.xlsm]Geneva investment position repo!R59C44</stp>
        <tr r="AR59" s="1"/>
        <tr r="AR59" s="1"/>
      </tp>
      <tp t="s">
        <v>ACTV</v>
        <stp/>
        <stp>##V3_BDPV12</stp>
        <stp>BBG00RTNXBH9 FIGI</stp>
        <stp>EXCH_MARKET_STATUS</stp>
        <stp>[DIF_Risk_20200430.xlsm]Geneva investment position repo!R69C44</stp>
        <tr r="AR69" s="1"/>
        <tr r="AR69" s="1"/>
      </tp>
      <tp t="s">
        <v>ACTV</v>
        <stp/>
        <stp>##V3_BDPV12</stp>
        <stp>BBG00DXBXRD0 FIGI</stp>
        <stp>EXCH_MARKET_STATUS</stp>
        <stp>[DIF_Risk_20200430.xlsm]Geneva investment position repo!R93C44</stp>
        <tr r="AR93" s="1"/>
        <tr r="AR93" s="1"/>
      </tp>
      <tp t="s">
        <v>#N/A Field Not Applicable</v>
        <stp/>
        <stp>##V3_BDPV12</stp>
        <stp>BBG00MTS9QX5 FIGI</stp>
        <stp>BOND_CLASSIFICATION_NAME</stp>
        <stp>[DIF_Risk_20200430.xlsm]Geneva investment position repo!R157C53</stp>
        <tr r="BA157" s="1"/>
      </tp>
      <tp t="s">
        <v>#N/A N/A</v>
        <stp/>
        <stp>##V3_BDPV12</stp>
        <stp>BBG00PSJ40G0 FIGI</stp>
        <stp>SP_EFF_DT</stp>
        <stp>[DIF_Risk_20200430.xlsm]Geneva investment position repo!R97C71</stp>
        <tr r="BS97" s="1"/>
      </tp>
      <tp t="s">
        <v>#N/A N/A</v>
        <stp/>
        <stp>##V3_BDPV12</stp>
        <stp>BBG00MKJ4690 FIGI</stp>
        <stp>SP_EFF_DT</stp>
        <stp>[DIF_Risk_20200430.xlsm]Geneva investment position repo!R54C71</stp>
        <tr r="BS54" s="1"/>
      </tp>
      <tp t="s">
        <v>A-</v>
        <stp/>
        <stp>##V3_BDPV12</stp>
        <stp>BBG00SXGDG60 FIGI</stp>
        <stp>RTG_FITCH</stp>
        <stp>[DIF_Risk_20200430.xlsm]Geneva investment position repo!R120C33</stp>
        <tr r="AG120" s="1"/>
        <tr r="AG120" s="1"/>
      </tp>
      <tp t="s">
        <v>#N/A N/A</v>
        <stp/>
        <stp>##V3_BDPV12</stp>
        <stp>BBG00RPXWXD8 FIGI</stp>
        <stp>SP_EFF_DT</stp>
        <stp>[DIF_Risk_20200430.xlsm]Geneva investment position repo!R173C71</stp>
        <tr r="BS173" s="1"/>
      </tp>
      <tp t="s">
        <v>FINANCIAL</v>
        <stp/>
        <stp>##V3_BDPV12</stp>
        <stp>BBG00N2K8LG0 FIGI</stp>
        <stp>ISSUER_INDUSTRY</stp>
        <stp>[DIF_Risk_20200430.xlsm]Geneva investment position repo!R43C52</stp>
        <tr r="AZ43" s="1"/>
      </tp>
      <tp t="s">
        <v>Financial</v>
        <stp/>
        <stp>##V3_BDPV12</stp>
        <stp>BBG00N2K8LG0 FIGI</stp>
        <stp>INDUSTRY_SECTOR</stp>
        <stp>[DIF_Risk_20200430.xlsm]Geneva investment position repo!R43C39</stp>
        <tr r="AM43" s="1"/>
      </tp>
      <tp t="s">
        <v>BB</v>
        <stp/>
        <stp>##V3_BDPV12</stp>
        <stp>BBG00K6FDF25 FIGI</stp>
        <stp>RTG_FITCH</stp>
        <stp>[DIF_Risk_20200430.xlsm]Geneva investment position repo!R101C33</stp>
        <tr r="AG101" s="1"/>
        <tr r="AG101" s="1"/>
      </tp>
      <tp t="s">
        <v>BB-</v>
        <stp/>
        <stp>##V3_BDPV12</stp>
        <stp>BBG00N2KDB12 FIGI</stp>
        <stp>RTG_FITCH</stp>
        <stp>[DIF_Risk_20200430.xlsm]Geneva investment position repo!R174C33</stp>
        <tr r="AG174" s="1"/>
        <tr r="AG174" s="1"/>
      </tp>
      <tp t="s">
        <v>SPECIAL PURPOSE</v>
        <stp/>
        <stp>##V3_BDPV12</stp>
        <stp>BBG00H5KNJZ7 FIGI</stp>
        <stp>ISSUER_INDUSTRY</stp>
        <stp>[DIF_Risk_20200430.xlsm]Geneva investment position repo!R80C52</stp>
        <tr r="AZ80" s="1"/>
      </tp>
      <tp t="s">
        <v>#N/A N/A</v>
        <stp/>
        <stp>##V3_BDPV12</stp>
        <stp>BBG00S6SWBM6 FIGI</stp>
        <stp>SP_EFF_DT</stp>
        <stp>[DIF_Risk_20200430.xlsm]Geneva investment position repo!R158C71</stp>
        <tr r="BS158" s="1"/>
      </tp>
      <tp t="s">
        <v>Energy</v>
        <stp/>
        <stp>##V3_BDPV12</stp>
        <stp>BBG00H5KNJZ7 FIGI</stp>
        <stp>INDUSTRY_SECTOR</stp>
        <stp>[DIF_Risk_20200430.xlsm]Geneva investment position repo!R80C39</stp>
        <tr r="AM80" s="1"/>
      </tp>
      <tp t="s">
        <v>BB+</v>
        <stp/>
        <stp>##V3_BDPV12</stp>
        <stp>BBG00RYF5CJ7 FIGI</stp>
        <stp>RTG_FITCH</stp>
        <stp>[DIF_Risk_20200430.xlsm]Geneva investment position repo!R35C33</stp>
        <tr r="AG35" s="1"/>
        <tr r="AG35" s="1"/>
      </tp>
      <tp t="s">
        <v>#N/A N/A</v>
        <stp/>
        <stp>##V3_BDPV12</stp>
        <stp>BBG00N14WRV0 FIGI</stp>
        <stp>SP_EFF_DT</stp>
        <stp>[DIF_Risk_20200430.xlsm]Geneva investment position repo!R142C71</stp>
        <tr r="BS142" s="1"/>
      </tp>
      <tp t="s">
        <v>KYG210961051</v>
        <stp/>
        <stp>##V3_BDPV12</stp>
        <stp>BBG000PXTGY5 FIGI</stp>
        <stp>ID_ISIN</stp>
        <stp>[DIF_Risk_20200430.xlsm]Geneva investment position repo!R9C63</stp>
        <tr r="BK9" s="1"/>
      </tp>
      <tp t="s">
        <v>Financial</v>
        <stp/>
        <stp>##V3_BDPV12</stp>
        <stp>BBG000P9D267 FIGI</stp>
        <stp>INDUSTRY_SECTOR</stp>
        <stp>[DIF_Risk_20200430.xlsm]Geneva investment position repo!R20C39</stp>
        <tr r="AM20" s="1"/>
      </tp>
      <tp t="s">
        <v>REITS-Shopping Centers</v>
        <stp/>
        <stp>##V3_BDPV12</stp>
        <stp>BBG000P9D267 FIGI</stp>
        <stp>ISSUER_INDUSTRY</stp>
        <stp>[DIF_Risk_20200430.xlsm]Geneva investment position repo!R20C52</stp>
        <tr r="AZ20" s="1"/>
      </tp>
      <tp t="s">
        <v>4/6/2020</v>
        <stp/>
        <stp>##V3_BDPV12</stp>
        <stp>BBG00T2MWMJ1 FIGI</stp>
        <stp>SP_EFF_DT</stp>
        <stp>[DIF_Risk_20200430.xlsm]Geneva investment position repo!R128C71</stp>
        <tr r="BS128" s="1"/>
      </tp>
      <tp t="s">
        <v>A-u</v>
        <stp/>
        <stp>##V3_BDPV12</stp>
        <stp>BBG00B6SDBV4 FIGI</stp>
        <stp>RTG_FITCH</stp>
        <stp>[DIF_Risk_20200430.xlsm]Geneva investment position repo!R115C33</stp>
        <tr r="AG115" s="1"/>
        <tr r="AG115" s="1"/>
      </tp>
      <tp t="s">
        <v>Baa1</v>
        <stp/>
        <stp>##V3_BDPV12</stp>
        <stp>BBG00RTNXBH9 FIGI</stp>
        <stp>RTG_MOODY</stp>
        <stp>[DIF_Risk_20200430.xlsm]Geneva investment position repo!R69C32</stp>
        <tr r="AF69" s="1"/>
        <tr r="AF69" s="1"/>
      </tp>
      <tp t="s">
        <v>A3</v>
        <stp/>
        <stp>##V3_BDPV12</stp>
        <stp>BBG00M5BYXF5 FIGI</stp>
        <stp>RTG_MOODY</stp>
        <stp>[DIF_Risk_20200430.xlsm]Geneva investment position repo!R32C32</stp>
        <tr r="AF32" s="1"/>
        <tr r="AF32" s="1"/>
      </tp>
      <tp t="s">
        <v>Distribution/Wholesale</v>
        <stp/>
        <stp>##V3_BDPV12</stp>
        <stp>BBG00M5BYXF5 FIGI</stp>
        <stp>INDUSTRY_SUBGROUP</stp>
        <stp>[DIF_Risk_20200430.xlsm]Geneva investment position repo!R32C41</stp>
        <tr r="AO32" s="1"/>
      </tp>
      <tp t="s">
        <v>8/29/2018</v>
        <stp/>
        <stp>##V3_BDPV12</stp>
        <stp>BBG00LVCWLT9 FIGI</stp>
        <stp>SP_EFF_DT</stp>
        <stp>[DIF_Risk_20200430.xlsm]Geneva investment position repo!R42C71</stp>
        <tr r="BS42" s="1"/>
      </tp>
      <tp t="s">
        <v>Commer Banks Non-US</v>
        <stp/>
        <stp>##V3_BDPV12</stp>
        <stp>BBG00RTNXBH9 FIGI</stp>
        <stp>INDUSTRY_SUBGROUP</stp>
        <stp>[DIF_Risk_20200430.xlsm]Geneva investment position repo!R69C41</stp>
        <tr r="AO69" s="1"/>
      </tp>
      <tp t="s">
        <v>10/28/2019</v>
        <stp/>
        <stp>##V3_BDPV12</stp>
        <stp>BBG00QQ1W050 FIGI</stp>
        <stp>SP_EFF_DT</stp>
        <stp>[DIF_Risk_20200430.xlsm]Geneva investment position repo!R149C71</stp>
        <tr r="BS149" s="1"/>
      </tp>
      <tp t="s">
        <v>USG24524AH67</v>
        <stp/>
        <stp>##V3_BDPV12</stp>
        <stp>BBG005BTJ9P5 FIGI</stp>
        <stp>ID_ISIN</stp>
        <stp>[DIF_Risk_20200430.xlsm]Geneva investment position repo!R65C63</stp>
        <tr r="BK65" s="1"/>
      </tp>
      <tp t="s">
        <v>BOND</v>
        <stp/>
        <stp>##V3_BDPV12</stp>
        <stp>BBG00KVGG4W4 FIGI</stp>
        <stp>MIFID_ASSET_CLASS</stp>
        <stp>[DIF_Risk_20200430.xlsm]Geneva investment position repo!R83C19</stp>
        <tr r="S83" s="1"/>
      </tp>
      <tp t="s">
        <v>BOND</v>
        <stp/>
        <stp>##V3_BDPV12</stp>
        <stp>BBG00LLFHRL5 FIGI</stp>
        <stp>MIFID_ASSET_CLASS</stp>
        <stp>[DIF_Risk_20200430.xlsm]Geneva investment position repo!R61C19</stp>
        <tr r="S61" s="1"/>
      </tp>
      <tp t="s">
        <v>Communication Services</v>
        <stp/>
        <stp>##V3_BDPV12</stp>
        <stp>BBG000BZWNT2 FIGI</stp>
        <stp>GICS_SECTOR_NAME</stp>
        <stp>[DIF_Risk_20200430.xlsm]Geneva investment position repo!R11C51</stp>
        <tr r="AY11" s="1"/>
      </tp>
      <tp t="s">
        <v>#N/A N/A</v>
        <stp/>
        <stp>##V3_BDPV12</stp>
        <stp>BBG00Q3NXL14 FIGI</stp>
        <stp>SP_EFF_DT</stp>
        <stp>[DIF_Risk_20200430.xlsm]Geneva investment position repo!R59C71</stp>
        <tr r="BS59" s="1"/>
      </tp>
      <tp t="s">
        <v>#N/A Field Not Applicable</v>
        <stp/>
        <stp>##V3_BDPV12</stp>
        <stp>BBG00PDL9DC2 FIGI</stp>
        <stp>CAPITAL_TYP_COCO_INITIAL_TRIGGER</stp>
        <stp>[DIF_Risk_20200430.xlsm]Geneva investment position repo!R92C43</stp>
        <tr r="AQ92" s="1"/>
      </tp>
      <tp t="s">
        <v>BOND</v>
        <stp/>
        <stp>##V3_BDPV12</stp>
        <stp>BBG00PMFP1T5 FIGI</stp>
        <stp>MIFID_ASSET_CLASS</stp>
        <stp>[DIF_Risk_20200430.xlsm]Geneva investment position repo!R52C19</stp>
        <tr r="S52" s="1"/>
      </tp>
      <tp t="s">
        <v>#N/A N/A</v>
        <stp/>
        <stp>##V3_BDPV12</stp>
        <stp>BBG00M0MD1Z7 FIGI</stp>
        <stp>SP_EFF_DT</stp>
        <stp>[DIF_Risk_20200430.xlsm]Geneva investment position repo!R55C71</stp>
        <tr r="BS55" s="1"/>
      </tp>
      <tp t="s">
        <v>4/26/2016</v>
        <stp/>
        <stp>##V3_BDPV12</stp>
        <stp>BBG00CP5W6B3 FIGI</stp>
        <stp>SP_EFF_DT</stp>
        <stp>[DIF_Risk_20200430.xlsm]Geneva investment position repo!R107C71</stp>
        <tr r="BS107" s="1"/>
      </tp>
      <tp t="s">
        <v>XS1496760239</v>
        <stp/>
        <stp>##V3_BDPV12</stp>
        <stp>BBG00DVX5HS1 FIGI</stp>
        <stp>ID_ISIN</stp>
        <stp>[DIF_Risk_20200430.xlsm]Geneva investment position repo!R44C63</stp>
        <tr r="BK44" s="1"/>
      </tp>
      <tp t="s">
        <v>HK</v>
        <stp/>
        <stp>##V3_BDPV12</stp>
        <stp>BBG000QWR4M8 FIGI</stp>
        <stp>CNTRY_ISSUE_ISO</stp>
        <stp>[DIF_Risk_20200430.xlsm]Geneva investment position repo!R8C38</stp>
        <tr r="AL8" s="1"/>
      </tp>
      <tp t="s">
        <v>#N/A Field Not Applicable</v>
        <stp/>
        <stp>##V3_BDPV12</stp>
        <stp>BBG00KDP8LC7 FIGI</stp>
        <stp>CAPITAL_TYP_COCO_INITIAL_TRIGGER</stp>
        <stp>[DIF_Risk_20200430.xlsm]Geneva investment position repo!R49C43</stp>
        <tr r="AQ49" s="1"/>
      </tp>
      <tp t="s">
        <v>Financial</v>
        <stp/>
        <stp>##V3_BDPV12</stp>
        <stp>BBG00NDMRLH2 FIGI</stp>
        <stp>INDUSTRY_SECTOR</stp>
        <stp>[DIF_Risk_20200430.xlsm]Geneva investment position repo!R58C39</stp>
        <tr r="AM58" s="1"/>
      </tp>
      <tp t="s">
        <v>EQUI</v>
        <stp/>
        <stp>##V3_BDPV12</stp>
        <stp>BBG000BGW354 FIGI</stp>
        <stp>MIFID_ASSET_CLASS</stp>
        <stp>[DIF_Risk_20200430.xlsm]Geneva investment position repo!R17C19</stp>
        <tr r="S17" s="1"/>
      </tp>
      <tp t="s">
        <v>HK</v>
        <stp/>
        <stp>##V3_BDPV12</stp>
        <stp>BBG0016XR1Q8 FIGI</stp>
        <stp>CNTRY_ISSUE_ISO</stp>
        <stp>[DIF_Risk_20200430.xlsm]Geneva investment position repo!R6C38</stp>
        <tr r="AL6" s="1"/>
      </tp>
      <tp t="s">
        <v>BANK</v>
        <stp/>
        <stp>##V3_BDPV12</stp>
        <stp>BBG00NDMRLH2 FIGI</stp>
        <stp>ISSUER_INDUSTRY</stp>
        <stp>[DIF_Risk_20200430.xlsm]Geneva investment position repo!R58C52</stp>
        <tr r="AZ58" s="1"/>
      </tp>
      <tp t="s">
        <v>#N/A Field Not Applicable</v>
        <stp/>
        <stp>##V3_BDPV12</stp>
        <stp>BBG000MKLJD1 FIGI</stp>
        <stp>SP_EFF_DT</stp>
        <stp>[DIF_Risk_20200430.xlsm]Geneva investment position repo!R22C71</stp>
        <tr r="BS22" s="1"/>
      </tp>
      <tp t="s">
        <v>#N/A Field Not Applicable</v>
        <stp/>
        <stp>##V3_BDPV12</stp>
        <stp>BBG00LJTWWM9 FIGI</stp>
        <stp>CAPITAL_TYP_COCO_INITIAL_TRIGGER</stp>
        <stp>[DIF_Risk_20200430.xlsm]Geneva investment position repo!R60C43</stp>
        <tr r="AQ60" s="1"/>
      </tp>
      <tp t="s">
        <v>#N/A Field Not Applicable</v>
        <stp/>
        <stp>##V3_BDPV12</stp>
        <stp>BBG00PSJ40G0 FIGI</stp>
        <stp>BOND_CLASSIFICATION_NAME</stp>
        <stp>[DIF_Risk_20200430.xlsm]Geneva investment position repo!R97C53</stp>
        <tr r="BA97" s="1"/>
      </tp>
      <tp t="s">
        <v>#N/A N/A</v>
        <stp/>
        <stp>##V3_BDPV12</stp>
        <stp>BBG00S9HKR72 FIGI</stp>
        <stp>SP_EFF_DT</stp>
        <stp>[DIF_Risk_20200430.xlsm]Geneva investment position repo!R36C71</stp>
        <tr r="BS36" s="1"/>
      </tp>
      <tp t="s">
        <v>XS1684793018</v>
        <stp/>
        <stp>##V3_BDPV12</stp>
        <stp>BBG00HPPFXF4 FIGI</stp>
        <stp>ID_ISIN</stp>
        <stp>[DIF_Risk_20200430.xlsm]Geneva investment position repo!R127C63</stp>
        <tr r="BK127" s="1"/>
      </tp>
      <tp t="s">
        <v>Real Estate</v>
        <stp/>
        <stp>##V3_BDPV12</stp>
        <stp>BBG00LJTVJR4 FIGI</stp>
        <stp>GICS_SECTOR_NAME</stp>
        <stp>[DIF_Risk_20200430.xlsm]Geneva investment position repo!R154C51</stp>
        <tr r="AY154" s="1"/>
      </tp>
      <tp t="s">
        <v>Real Estate</v>
        <stp/>
        <stp>##V3_BDPV12</stp>
        <stp>BBG00RPXWXD8 FIGI</stp>
        <stp>GICS_SECTOR_NAME</stp>
        <stp>[DIF_Risk_20200430.xlsm]Geneva investment position repo!R173C51</stp>
        <tr r="AY173" s="1"/>
      </tp>
      <tp t="s">
        <v>Financial</v>
        <stp/>
        <stp>##V3_BDPV12</stp>
        <stp>BBG00GSCY4N6 FIGI</stp>
        <stp>INDUSTRY_SECTOR</stp>
        <stp>[DIF_Risk_20200430.xlsm]Geneva investment position repo!R116C39</stp>
        <tr r="AM116" s="1"/>
      </tp>
      <tp t="s">
        <v>Financial</v>
        <stp/>
        <stp>##V3_BDPV12</stp>
        <stp>BBG00GDDS1Y1 FIGI</stp>
        <stp>INDUSTRY_SECTOR</stp>
        <stp>[DIF_Risk_20200430.xlsm]Geneva investment position repo!R109C39</stp>
        <tr r="AM109" s="1"/>
      </tp>
      <tp t="s">
        <v>#N/A Field Not Applicable</v>
        <stp/>
        <stp>##V3_BDPV12</stp>
        <stp>BBG00KNCMN62 FIGI</stp>
        <stp>CAPITAL_TYP_COCO_INITIAL_TRIGGER</stp>
        <stp>[DIF_Risk_20200430.xlsm]Geneva investment position repo!R102C43</stp>
        <tr r="AQ102" s="1"/>
      </tp>
      <tp t="s">
        <v>#N/A Field Not Applicable</v>
        <stp/>
        <stp>##V3_BDPV12</stp>
        <stp>BBG00T5WB757 FIGI</stp>
        <stp>GICS_SECTOR_NAME</stp>
        <stp>[DIF_Risk_20200430.xlsm]Geneva investment position repo!R124C51</stp>
        <tr r="AY124" s="1"/>
      </tp>
      <tp t="s">
        <v>FINANCIAL</v>
        <stp/>
        <stp>##V3_BDPV12</stp>
        <stp>BBG00MNWHQT8 FIGI</stp>
        <stp>ISSUER_INDUSTRY</stp>
        <stp>[DIF_Risk_20200430.xlsm]Geneva investment position repo!R135C52</stp>
        <tr r="AZ135" s="1"/>
      </tp>
      <tp t="s">
        <v>XS2163022739</v>
        <stp/>
        <stp>##V3_BDPV12</stp>
        <stp>BBG00TDCM2R7 FIGI</stp>
        <stp>ID_ISIN</stp>
        <stp>[DIF_Risk_20200430.xlsm]Geneva investment position repo!R147C63</stp>
        <tr r="BK147" s="1"/>
      </tp>
      <tp t="s">
        <v>ACTV</v>
        <stp/>
        <stp>##V3_BDPV12</stp>
        <stp>BBG005Q0XWK0 FIGI</stp>
        <stp>EXCH_MARKET_STATUS</stp>
        <stp>[DIF_Risk_20200430.xlsm]Geneva investment position repo!R15C44</stp>
        <tr r="AR15" s="1"/>
        <tr r="AR15" s="1"/>
      </tp>
      <tp t="s">
        <v>XS1973630889</v>
        <stp/>
        <stp>##V3_BDPV12</stp>
        <stp>BBG00NQDZNG6 FIGI</stp>
        <stp>ID_ISIN</stp>
        <stp>[DIF_Risk_20200430.xlsm]Geneva investment position repo!R178C63</stp>
        <tr r="BK178" s="1"/>
      </tp>
      <tp t="s">
        <v>Financial</v>
        <stp/>
        <stp>##V3_BDPV12</stp>
        <stp>BBG00RD35MV1 FIGI</stp>
        <stp>INDUSTRY_SECTOR</stp>
        <stp>[DIF_Risk_20200430.xlsm]Geneva investment position repo!R118C39</stp>
        <tr r="AM118" s="1"/>
      </tp>
      <tp t="s">
        <v>ACTV</v>
        <stp/>
        <stp>##V3_BDPV12</stp>
        <stp>BBG00LJTWWM9 FIGI</stp>
        <stp>EXCH_MARKET_STATUS</stp>
        <stp>[DIF_Risk_20200430.xlsm]Geneva investment position repo!R60C44</stp>
        <tr r="AR60" s="1"/>
        <tr r="AR60" s="1"/>
      </tp>
      <tp t="s">
        <v>Financial</v>
        <stp/>
        <stp>##V3_BDPV12</stp>
        <stp>BBG00CP5W6B3 FIGI</stp>
        <stp>INDUSTRY_SECTOR</stp>
        <stp>[DIF_Risk_20200430.xlsm]Geneva investment position repo!R107C39</stp>
        <tr r="AM107" s="1"/>
      </tp>
      <tp t="s">
        <v>Financial</v>
        <stp/>
        <stp>##V3_BDPV12</stp>
        <stp>BBG00HC2ZDQ9 FIGI</stp>
        <stp>INDUSTRY_SECTOR</stp>
        <stp>[DIF_Risk_20200430.xlsm]Geneva investment position repo!R151C39</stp>
        <tr r="AM151" s="1"/>
      </tp>
      <tp t="s">
        <v>ACTV</v>
        <stp/>
        <stp>##V3_BDPV12</stp>
        <stp>BBG000BDW8M1 FIGI</stp>
        <stp>EXCH_MARKET_STATUS</stp>
        <stp>[DIF_Risk_20200430.xlsm]Geneva investment position repo!R14C44</stp>
        <tr r="AR14" s="1"/>
        <tr r="AR14" s="1"/>
      </tp>
      <tp t="s">
        <v>ACTV</v>
        <stp/>
        <stp>##V3_BDPV12</stp>
        <stp>BBG00RYDWX24 FIGI</stp>
        <stp>EXCH_MARKET_STATUS</stp>
        <stp>[DIF_Risk_20200430.xlsm]Geneva investment position repo!R85C44</stp>
        <tr r="AR85" s="1"/>
        <tr r="AR85" s="1"/>
      </tp>
      <tp t="s">
        <v>Real Estate</v>
        <stp/>
        <stp>##V3_BDPV12</stp>
        <stp>BBG00KMRGS75 FIGI</stp>
        <stp>INDUSTRY_GROUP</stp>
        <stp>[DIF_Risk_20200430.xlsm]Geneva investment position repo!R152C40</stp>
        <tr r="AN152" s="1"/>
      </tp>
      <tp t="s">
        <v>ACTV</v>
        <stp/>
        <stp>##V3_BDPV12</stp>
        <stp>BBG00LVCWLT9 FIGI</stp>
        <stp>EXCH_MARKET_STATUS</stp>
        <stp>[DIF_Risk_20200430.xlsm]Geneva investment position repo!R42C44</stp>
        <tr r="AR42" s="1"/>
        <tr r="AR42" s="1"/>
      </tp>
      <tp t="s">
        <v>ACTV</v>
        <stp/>
        <stp>##V3_BDPV12</stp>
        <stp>BBG000BGW354 FIGI</stp>
        <stp>EXCH_MARKET_STATUS</stp>
        <stp>[DIF_Risk_20200430.xlsm]Geneva investment position repo!R17C44</stp>
        <tr r="AR17" s="1"/>
        <tr r="AR17" s="1"/>
      </tp>
      <tp t="s">
        <v>Commer Banks Non-US</v>
        <stp/>
        <stp>##V3_BDPV12</stp>
        <stp>BBG00RPXTTD1 FIGI</stp>
        <stp>INDUSTRY_SUBGROUP</stp>
        <stp>[DIF_Risk_20200430.xlsm]Geneva investment position repo!R137C41</stp>
        <tr r="AO137" s="1"/>
      </tp>
      <tp t="s">
        <v>HK0388045442</v>
        <stp/>
        <stp>##V3_BDPV12</stp>
        <stp>BBG000BGW354 FIGI</stp>
        <stp>ID_ISIN</stp>
        <stp>[DIF_Risk_20200430.xlsm]Geneva investment position repo!R17C63</stp>
        <tr r="BK17" s="1"/>
      </tp>
      <tp t="s">
        <v>#N/A N/A</v>
        <stp/>
        <stp>##V3_BDPV12</stp>
        <stp>BBG00N6M20C8 FIGI</stp>
        <stp>SP_EFF_DT</stp>
        <stp>[DIF_Risk_20200430.xlsm]Geneva investment position repo!R79C71</stp>
        <tr r="BS79" s="1"/>
      </tp>
      <tp t="s">
        <v>USV6703DAA29</v>
        <stp/>
        <stp>##V3_BDPV12</stp>
        <stp>BBG00QJ3FR72 FIGI</stp>
        <stp>ID_ISIN</stp>
        <stp>[DIF_Risk_20200430.xlsm]Geneva investment position repo!R37C63</stp>
        <tr r="BK37" s="1"/>
      </tp>
      <tp t="s">
        <v>2/28/2019</v>
        <stp/>
        <stp>##V3_BDPV12</stp>
        <stp>BBG00NHNXCH9 FIGI</stp>
        <stp>SP_EFF_DT</stp>
        <stp>[DIF_Risk_20200430.xlsm]Geneva investment position repo!R179C71</stp>
        <tr r="BS179" s="1"/>
      </tp>
      <tp t="s">
        <v>Oil Comp-Explor&amp;Prodtn</v>
        <stp/>
        <stp>##V3_BDPV12</stp>
        <stp>BBG00JVKTCJ1 FIGI</stp>
        <stp>INDUSTRY_SUBGROUP</stp>
        <stp>[DIF_Risk_20200430.xlsm]Geneva investment position repo!R110C41</stp>
        <tr r="AO110" s="1"/>
      </tp>
      <tp t="s">
        <v>XS2114413565</v>
        <stp/>
        <stp>##V3_BDPV12</stp>
        <stp>BBG00RPJBQ56 FIGI</stp>
        <stp>ID_ISIN</stp>
        <stp>[DIF_Risk_20200430.xlsm]Geneva investment position repo!R27C63</stp>
        <tr r="BK27" s="1"/>
      </tp>
      <tp t="s">
        <v>HK0000093390</v>
        <stp/>
        <stp>##V3_BDPV12</stp>
        <stp>BBG00226B1T3 FIGI</stp>
        <stp>ID_ISIN</stp>
        <stp>[DIF_Risk_20200430.xlsm]Geneva investment position repo!R16C63</stp>
        <tr r="BK16" s="1"/>
      </tp>
      <tp t="s">
        <v>BOND</v>
        <stp/>
        <stp>##V3_BDPV12</stp>
        <stp>BBG00NWVJPB7 FIGI</stp>
        <stp>MIFID_ASSET_CLASS</stp>
        <stp>[DIF_Risk_20200430.xlsm]Geneva investment position repo!R141C19</stp>
        <tr r="S141" s="1"/>
      </tp>
      <tp t="s">
        <v>Computers</v>
        <stp/>
        <stp>##V3_BDPV12</stp>
        <stp>BBG00PKGTF65 FIGI</stp>
        <stp>INDUSTRY_SUBGROUP</stp>
        <stp>[DIF_Risk_20200430.xlsm]Geneva investment position repo!R164C41</stp>
        <tr r="AO164" s="1"/>
      </tp>
      <tp t="s">
        <v>#N/A N/A</v>
        <stp/>
        <stp>##V3_BDPV12</stp>
        <stp>BBG00PDL9DC2 FIGI</stp>
        <stp>RTG_FITCH</stp>
        <stp>[DIF_Risk_20200430.xlsm]Geneva investment position repo!R92C33</stp>
        <tr r="AG92" s="1"/>
      </tp>
      <tp t="s">
        <v>#N/A N/A</v>
        <stp/>
        <stp>##V3_BDPV12</stp>
        <stp>BBG00KMQKL04 FIGI</stp>
        <stp>RTG_FITCH</stp>
        <stp>[DIF_Risk_20200430.xlsm]Geneva investment position repo!R169C33</stp>
        <tr r="AG169" s="1"/>
      </tp>
      <tp t="s">
        <v>#N/A N/A</v>
        <stp/>
        <stp>##V3_BDPV12</stp>
        <stp>BBG00PDYXN26 FIGI</stp>
        <stp>SP_EFF_DT</stp>
        <stp>[DIF_Risk_20200430.xlsm]Geneva investment position repo!R156C71</stp>
        <tr r="BS156" s="1"/>
      </tp>
      <tp t="s">
        <v>A1</v>
        <stp/>
        <stp>##V3_BDPV12</stp>
        <stp>BBG00T6LY8D4 FIGI</stp>
        <stp>RTG_MOODY</stp>
        <stp>[DIF_Risk_20200430.xlsm]Geneva investment position repo!R94C32</stp>
        <tr r="AF94" s="1"/>
        <tr r="AF94" s="1"/>
      </tp>
      <tp t="s">
        <v>EQUI</v>
        <stp/>
        <stp>##V3_BDPV12</stp>
        <stp>BBG00RPJBQ56 FIGI</stp>
        <stp>MIFID_ASSET_CLASS</stp>
        <stp>[DIF_Risk_20200430.xlsm]Geneva investment position repo!R27C19</stp>
        <tr r="S27" s="1"/>
      </tp>
      <tp t="s">
        <v>Sovereign</v>
        <stp/>
        <stp>##V3_BDPV12</stp>
        <stp>BBG00T6LY8D4 FIGI</stp>
        <stp>INDUSTRY_SUBGROUP</stp>
        <stp>[DIF_Risk_20200430.xlsm]Geneva investment position repo!R94C41</stp>
        <tr r="AO94" s="1"/>
      </tp>
      <tp t="s">
        <v>#N/A Field Not Applicable</v>
        <stp/>
        <stp>##V3_BDPV12</stp>
        <stp>BBG000BDW8M1 FIGI</stp>
        <stp>SP_EFF_DT</stp>
        <stp>[DIF_Risk_20200430.xlsm]Geneva investment position repo!R14C71</stp>
        <tr r="BS14" s="1"/>
      </tp>
      <tp t="s">
        <v>Internet Content-Entmnt</v>
        <stp/>
        <stp>##V3_BDPV12</stp>
        <stp>BBG00PKGT0Y7 FIGI</stp>
        <stp>INDUSTRY_SUBGROUP</stp>
        <stp>[DIF_Risk_20200430.xlsm]Geneva investment position repo!R166C41</stp>
        <tr r="AO166" s="1"/>
      </tp>
      <tp t="s">
        <v>XS2102904864</v>
        <stp/>
        <stp>##V3_BDPV12</stp>
        <stp>BBG00RPNYQB5 FIGI</stp>
        <stp>ID_ISIN</stp>
        <stp>[DIF_Risk_20200430.xlsm]Geneva investment position repo!R47C63</stp>
        <tr r="BK47" s="1"/>
      </tp>
      <tp t="s">
        <v>#N/A Field Not Applicable</v>
        <stp/>
        <stp>##V3_BDPV12</stp>
        <stp>BBG00LLV9WW6 FIGI</stp>
        <stp>BOND_CLASSIFICATION_NAME</stp>
        <stp>[DIF_Risk_20200430.xlsm]Geneva investment position repo!R21C53</stp>
        <tr r="BA21" s="1"/>
      </tp>
      <tp t="s">
        <v>BB-</v>
        <stp/>
        <stp>##V3_BDPV12</stp>
        <stp>BBG00NB7K829 FIGI</stp>
        <stp>RTG_FITCH</stp>
        <stp>[DIF_Risk_20200430.xlsm]Geneva investment position repo!R162C33</stp>
        <tr r="AG162" s="1"/>
        <tr r="AG162" s="1"/>
      </tp>
      <tp t="s">
        <v>BOND</v>
        <stp/>
        <stp>##V3_BDPV12</stp>
        <stp>BBG00H5KNJZ7 FIGI</stp>
        <stp>MIFID_ASSET_CLASS</stp>
        <stp>[DIF_Risk_20200430.xlsm]Geneva investment position repo!R80C19</stp>
        <tr r="S80" s="1"/>
      </tp>
      <tp t="s">
        <v>Financials</v>
        <stp/>
        <stp>##V3_BDPV12</stp>
        <stp>BBG00PMFP1T5 FIGI</stp>
        <stp>GICS_SECTOR_NAME</stp>
        <stp>[DIF_Risk_20200430.xlsm]Geneva investment position repo!R52C51</stp>
        <tr r="AY52" s="1"/>
      </tp>
      <tp t="s">
        <v>BOND</v>
        <stp/>
        <stp>##V3_BDPV12</stp>
        <stp>BBG00NG9J699 FIGI</stp>
        <stp>MIFID_ASSET_CLASS</stp>
        <stp>[DIF_Risk_20200430.xlsm]Geneva investment position repo!R139C19</stp>
        <tr r="S139" s="1"/>
      </tp>
      <tp t="s">
        <v>1/9/2020</v>
        <stp/>
        <stp>##V3_BDPV12</stp>
        <stp>BBG00HDTX5P9 FIGI</stp>
        <stp>SP_EFF_DT</stp>
        <stp>[DIF_Risk_20200430.xlsm]Geneva investment position repo!R111C71</stp>
        <tr r="BS111" s="1"/>
      </tp>
      <tp t="s">
        <v>A</v>
        <stp/>
        <stp>##V3_BDPV12</stp>
        <stp>BBG00T6LYC72 FIGI</stp>
        <stp>RTG_FITCH</stp>
        <stp>[DIF_Risk_20200430.xlsm]Geneva investment position repo!R95C33</stp>
        <tr r="AG95" s="1"/>
        <tr r="AG95" s="1"/>
      </tp>
      <tp t="s">
        <v>#N/A Field Not Applicable</v>
        <stp/>
        <stp>##V3_BDPV12</stp>
        <stp>BBG00PDYXN26 FIGI</stp>
        <stp>GICS_SECTOR_NAME</stp>
        <stp>[DIF_Risk_20200430.xlsm]Geneva investment position repo!R156C51</stp>
        <tr r="AY156" s="1"/>
      </tp>
      <tp t="s">
        <v>ACTV</v>
        <stp/>
        <stp>##V3_BDPV12</stp>
        <stp>BBG000BDWNL9 FIGI</stp>
        <stp>EXCH_MARKET_STATUS</stp>
        <stp>[DIF_Risk_20200430.xlsm]Geneva investment position repo!R24C44</stp>
        <tr r="AR24" s="1"/>
        <tr r="AR24" s="1"/>
      </tp>
      <tp t="s">
        <v>ACTV</v>
        <stp/>
        <stp>##V3_BDPV12</stp>
        <stp>BBG000BZWNT2 FIGI</stp>
        <stp>EXCH_MARKET_STATUS</stp>
        <stp>[DIF_Risk_20200430.xlsm]Geneva investment position repo!R11C44</stp>
        <tr r="AR11" s="1"/>
        <tr r="AR11" s="1"/>
      </tp>
      <tp t="s">
        <v>Government</v>
        <stp/>
        <stp>##V3_BDPV12</stp>
        <stp>BBG00THTNZZ3 FIGI</stp>
        <stp>INDUSTRY_SECTOR</stp>
        <stp>[DIF_Risk_20200430.xlsm]Geneva investment position repo!R125C39</stp>
        <tr r="AM125" s="1"/>
      </tp>
      <tp t="s">
        <v>B+</v>
        <stp/>
        <stp>##V3_BDPV12</stp>
        <stp>BBG00HC2ZDQ9 FIGI</stp>
        <stp>RTG_SP</stp>
        <stp>[DIF_Risk_20200430.xlsm]Geneva investment position repo!R151C31</stp>
        <tr r="AE151" s="1"/>
        <tr r="AE151" s="1"/>
      </tp>
      <tp t="s">
        <v>Communications</v>
        <stp/>
        <stp>##V3_BDPV12</stp>
        <stp>BBG00PKGT0Y7 FIGI</stp>
        <stp>INDUSTRY_SECTOR</stp>
        <stp>[DIF_Risk_20200430.xlsm]Geneva investment position repo!R166C39</stp>
        <tr r="AM166" s="1"/>
      </tp>
      <tp t="s">
        <v>Real Estate</v>
        <stp/>
        <stp>##V3_BDPV12</stp>
        <stp>BBG00MNWHQT8 FIGI</stp>
        <stp>GICS_SECTOR_NAME</stp>
        <stp>[DIF_Risk_20200430.xlsm]Geneva investment position repo!R135C51</stp>
        <tr r="AY135" s="1"/>
      </tp>
      <tp t="s">
        <v>Financial</v>
        <stp/>
        <stp>##V3_BDPV12</stp>
        <stp>BBG00NQF0SC2 FIGI</stp>
        <stp>INDUSTRY_SECTOR</stp>
        <stp>[DIF_Risk_20200430.xlsm]Geneva investment position repo!R160C39</stp>
        <tr r="AM160" s="1"/>
      </tp>
      <tp t="s">
        <v>FINANCIAL</v>
        <stp/>
        <stp>##V3_BDPV12</stp>
        <stp>BBG00NWVJPB7 FIGI</stp>
        <stp>ISSUER_INDUSTRY</stp>
        <stp>[DIF_Risk_20200430.xlsm]Geneva investment position repo!R141C52</stp>
        <tr r="AZ141" s="1"/>
      </tp>
      <tp t="s">
        <v>Energy</v>
        <stp/>
        <stp>##V3_BDPV12</stp>
        <stp>BBG00RHHSFZ2 FIGI</stp>
        <stp>INDUSTRY_SECTOR</stp>
        <stp>[DIF_Risk_20200430.xlsm]Geneva investment position repo!R122C39</stp>
        <tr r="AM122" s="1"/>
      </tp>
      <tp t="s">
        <v>#N/A N/A</v>
        <stp/>
        <stp>##V3_BDPV12</stp>
        <stp>BBG00N2KDB12 FIGI</stp>
        <stp>RTG_SP</stp>
        <stp>[DIF_Risk_20200430.xlsm]Geneva investment position repo!R174C31</stp>
        <tr r="AE174" s="1"/>
      </tp>
      <tp t="s">
        <v>#N/A Field Not Applicable</v>
        <stp/>
        <stp>##V3_BDPV12</stp>
        <stp>BBG00RPXTTD1 FIGI</stp>
        <stp>BOND_CLASSIFICATION_NAME</stp>
        <stp>[DIF_Risk_20200430.xlsm]Geneva investment position repo!R137C53</stp>
        <tr r="BA137" s="1"/>
      </tp>
      <tp t="s">
        <v>USY8137FAR92</v>
        <stp/>
        <stp>##V3_BDPV12</stp>
        <stp>BBG00PK1ZYS6 FIGI</stp>
        <stp>ID_ISIN</stp>
        <stp>[DIF_Risk_20200430.xlsm]Geneva investment position repo!R146C63</stp>
        <tr r="BK146" s="1"/>
      </tp>
      <tp t="s">
        <v>ACTV</v>
        <stp/>
        <stp>##V3_BDPV12</stp>
        <stp>BBG00PCCVDV7 FIGI</stp>
        <stp>EXCH_MARKET_STATUS</stp>
        <stp>[DIF_Risk_20200430.xlsm]Geneva investment position repo!R76C44</stp>
        <tr r="AR76" s="1"/>
        <tr r="AR76" s="1"/>
      </tp>
      <tp t="s">
        <v>Insurance</v>
        <stp/>
        <stp>##V3_BDPV12</stp>
        <stp>BBG00T2MWMJ1 FIGI</stp>
        <stp>INDUSTRY_GROUP</stp>
        <stp>[DIF_Risk_20200430.xlsm]Geneva investment position repo!R128C40</stp>
        <tr r="AN128" s="1"/>
      </tp>
      <tp t="s">
        <v>FINANCIAL</v>
        <stp/>
        <stp>##V3_BDPV12</stp>
        <stp>BBG00NG9L0S8 FIGI</stp>
        <stp>ISSUER_INDUSTRY</stp>
        <stp>[DIF_Risk_20200430.xlsm]Geneva investment position repo!R134C52</stp>
        <tr r="AZ134" s="1"/>
      </tp>
      <tp t="s">
        <v>Real Estate</v>
        <stp/>
        <stp>##V3_BDPV12</stp>
        <stp>BBG00R9SLKK9 FIGI</stp>
        <stp>INDUSTRY_GROUP</stp>
        <stp>[DIF_Risk_20200430.xlsm]Geneva investment position repo!R148C40</stp>
        <tr r="AN148" s="1"/>
      </tp>
      <tp t="s">
        <v>ACTV</v>
        <stp/>
        <stp>##V3_BDPV12</stp>
        <stp>BBG000BDV566 FIGI</stp>
        <stp>EXCH_MARKET_STATUS</stp>
        <stp>[DIF_Risk_20200430.xlsm]Geneva investment position repo!R13C44</stp>
        <tr r="AR13" s="1"/>
        <tr r="AR13" s="1"/>
      </tp>
      <tp t="s">
        <v>XS1937690128</v>
        <stp/>
        <stp>##V3_BDPV12</stp>
        <stp>BBG00N2K8LG0 FIGI</stp>
        <stp>ID_ISIN</stp>
        <stp>[DIF_Risk_20200430.xlsm]Geneva investment position repo!R43C63</stp>
        <tr r="BK43" s="1"/>
      </tp>
      <tp t="s">
        <v>3/27/2020</v>
        <stp/>
        <stp>##V3_BDPV12</stp>
        <stp>BBG00D2WYB33 FIGI</stp>
        <stp>SP_EFF_DT</stp>
        <stp>[DIF_Risk_20200430.xlsm]Geneva investment position repo!R126C71</stp>
        <tr r="BS126" s="1"/>
      </tp>
      <tp t="s">
        <v>BB-</v>
        <stp/>
        <stp>##V3_BDPV12</stp>
        <stp>BBG00NWVJPB7 FIGI</stp>
        <stp>RTG_FITCH</stp>
        <stp>[DIF_Risk_20200430.xlsm]Geneva investment position repo!R141C33</stp>
        <tr r="AG141" s="1"/>
        <tr r="AG141" s="1"/>
      </tp>
      <tp t="s">
        <v>4/19/2018</v>
        <stp/>
        <stp>##V3_BDPV12</stp>
        <stp>BBG00K7D75S0 FIGI</stp>
        <stp>SP_EFF_DT</stp>
        <stp>[DIF_Risk_20200430.xlsm]Geneva investment position repo!R75C71</stp>
        <tr r="BS75" s="1"/>
      </tp>
      <tp t="s">
        <v>#N/A Field Not Applicable</v>
        <stp/>
        <stp>##V3_BDPV12</stp>
        <stp>BBG00RB35JZ6 FIGI</stp>
        <stp>GICS_SECTOR_NAME</stp>
        <stp>[DIF_Risk_20200430.xlsm]Geneva investment position repo!R48C51</stp>
        <tr r="AY48" s="1"/>
      </tp>
      <tp t="s">
        <v>#N/A Field Not Applicable</v>
        <stp/>
        <stp>##V3_BDPV12</stp>
        <stp>BBG005Q0XWK0 FIGI</stp>
        <stp>BOND_CLASSIFICATION_NAME</stp>
        <stp>[DIF_Risk_20200430.xlsm]Geneva investment position repo!R15C53</stp>
        <tr r="BA15" s="1"/>
      </tp>
      <tp t="s">
        <v>BOND</v>
        <stp/>
        <stp>##V3_BDPV12</stp>
        <stp>BBG00KMQKL04 FIGI</stp>
        <stp>MIFID_ASSET_CLASS</stp>
        <stp>[DIF_Risk_20200430.xlsm]Geneva investment position repo!R169C19</stp>
        <tr r="S169" s="1"/>
      </tp>
      <tp t="s">
        <v>HK0823032773</v>
        <stp/>
        <stp>##V3_BDPV12</stp>
        <stp>BBG000P9D267 FIGI</stp>
        <stp>ID_ISIN</stp>
        <stp>[DIF_Risk_20200430.xlsm]Geneva investment position repo!R20C63</stp>
        <tr r="BK20" s="1"/>
      </tp>
      <tp t="s">
        <v>#N/A N/A</v>
        <stp/>
        <stp>##V3_BDPV12</stp>
        <stp>BBG00MSJ57C5 FIGI</stp>
        <stp>RTG_FITCH</stp>
        <stp>[DIF_Risk_20200430.xlsm]Geneva investment position repo!R74C33</stp>
        <tr r="AG74" s="1"/>
      </tp>
      <tp t="s">
        <v>BOND</v>
        <stp/>
        <stp>##V3_BDPV12</stp>
        <stp>BBG00PDL9DV1 FIGI</stp>
        <stp>MIFID_ASSET_CLASS</stp>
        <stp>[DIF_Risk_20200430.xlsm]Geneva investment position repo!R53C19</stp>
        <tr r="S53" s="1"/>
      </tp>
      <tp t="s">
        <v>USN3700LAB10</v>
        <stp/>
        <stp>##V3_BDPV12</stp>
        <stp>BBG00H5KNJZ7 FIGI</stp>
        <stp>ID_ISIN</stp>
        <stp>[DIF_Risk_20200430.xlsm]Geneva investment position repo!R80C63</stp>
        <tr r="BK80" s="1"/>
      </tp>
      <tp t="s">
        <v>#N/A Field Not Applicable</v>
        <stp/>
        <stp>##V3_BDPV12</stp>
        <stp>BBG00QYPDPC6 FIGI</stp>
        <stp>BOND_CLASSIFICATION_NAME</stp>
        <stp>[DIF_Risk_20200430.xlsm]Geneva investment position repo!R68C53</stp>
        <tr r="BA68" s="1"/>
      </tp>
      <tp t="s">
        <v>#N/A Field Not Applicable</v>
        <stp/>
        <stp>##V3_BDPV12</stp>
        <stp>BBG00DKQ0MQ4 FIGI</stp>
        <stp>BOND_CLASSIFICATION_NAME</stp>
        <stp>[DIF_Risk_20200430.xlsm]Geneva investment position repo!R78C53</stp>
        <tr r="BA78" s="1"/>
      </tp>
      <tp t="s">
        <v>#N/A N/A</v>
        <stp/>
        <stp>##V3_BDPV12</stp>
        <stp>BBG00PCCVDV7 FIGI</stp>
        <stp>SP_EFF_DT</stp>
        <stp>[DIF_Risk_20200430.xlsm]Geneva investment position repo!R76C71</stp>
        <tr r="BS76" s="1"/>
      </tp>
      <tp t="s">
        <v>#N/A N/A</v>
        <stp/>
        <stp>##V3_BDPV12</stp>
        <stp>BBG00S0GV953 FIGI</stp>
        <stp>SP_EFF_DT</stp>
        <stp>[DIF_Risk_20200430.xlsm]Geneva investment position repo!R98C71</stp>
        <tr r="BS98" s="1"/>
      </tp>
      <tp t="s">
        <v>BB-</v>
        <stp/>
        <stp>##V3_BDPV12</stp>
        <stp>BBG00NG9J699 FIGI</stp>
        <stp>RTG_FITCH</stp>
        <stp>[DIF_Risk_20200430.xlsm]Geneva investment position repo!R139C33</stp>
        <tr r="AG139" s="1"/>
        <tr r="AG139" s="1"/>
      </tp>
      <tp t="s">
        <v>BB-</v>
        <stp/>
        <stp>##V3_BDPV12</stp>
        <stp>BBG00PSJD0B5 FIGI</stp>
        <stp>RTG_FITCH</stp>
        <stp>[DIF_Risk_20200430.xlsm]Geneva investment position repo!R81C33</stp>
        <tr r="AG81" s="1"/>
        <tr r="AG81" s="1"/>
      </tp>
      <tp t="s">
        <v>B+</v>
        <stp/>
        <stp>##V3_BDPV12</stp>
        <stp>BBG00PGHK257 FIGI</stp>
        <stp>RTG_FITCH</stp>
        <stp>[DIF_Risk_20200430.xlsm]Geneva investment position repo!R87C33</stp>
        <tr r="AG87" s="1"/>
        <tr r="AG87" s="1"/>
      </tp>
      <tp t="s">
        <v>Financial</v>
        <stp/>
        <stp>##V3_BDPV12</stp>
        <stp>BBG005BTJ9P5 FIGI</stp>
        <stp>INDUSTRY_SECTOR</stp>
        <stp>[DIF_Risk_20200430.xlsm]Geneva investment position repo!R65C39</stp>
        <tr r="AM65" s="1"/>
      </tp>
      <tp t="s">
        <v>FINANCIAL</v>
        <stp/>
        <stp>##V3_BDPV12</stp>
        <stp>BBG005BTJ9P5 FIGI</stp>
        <stp>ISSUER_INDUSTRY</stp>
        <stp>[DIF_Risk_20200430.xlsm]Geneva investment position repo!R65C52</stp>
        <tr r="AZ65" s="1"/>
      </tp>
      <tp t="s">
        <v>#N/A Field Not Applicable</v>
        <stp/>
        <stp>##V3_BDPV12</stp>
        <stp>BBG000MKLJD1 FIGI</stp>
        <stp>CAPITAL_TYP_COCO_INITIAL_TRIGGER</stp>
        <stp>[DIF_Risk_20200430.xlsm]Geneva investment position repo!R22C43</stp>
        <tr r="AQ22" s="1"/>
      </tp>
      <tp t="s">
        <v>BOND</v>
        <stp/>
        <stp>##V3_BDPV12</stp>
        <stp>BBG00MTKPX96 FIGI</stp>
        <stp>MIFID_ASSET_CLASS</stp>
        <stp>[DIF_Risk_20200430.xlsm]Geneva investment position repo!R57C19</stp>
        <tr r="S57" s="1"/>
      </tp>
      <tp t="s">
        <v>#N/A N/A</v>
        <stp/>
        <stp>##V3_BDPV12</stp>
        <stp>BBG00NDMRLH2 FIGI</stp>
        <stp>RTG_FITCH</stp>
        <stp>[DIF_Risk_20200430.xlsm]Geneva investment position repo!R58C33</stp>
        <tr r="AG58" s="1"/>
      </tp>
      <tp t="s">
        <v>#N/A Field Not Applicable</v>
        <stp/>
        <stp>##V3_BDPV12</stp>
        <stp>BBG00CNK44T9 FIGI</stp>
        <stp>BOND_CLASSIFICATION_NAME</stp>
        <stp>[DIF_Risk_20200430.xlsm]Geneva investment position repo!R45C53</stp>
        <tr r="BA45" s="1"/>
      </tp>
      <tp t="s">
        <v>#N/A N/A</v>
        <stp/>
        <stp>##V3_BDPV12</stp>
        <stp>BBG00GSCY4N6 FIGI</stp>
        <stp>SP_EFF_DT</stp>
        <stp>[DIF_Risk_20200430.xlsm]Geneva investment position repo!R116C71</stp>
        <tr r="BS116" s="1"/>
      </tp>
      <tp t="s">
        <v>EQUI</v>
        <stp/>
        <stp>##V3_BDPV12</stp>
        <stp>BBG000BDWNL9 FIGI</stp>
        <stp>MIFID_ASSET_CLASS</stp>
        <stp>[DIF_Risk_20200430.xlsm]Geneva investment position repo!R24C19</stp>
        <tr r="S24" s="1"/>
      </tp>
      <tp t="s">
        <v>XS1897158892</v>
        <stp/>
        <stp>##V3_BDPV12</stp>
        <stp>BBG00NDMRLH2 FIGI</stp>
        <stp>ID_ISIN</stp>
        <stp>[DIF_Risk_20200430.xlsm]Geneva investment position repo!R58C63</stp>
        <tr r="BK58" s="1"/>
      </tp>
      <tp t="s">
        <v>4/23/2020</v>
        <stp/>
        <stp>##V3_BDPV12</stp>
        <stp>BBG00TDCM8F7 FIGI</stp>
        <stp>SP_EFF_DT</stp>
        <stp>[DIF_Risk_20200430.xlsm]Geneva investment position repo!R38C71</stp>
        <tr r="BS38" s="1"/>
      </tp>
      <tp t="s">
        <v>BOND</v>
        <stp/>
        <stp>##V3_BDPV12</stp>
        <stp>BBG00NB7K829 FIGI</stp>
        <stp>MIFID_ASSET_CLASS</stp>
        <stp>[DIF_Risk_20200430.xlsm]Geneva investment position repo!R162C19</stp>
        <tr r="S162" s="1"/>
      </tp>
      <tp t="s">
        <v>Real Estate Oper/Develop</v>
        <stp/>
        <stp>##V3_BDPV12</stp>
        <stp>BBG00RRMFK74 FIGI</stp>
        <stp>INDUSTRY_SUBGROUP</stp>
        <stp>[DIF_Risk_20200430.xlsm]Geneva investment position repo!R41C41</stp>
        <tr r="AO41" s="1"/>
      </tp>
      <tp t="s">
        <v>#N/A N/A</v>
        <stp/>
        <stp>##V3_BDPV12</stp>
        <stp>BBG00RRMFK74 FIGI</stp>
        <stp>RTG_MOODY</stp>
        <stp>[DIF_Risk_20200430.xlsm]Geneva investment position repo!R41C32</stp>
        <tr r="AF41" s="1"/>
      </tp>
      <tp t="s">
        <v>FINANCIAL</v>
        <stp/>
        <stp>##V3_BDPV12</stp>
        <stp>BBG00DVX5HS1 FIGI</stp>
        <stp>ISSUER_INDUSTRY</stp>
        <stp>[DIF_Risk_20200430.xlsm]Geneva investment position repo!R44C52</stp>
        <tr r="AZ44" s="1"/>
      </tp>
      <tp t="s">
        <v>Financial</v>
        <stp/>
        <stp>##V3_BDPV12</stp>
        <stp>BBG00DVX5HS1 FIGI</stp>
        <stp>INDUSTRY_SECTOR</stp>
        <stp>[DIF_Risk_20200430.xlsm]Geneva investment position repo!R44C39</stp>
        <tr r="AM44" s="1"/>
      </tp>
      <tp t="s">
        <v>BANK</v>
        <stp/>
        <stp>##V3_BDPV12</stp>
        <stp>BBG00LNF6KZ5 FIGI</stp>
        <stp>ISSUER_INDUSTRY</stp>
        <stp>[DIF_Risk_20200430.xlsm]Geneva investment position repo!R144C52</stp>
        <tr r="AZ144" s="1"/>
      </tp>
      <tp t="s">
        <v>#N/A Field Not Applicable</v>
        <stp/>
        <stp>##V3_BDPV12</stp>
        <stp>BBG00NTXM180 FIGI</stp>
        <stp>BOND_CLASSIFICATION_NAME</stp>
        <stp>[DIF_Risk_20200430.xlsm]Geneva investment position repo!R136C53</stp>
        <tr r="BA136" s="1"/>
      </tp>
      <tp t="s">
        <v>#N/A Field Not Applicable</v>
        <stp/>
        <stp>##V3_BDPV12</stp>
        <stp>BBG00QRVV6Z8 FIGI</stp>
        <stp>GICS_SECTOR_NAME</stp>
        <stp>[DIF_Risk_20200430.xlsm]Geneva investment position repo!R155C51</stp>
        <tr r="AY155" s="1"/>
      </tp>
      <tp t="s">
        <v>XS1861032628</v>
        <stp/>
        <stp>##V3_BDPV12</stp>
        <stp>BBG00LJTVJR4 FIGI</stp>
        <stp>ID_ISIN</stp>
        <stp>[DIF_Risk_20200430.xlsm]Geneva investment position repo!R154C63</stp>
        <tr r="BK154" s="1"/>
      </tp>
      <tp t="s">
        <v>ACTV</v>
        <stp/>
        <stp>##V3_BDPV12</stp>
        <stp>BBG00S0GV953 FIGI</stp>
        <stp>EXCH_MARKET_STATUS</stp>
        <stp>[DIF_Risk_20200430.xlsm]Geneva investment position repo!R98C44</stp>
        <tr r="AR98" s="1"/>
        <tr r="AR98" s="1"/>
      </tp>
      <tp t="s">
        <v>FINANCIAL</v>
        <stp/>
        <stp>##V3_BDPV12</stp>
        <stp>BBG00PNSNLZ7 FIGI</stp>
        <stp>ISSUER_INDUSTRY</stp>
        <stp>[DIF_Risk_20200430.xlsm]Geneva investment position repo!R161C52</stp>
        <tr r="AZ161" s="1"/>
      </tp>
      <tp t="s">
        <v>Real Estate</v>
        <stp/>
        <stp>##V3_BDPV12</stp>
        <stp>BBG00NDM7WZ0 FIGI</stp>
        <stp>INDUSTRY_GROUP</stp>
        <stp>[DIF_Risk_20200430.xlsm]Geneva investment position repo!R103C40</stp>
        <tr r="AN103" s="1"/>
      </tp>
      <tp t="s">
        <v>FINANCIAL</v>
        <stp/>
        <stp>##V3_BDPV12</stp>
        <stp>BBG00RPXWXD8 FIGI</stp>
        <stp>ISSUER_INDUSTRY</stp>
        <stp>[DIF_Risk_20200430.xlsm]Geneva investment position repo!R173C52</stp>
        <tr r="AZ173" s="1"/>
      </tp>
      <tp t="s">
        <v>#N/A Field Not Applicable</v>
        <stp/>
        <stp>##V3_BDPV12</stp>
        <stp>BBG00NDFM319 FIGI</stp>
        <stp>CAPITAL_TYP_COCO_INITIAL_TRIGGER</stp>
        <stp>[DIF_Risk_20200430.xlsm]Geneva investment position repo!R140C43</stp>
        <tr r="AQ140" s="1"/>
      </tp>
      <tp t="s">
        <v>INDUSTRIAL</v>
        <stp/>
        <stp>##V3_BDPV12</stp>
        <stp>BBG00HDTX5P9 FIGI</stp>
        <stp>ISSUER_INDUSTRY</stp>
        <stp>[DIF_Risk_20200430.xlsm]Geneva investment position repo!R111C52</stp>
        <tr r="AZ111" s="1"/>
      </tp>
      <tp t="s">
        <v>#N/A N/A</v>
        <stp/>
        <stp>##V3_BDPV12</stp>
        <stp>BBG00K6FDF25 FIGI</stp>
        <stp>RTG_SP</stp>
        <stp>[DIF_Risk_20200430.xlsm]Geneva investment position repo!R101C31</stp>
        <tr r="AE101" s="1"/>
      </tp>
      <tp t="s">
        <v>BANK</v>
        <stp/>
        <stp>##V3_BDPV12</stp>
        <stp>BBG00RPXTTD1 FIGI</stp>
        <stp>ISSUER_INDUSTRY</stp>
        <stp>[DIF_Risk_20200430.xlsm]Geneva investment position repo!R137C52</stp>
        <tr r="AZ137" s="1"/>
      </tp>
      <tp t="s">
        <v>B-</v>
        <stp/>
        <stp>##V3_BDPV12</stp>
        <stp>BBG00NHNXCH9 FIGI</stp>
        <stp>RTG_SP</stp>
        <stp>[DIF_Risk_20200430.xlsm]Geneva investment position repo!R179C31</stp>
        <tr r="AE179" s="1"/>
        <tr r="AE179" s="1"/>
      </tp>
      <tp t="s">
        <v>#N/A Field Not Applicable</v>
        <stp/>
        <stp>##V3_BDPV12</stp>
        <stp>BBG00LSR9049 FIGI</stp>
        <stp>BOND_CLASSIFICATION_NAME</stp>
        <stp>[DIF_Risk_20200430.xlsm]Geneva investment position repo!R108C53</stp>
        <tr r="BA108" s="1"/>
      </tp>
      <tp t="s">
        <v>Real Estate</v>
        <stp/>
        <stp>##V3_BDPV12</stp>
        <stp>BBG00RD4VH41 FIGI</stp>
        <stp>INDUSTRY_GROUP</stp>
        <stp>[DIF_Risk_20200430.xlsm]Geneva investment position repo!R106C40</stp>
        <tr r="AN106" s="1"/>
      </tp>
      <tp t="s">
        <v>Real Estate</v>
        <stp/>
        <stp>##V3_BDPV12</stp>
        <stp>BBG00L1B1VB5 FIGI</stp>
        <stp>INDUSTRY_GROUP</stp>
        <stp>[DIF_Risk_20200430.xlsm]Geneva investment position repo!R163C40</stp>
        <tr r="AN163" s="1"/>
      </tp>
      <tp t="s">
        <v>SPECIAL PURPOSE</v>
        <stp/>
        <stp>##V3_BDPV12</stp>
        <stp>BBG00JC8V4T3 FIGI</stp>
        <stp>ISSUER_INDUSTRY</stp>
        <stp>[DIF_Risk_20200430.xlsm]Geneva investment position repo!R176C52</stp>
        <tr r="AZ176" s="1"/>
      </tp>
      <tp t="s">
        <v>B1</v>
        <stp/>
        <stp>##V3_BDPV12</stp>
        <stp>BBG00N14RT60 FIGI</stp>
        <stp>RTG_MOODY</stp>
        <stp>[DIF_Risk_20200430.xlsm]Geneva investment position repo!R153C32</stp>
        <tr r="AF153" s="1"/>
        <tr r="AF153" s="1"/>
      </tp>
      <tp t="s">
        <v>11/21/2017</v>
        <stp/>
        <stp>##V3_BDPV12</stp>
        <stp>BBG00H4BZMF0 FIGI</stp>
        <stp>SP_EFF_DT</stp>
        <stp>[DIF_Risk_20200430.xlsm]Geneva investment position repo!R130C71</stp>
        <tr r="BS130" s="1"/>
      </tp>
      <tp t="s">
        <v>Real Estate Oper/Develop</v>
        <stp/>
        <stp>##V3_BDPV12</stp>
        <stp>BBG00TJ8VS75 FIGI</stp>
        <stp>INDUSTRY_SUBGROUP</stp>
        <stp>[DIF_Risk_20200430.xlsm]Geneva investment position repo!R167C41</stp>
        <tr r="AO167" s="1"/>
      </tp>
      <tp t="s">
        <v>Real Estate Oper/Develop</v>
        <stp/>
        <stp>##V3_BDPV12</stp>
        <stp>BBG00LJTVJR4 FIGI</stp>
        <stp>INDUSTRY_SUBGROUP</stp>
        <stp>[DIF_Risk_20200430.xlsm]Geneva investment position repo!R154C41</stp>
        <tr r="AO154" s="1"/>
      </tp>
      <tp t="s">
        <v>3/26/2019</v>
        <stp/>
        <stp>##V3_BDPV12</stp>
        <stp>BBG00NQDZNG6 FIGI</stp>
        <stp>SP_EFF_DT</stp>
        <stp>[DIF_Risk_20200430.xlsm]Geneva investment position repo!R178C71</stp>
        <tr r="BS178" s="1"/>
      </tp>
      <tp t="s">
        <v>Real Estate Oper/Develop</v>
        <stp/>
        <stp>##V3_BDPV12</stp>
        <stp>BBG00R9LVRX4 FIGI</stp>
        <stp>INDUSTRY_SUBGROUP</stp>
        <stp>[DIF_Risk_20200430.xlsm]Geneva investment position repo!R172C41</stp>
        <tr r="AO172" s="1"/>
      </tp>
      <tp t="s">
        <v>4/1/2019</v>
        <stp/>
        <stp>##V3_BDPV12</stp>
        <stp>BBG00HC2ZDQ9 FIGI</stp>
        <stp>SP_EFF_DT</stp>
        <stp>[DIF_Risk_20200430.xlsm]Geneva investment position repo!R151C71</stp>
        <tr r="BS151" s="1"/>
      </tp>
      <tp t="s">
        <v>CIFIHG 7 5/8 03/02/21</v>
        <stp/>
        <stp>##V3_BDPV12</stp>
        <stp>BBG00MTKPX96 FIGI</stp>
        <stp>SECURITY_NAME</stp>
        <stp>[DIF_Risk_20200430.xlsm]SFC Report!R141C8</stp>
        <tr r="H141" s="6"/>
      </tp>
      <tp t="s">
        <v>Baa2</v>
        <stp/>
        <stp>##V3_BDPV12</stp>
        <stp>BBG00MKJ4690 FIGI</stp>
        <stp>RTG_MOODY</stp>
        <stp>[DIF_Risk_20200430.xlsm]Geneva investment position repo!R54C32</stp>
        <tr r="AF54" s="1"/>
        <tr r="AF54" s="1"/>
      </tp>
      <tp t="s">
        <v>#N/A N/A</v>
        <stp/>
        <stp>##V3_BDPV12</stp>
        <stp>BBG00PSJ40G0 FIGI</stp>
        <stp>RTG_MOODY</stp>
        <stp>[DIF_Risk_20200430.xlsm]Geneva investment position repo!R97C32</stp>
        <tr r="AF97" s="1"/>
      </tp>
      <tp t="s">
        <v>5/20/2020</v>
        <stp/>
        <stp>##V3_BDPV12</stp>
        <stp>BBG00PK1ZYS6 FIGI</stp>
        <stp>SP_EFF_DT</stp>
        <stp>[DIF_Risk_20200430.xlsm]Geneva investment position repo!R146C71</stp>
        <tr r="BS146" s="1"/>
      </tp>
      <tp t="s">
        <v>Real Estate Oper/Develop</v>
        <stp/>
        <stp>##V3_BDPV12</stp>
        <stp>BBG00PSJ40G0 FIGI</stp>
        <stp>INDUSTRY_SUBGROUP</stp>
        <stp>[DIF_Risk_20200430.xlsm]Geneva investment position repo!R97C41</stp>
        <tr r="AO97" s="1"/>
      </tp>
      <tp t="s">
        <v>Building&amp;Construct-Misc</v>
        <stp/>
        <stp>##V3_BDPV12</stp>
        <stp>BBG00MKJ4690 FIGI</stp>
        <stp>INDUSTRY_SUBGROUP</stp>
        <stp>[DIF_Risk_20200430.xlsm]Geneva investment position repo!R54C41</stp>
        <tr r="AO54" s="1"/>
      </tp>
      <tp t="s">
        <v>BOND</v>
        <stp/>
        <stp>##V3_BDPV12</stp>
        <stp>BBG00MNWHQT8 FIGI</stp>
        <stp>MIFID_ASSET_CLASS</stp>
        <stp>[DIF_Risk_20200430.xlsm]Geneva investment position repo!R135C19</stp>
        <tr r="S135" s="1"/>
      </tp>
      <tp t="s">
        <v>3/20/2020</v>
        <stp/>
        <stp>##V3_BDPV12</stp>
        <stp>BBG00P1GZFC2 FIGI</stp>
        <stp>SP_EFF_DT</stp>
        <stp>[DIF_Risk_20200430.xlsm]Geneva investment position repo!R112C71</stp>
        <tr r="BS112" s="1"/>
      </tp>
      <tp t="s">
        <v>BOND</v>
        <stp/>
        <stp>##V3_BDPV12</stp>
        <stp>BBG00PDL9DC2 FIGI</stp>
        <stp>MIFID_ASSET_CLASS</stp>
        <stp>[DIF_Risk_20200430.xlsm]Geneva investment position repo!R92C19</stp>
        <tr r="S92" s="1"/>
      </tp>
      <tp t="s">
        <v>BOND</v>
        <stp/>
        <stp>##V3_BDPV12</stp>
        <stp>BBG00NB7HXS0 FIGI</stp>
        <stp>MIFID_ASSET_CLASS</stp>
        <stp>[DIF_Risk_20200430.xlsm]Geneva investment position repo!R143C19</stp>
        <tr r="S143" s="1"/>
      </tp>
      <tp t="s">
        <v>HK</v>
        <stp/>
        <stp>##V3_BDPV12</stp>
        <stp>BBG00LD1QR26 FIGI</stp>
        <stp>CNTRY_ISSUE_ISO</stp>
        <stp>[DIF_Risk_20200430.xlsm]Geneva investment position repo!R12C38</stp>
        <tr r="AL12" s="1"/>
      </tp>
      <tp t="s">
        <v>Real Estate Oper/Develop</v>
        <stp/>
        <stp>##V3_BDPV12</stp>
        <stp>BBG00RD4VH41 FIGI</stp>
        <stp>INDUSTRY_SUBGROUP</stp>
        <stp>[DIF_Risk_20200430.xlsm]Geneva investment position repo!R106C41</stp>
        <tr r="AO106" s="1"/>
      </tp>
      <tp t="s">
        <v>#N/A N/A</v>
        <stp/>
        <stp>##V3_BDPV12</stp>
        <stp>BBG00Q3NXL14 FIGI</stp>
        <stp>RTG_MOODY</stp>
        <stp>[DIF_Risk_20200430.xlsm]Geneva investment position repo!R59C32</stp>
        <tr r="AF59" s="1"/>
      </tp>
      <tp t="s">
        <v>#N/A N/A</v>
        <stp/>
        <stp>##V3_BDPV12</stp>
        <stp>BBG00K67R1J1 FIGI</stp>
        <stp>RTG_MOODY</stp>
        <stp>[DIF_Risk_20200430.xlsm]Geneva investment position repo!R171C32</stp>
        <tr r="AF171" s="1"/>
      </tp>
      <tp t="s">
        <v>Consumer Discretionary</v>
        <stp/>
        <stp>##V3_BDPV12</stp>
        <stp>BBG00LLV9WW6 FIGI</stp>
        <stp>GICS_SECTOR_NAME</stp>
        <stp>[DIF_Risk_20200430.xlsm]Geneva investment position repo!R21C51</stp>
        <tr r="AY21" s="1"/>
      </tp>
      <tp t="s">
        <v>BBB</v>
        <stp/>
        <stp>##V3_BDPV12</stp>
        <stp>BBG00RPJBQ56 FIGI</stp>
        <stp>RTG_FITCH</stp>
        <stp>[DIF_Risk_20200430.xlsm]Geneva investment position repo!R27C33</stp>
        <tr r="AG27" s="1"/>
        <tr r="AG27" s="1"/>
      </tp>
      <tp t="s">
        <v>Real Estate Oper/Develop</v>
        <stp/>
        <stp>##V3_BDPV12</stp>
        <stp>BBG00QRVV6Z8 FIGI</stp>
        <stp>INDUSTRY_SUBGROUP</stp>
        <stp>[DIF_Risk_20200430.xlsm]Geneva investment position repo!R155C41</stp>
        <tr r="AO155" s="1"/>
      </tp>
      <tp t="s">
        <v>Finance-Invest Bnkr/Brkr</v>
        <stp/>
        <stp>##V3_BDPV12</stp>
        <stp>BBG00Q3NXL14 FIGI</stp>
        <stp>INDUSTRY_SUBGROUP</stp>
        <stp>[DIF_Risk_20200430.xlsm]Geneva investment position repo!R59C41</stp>
        <tr r="AO59" s="1"/>
      </tp>
      <tp t="s">
        <v>#N/A Field Not Applicable</v>
        <stp/>
        <stp>##V3_BDPV12</stp>
        <stp>BBG00RYGHZS1 FIGI</stp>
        <stp>CAPITAL_TYP_COCO_INITIAL_TRIGGER</stp>
        <stp>[DIF_Risk_20200430.xlsm]Geneva investment position repo!R51C43</stp>
        <tr r="AQ51" s="1"/>
      </tp>
      <tp t="s">
        <v>Real Estate Oper/Develop</v>
        <stp/>
        <stp>##V3_BDPV12</stp>
        <stp>BBG00LVCWLT9 FIGI</stp>
        <stp>INDUSTRY_SUBGROUP</stp>
        <stp>[DIF_Risk_20200430.xlsm]Geneva investment position repo!R42C41</stp>
        <tr r="AO42" s="1"/>
      </tp>
      <tp t="s">
        <v>#N/A N/A</v>
        <stp/>
        <stp>##V3_BDPV12</stp>
        <stp>BBG00RTNXBH9 FIGI</stp>
        <stp>SP_EFF_DT</stp>
        <stp>[DIF_Risk_20200430.xlsm]Geneva investment position repo!R69C71</stp>
        <tr r="BS69" s="1"/>
      </tp>
      <tp t="s">
        <v>Real Estate Oper/Develop</v>
        <stp/>
        <stp>##V3_BDPV12</stp>
        <stp>BBG00QRVV8P5 FIGI</stp>
        <stp>INDUSTRY_SUBGROUP</stp>
        <stp>[DIF_Risk_20200430.xlsm]Geneva investment position repo!R131C41</stp>
        <tr r="AO131" s="1"/>
      </tp>
      <tp t="s">
        <v>#N/A N/A</v>
        <stp/>
        <stp>##V3_BDPV12</stp>
        <stp>BBG00M5BYXF5 FIGI</stp>
        <stp>SP_EFF_DT</stp>
        <stp>[DIF_Risk_20200430.xlsm]Geneva investment position repo!R32C71</stp>
        <tr r="BS32" s="1"/>
      </tp>
      <tp t="s">
        <v>BB</v>
        <stp/>
        <stp>##V3_BDPV12</stp>
        <stp>BBG00H5KNJZ7 FIGI</stp>
        <stp>RTG_FITCH</stp>
        <stp>[DIF_Risk_20200430.xlsm]Geneva investment position repo!R80C33</stp>
        <tr r="AG80" s="1"/>
        <tr r="AG80" s="1"/>
      </tp>
      <tp t="s">
        <v>XS2078814147</v>
        <stp/>
        <stp>##V3_BDPV12</stp>
        <stp>BBG00QYPDPC6 FIGI</stp>
        <stp>ID_ISIN</stp>
        <stp>[DIF_Risk_20200430.xlsm]Geneva investment position repo!R68C63</stp>
        <tr r="BK68" s="1"/>
      </tp>
      <tp t="s">
        <v>B2</v>
        <stp/>
        <stp>##V3_BDPV12</stp>
        <stp>BBG00LVCWLT9 FIGI</stp>
        <stp>RTG_MOODY</stp>
        <stp>[DIF_Risk_20200430.xlsm]Geneva investment position repo!R42C32</stp>
        <tr r="AF42" s="1"/>
        <tr r="AF42" s="1"/>
      </tp>
      <tp t="s">
        <v>Real Estate Oper/Develop</v>
        <stp/>
        <stp>##V3_BDPV12</stp>
        <stp>BBG00S9HKR72 FIGI</stp>
        <stp>INDUSTRY_SUBGROUP</stp>
        <stp>[DIF_Risk_20200430.xlsm]Geneva investment position repo!R36C41</stp>
        <tr r="AO36" s="1"/>
      </tp>
      <tp t="s">
        <v>#N/A N/A</v>
        <stp/>
        <stp>##V3_BDPV12</stp>
        <stp>BBG00S9HKR72 FIGI</stp>
        <stp>RTG_MOODY</stp>
        <stp>[DIF_Risk_20200430.xlsm]Geneva investment position repo!R36C32</stp>
        <tr r="AF36" s="1"/>
      </tp>
      <tp t="s">
        <v>#N/A Field Not Applicable</v>
        <stp/>
        <stp>##V3_BDPV12</stp>
        <stp>BBG00PMFP1T5 FIGI</stp>
        <stp>BOND_CLASSIFICATION_NAME</stp>
        <stp>[DIF_Risk_20200430.xlsm]Geneva investment position repo!R52C53</stp>
        <tr r="BA52" s="1"/>
      </tp>
      <tp t="s">
        <v>Transport-Rail</v>
        <stp/>
        <stp>##V3_BDPV12</stp>
        <stp>BBG000MKLJD1 FIGI</stp>
        <stp>INDUSTRY_SUBGROUP</stp>
        <stp>[DIF_Risk_20200430.xlsm]Geneva investment position repo!R22C41</stp>
        <tr r="AO22" s="1"/>
      </tp>
      <tp t="s">
        <v>BOND</v>
        <stp/>
        <stp>##V3_BDPV12</stp>
        <stp>BBG00T6LYC72 FIGI</stp>
        <stp>MIFID_ASSET_CLASS</stp>
        <stp>[DIF_Risk_20200430.xlsm]Geneva investment position repo!R95C19</stp>
        <tr r="S95" s="1"/>
      </tp>
      <tp t="s">
        <v>XS2127809528</v>
        <stp/>
        <stp>##V3_BDPV12</stp>
        <stp>BBG00S9HKR72 FIGI</stp>
        <stp>ID_ISIN</stp>
        <stp>[DIF_Risk_20200430.xlsm]Geneva investment position repo!R36C63</stp>
        <tr r="BK36" s="1"/>
      </tp>
      <tp t="s">
        <v>Coal</v>
        <stp/>
        <stp>##V3_BDPV12</stp>
        <stp>BBG00JC8V4T3 FIGI</stp>
        <stp>INDUSTRY_SUBGROUP</stp>
        <stp>[DIF_Risk_20200430.xlsm]Geneva investment position repo!R176C41</stp>
        <tr r="AO176" s="1"/>
      </tp>
      <tp t="s">
        <v>Baa1</v>
        <stp/>
        <stp>##V3_BDPV12</stp>
        <stp>BBG00M0MD1Z7 FIGI</stp>
        <stp>RTG_MOODY</stp>
        <stp>[DIF_Risk_20200430.xlsm]Geneva investment position repo!R55C32</stp>
        <tr r="AF55" s="1"/>
        <tr r="AF55" s="1"/>
      </tp>
      <tp t="s">
        <v>Finance-Other Services</v>
        <stp/>
        <stp>##V3_BDPV12</stp>
        <stp>BBG00M0MD1Z7 FIGI</stp>
        <stp>INDUSTRY_SUBGROUP</stp>
        <stp>[DIF_Risk_20200430.xlsm]Geneva investment position repo!R55C41</stp>
        <tr r="AO55" s="1"/>
      </tp>
      <tp t="s">
        <v>#N/A Field Not Applicable</v>
        <stp/>
        <stp>##V3_BDPV12</stp>
        <stp>BBG00T2MWMJ1 FIGI</stp>
        <stp>CAPITAL_TYP_COCO_INITIAL_TRIGGER</stp>
        <stp>[DIF_Risk_20200430.xlsm]Geneva investment position repo!R128C43</stp>
        <tr r="AQ128" s="1"/>
      </tp>
      <tp t="s">
        <v>#N/A Field Not Applicable</v>
        <stp/>
        <stp>##V3_BDPV12</stp>
        <stp>BBG00HDTX5P9 FIGI</stp>
        <stp>GICS_SECTOR_NAME</stp>
        <stp>[DIF_Risk_20200430.xlsm]Geneva investment position repo!R111C51</stp>
        <tr r="AY111" s="1"/>
      </tp>
      <tp t="s">
        <v>BBB+</v>
        <stp/>
        <stp>##V3_BDPV12</stp>
        <stp>BBG00THTNZZ3 FIGI</stp>
        <stp>RTG_SP</stp>
        <stp>[DIF_Risk_20200430.xlsm]Geneva investment position repo!R125C31</stp>
        <tr r="AE125" s="1"/>
        <tr r="AE125" s="1"/>
      </tp>
      <tp t="s">
        <v>Real Estate</v>
        <stp/>
        <stp>##V3_BDPV12</stp>
        <stp>BBG00N14RT60 FIGI</stp>
        <stp>INDUSTRY_GROUP</stp>
        <stp>[DIF_Risk_20200430.xlsm]Geneva investment position repo!R153C40</stp>
        <tr r="AN153" s="1"/>
      </tp>
      <tp>
        <v>1000000000</v>
        <stp/>
        <stp>##V3_BDPV12</stp>
        <stp>BBG00THTNZZ3 FIGI</stp>
        <stp>AMT_OUTSTANDING</stp>
        <stp>[DIF_Risk_20200430.xlsm]Geneva investment position repo!R125C29</stp>
        <tr r="AC125" s="1"/>
      </tp>
      <tp t="s">
        <v>#N/A Field Not Applicable</v>
        <stp/>
        <stp>##V3_BDPV12</stp>
        <stp>BBG00PKD4F69 FIGI</stp>
        <stp>CAPITAL_TYP_COCO_INITIAL_TRIGGER</stp>
        <stp>[DIF_Risk_20200430.xlsm]Geneva investment position repo!R145C43</stp>
        <tr r="AQ145" s="1"/>
      </tp>
      <tp t="s">
        <v>#N/A Field Not Applicable</v>
        <stp/>
        <stp>##V3_BDPV12</stp>
        <stp>BBG00NDM7WZ0 FIGI</stp>
        <stp>CAPITAL_TYP_COCO_INITIAL_TRIGGER</stp>
        <stp>[DIF_Risk_20200430.xlsm]Geneva investment position repo!R103C43</stp>
        <tr r="AQ103" s="1"/>
      </tp>
      <tp t="s">
        <v>Financial</v>
        <stp/>
        <stp>##V3_BDPV12</stp>
        <stp>BBG00NB7HXS0 FIGI</stp>
        <stp>INDUSTRY_SECTOR</stp>
        <stp>[DIF_Risk_20200430.xlsm]Geneva investment position repo!R143C39</stp>
        <tr r="AM143" s="1"/>
      </tp>
      <tp t="s">
        <v>Real Estate</v>
        <stp/>
        <stp>##V3_BDPV12</stp>
        <stp>BBG00Q2B8JR6 FIGI</stp>
        <stp>INDUSTRY_GROUP</stp>
        <stp>[DIF_Risk_20200430.xlsm]Geneva investment position repo!R170C40</stp>
        <tr r="AN170" s="1"/>
      </tp>
      <tp t="s">
        <v>INAC</v>
        <stp/>
        <stp>##V3_BDPV12</stp>
        <stp>BBG00RPXTZN6 FIGI</stp>
        <stp>EXCH_MARKET_STATUS</stp>
        <stp>[DIF_Risk_20200430.xlsm]Geneva investment position repo!R90C44</stp>
        <tr r="AR90" s="1"/>
        <tr r="AR90" s="1"/>
      </tp>
      <tp t="s">
        <v>#N/A Field Not Applicable</v>
        <stp/>
        <stp>##V3_BDPV12</stp>
        <stp>BBG00N9X3LW2 FIGI</stp>
        <stp>BOND_CLASSIFICATION_NAME</stp>
        <stp>[DIF_Risk_20200430.xlsm]Geneva investment position repo!R180C53</stp>
        <tr r="BA180" s="1"/>
      </tp>
      <tp t="s">
        <v>B2</v>
        <stp/>
        <stp>##V3_BDPV12</stp>
        <stp>BBG00N2K8LG0 FIGI</stp>
        <stp>RTG_MOODY</stp>
        <stp>[DIF_Risk_20200430.xlsm]Geneva investment position repo!R43C32</stp>
        <tr r="AF43" s="1"/>
        <tr r="AF43" s="1"/>
      </tp>
      <tp t="s">
        <v>XS2131434099</v>
        <stp/>
        <stp>##V3_BDPV12</stp>
        <stp>BBG00SBW5S62 FIGI</stp>
        <stp>ID_ISIN</stp>
        <stp>[DIF_Risk_20200430.xlsm]Geneva investment position repo!R88C63</stp>
        <tr r="BK88" s="1"/>
      </tp>
      <tp t="s">
        <v>B+</v>
        <stp/>
        <stp>##V3_BDPV12</stp>
        <stp>BBG00MNWHQT8 FIGI</stp>
        <stp>RTG_FITCH</stp>
        <stp>[DIF_Risk_20200430.xlsm]Geneva investment position repo!R135C33</stp>
        <tr r="AG135" s="1"/>
        <tr r="AG135" s="1"/>
      </tp>
      <tp t="s">
        <v>Utilities</v>
        <stp/>
        <stp>##V3_BDPV12</stp>
        <stp>BBG005Q0XWK0 FIGI</stp>
        <stp>GICS_SECTOR_NAME</stp>
        <stp>[DIF_Risk_20200430.xlsm]Geneva investment position repo!R15C51</stp>
        <tr r="AY15" s="1"/>
      </tp>
      <tp t="s">
        <v>#N/A Field Not Applicable</v>
        <stp/>
        <stp>##V3_BDPV12</stp>
        <stp>BBG00RB35JZ6 FIGI</stp>
        <stp>BOND_CLASSIFICATION_NAME</stp>
        <stp>[DIF_Risk_20200430.xlsm]Geneva investment position repo!R48C53</stp>
        <tr r="BA48" s="1"/>
      </tp>
      <tp t="s">
        <v>Real Estate Oper/Develop</v>
        <stp/>
        <stp>##V3_BDPV12</stp>
        <stp>BBG00N2K8LG0 FIGI</stp>
        <stp>INDUSTRY_SUBGROUP</stp>
        <stp>[DIF_Risk_20200430.xlsm]Geneva investment position repo!R43C41</stp>
        <tr r="AO43" s="1"/>
      </tp>
      <tp t="s">
        <v>#N/A Field Not Applicable</v>
        <stp/>
        <stp>##V3_BDPV12</stp>
        <stp>BBG000P9FRH8 FIGI</stp>
        <stp>BOND_CLASSIFICATION_NAME</stp>
        <stp>[DIF_Risk_20200430.xlsm]Geneva investment position repo!R19C53</stp>
        <tr r="BA19" s="1"/>
      </tp>
      <tp t="s">
        <v>BBB-</v>
        <stp/>
        <stp>##V3_BDPV12</stp>
        <stp>BBG00NB7HXS0 FIGI</stp>
        <stp>RTG_FITCH</stp>
        <stp>[DIF_Risk_20200430.xlsm]Geneva investment position repo!R143C33</stp>
        <tr r="AG143" s="1"/>
        <tr r="AG143" s="1"/>
      </tp>
      <tp t="s">
        <v>Ba2</v>
        <stp/>
        <stp>##V3_BDPV12</stp>
        <stp>BBG00RHHSFZ2 FIGI</stp>
        <stp>RTG_MOODY</stp>
        <stp>[DIF_Risk_20200430.xlsm]Geneva investment position repo!R122C32</stp>
        <tr r="AF122" s="1"/>
        <tr r="AF122" s="1"/>
      </tp>
      <tp t="s">
        <v>Real Estate Oper/Develop</v>
        <stp/>
        <stp>##V3_BDPV12</stp>
        <stp>BBG00RPXWXD8 FIGI</stp>
        <stp>INDUSTRY_SUBGROUP</stp>
        <stp>[DIF_Risk_20200430.xlsm]Geneva investment position repo!R173C41</stp>
        <tr r="AO173" s="1"/>
      </tp>
      <tp t="s">
        <v>#N/A Field Not Applicable</v>
        <stp/>
        <stp>##V3_BDPV12</stp>
        <stp>BBG00PQ3PWZ3 FIGI</stp>
        <stp>CAPITAL_TYP_COCO_INITIAL_TRIGGER</stp>
        <stp>[DIF_Risk_20200430.xlsm]Geneva investment position repo!R84C43</stp>
        <tr r="AQ84" s="1"/>
      </tp>
      <tp t="s">
        <v>Financial</v>
        <stp/>
        <stp>##V3_BDPV12</stp>
        <stp>BBG00L07ZBX8 FIGI</stp>
        <stp>INDUSTRY_SECTOR</stp>
        <stp>[DIF_Risk_20200430.xlsm]Geneva investment position repo!R66C39</stp>
        <tr r="AM66" s="1"/>
      </tp>
      <tp t="s">
        <v>SPECIAL PURPOSE</v>
        <stp/>
        <stp>##V3_BDPV12</stp>
        <stp>BBG00L07ZBX8 FIGI</stp>
        <stp>ISSUER_INDUSTRY</stp>
        <stp>[DIF_Risk_20200430.xlsm]Geneva investment position repo!R66C52</stp>
        <tr r="AZ66" s="1"/>
      </tp>
      <tp t="s">
        <v>EQUI</v>
        <stp/>
        <stp>##V3_BDPV12</stp>
        <stp>BBG000BJ35N5 FIGI</stp>
        <stp>MIFID_ASSET_CLASS</stp>
        <stp>[DIF_Risk_20200430.xlsm]Geneva investment position repo!R25C19</stp>
        <tr r="S25" s="1"/>
      </tp>
      <tp t="s">
        <v>Real Estate Oper/Develop</v>
        <stp/>
        <stp>##V3_BDPV12</stp>
        <stp>BBG00S6SWBM6 FIGI</stp>
        <stp>INDUSTRY_SUBGROUP</stp>
        <stp>[DIF_Risk_20200430.xlsm]Geneva investment position repo!R158C41</stp>
        <tr r="AO158" s="1"/>
      </tp>
      <tp t="s">
        <v>BOND</v>
        <stp/>
        <stp>##V3_BDPV12</stp>
        <stp>BBG00MSJ57C5 FIGI</stp>
        <stp>MIFID_ASSET_CLASS</stp>
        <stp>[DIF_Risk_20200430.xlsm]Geneva investment position repo!R74C19</stp>
        <tr r="S74" s="1"/>
      </tp>
      <tp t="s">
        <v>Commer Banks Non-US</v>
        <stp/>
        <stp>##V3_BDPV12</stp>
        <stp>BBG00N14WRV0 FIGI</stp>
        <stp>INDUSTRY_SUBGROUP</stp>
        <stp>[DIF_Risk_20200430.xlsm]Geneva investment position repo!R142C41</stp>
        <tr r="AO142" s="1"/>
      </tp>
      <tp t="s">
        <v>BBB</v>
        <stp/>
        <stp>##V3_BDPV12</stp>
        <stp>BBG00PDL9DV1 FIGI</stp>
        <stp>RTG_FITCH</stp>
        <stp>[DIF_Risk_20200430.xlsm]Geneva investment position repo!R53C33</stp>
        <tr r="AG53" s="1"/>
        <tr r="AG53" s="1"/>
      </tp>
      <tp t="s">
        <v>Life/Health Insurance</v>
        <stp/>
        <stp>##V3_BDPV12</stp>
        <stp>BBG00T2MWMJ1 FIGI</stp>
        <stp>INDUSTRY_SUBGROUP</stp>
        <stp>[DIF_Risk_20200430.xlsm]Geneva investment position repo!R128C41</stp>
        <tr r="AO128" s="1"/>
      </tp>
      <tp t="s">
        <v>Baa1</v>
        <stp/>
        <stp>##V3_BDPV12</stp>
        <stp>BBG00RPNYQB5 FIGI</stp>
        <stp>RTG_MOODY</stp>
        <stp>[DIF_Risk_20200430.xlsm]Geneva investment position repo!R47C32</stp>
        <tr r="AF47" s="1"/>
        <tr r="AF47" s="1"/>
      </tp>
      <tp t="s">
        <v>Building-Heavy Construct</v>
        <stp/>
        <stp>##V3_BDPV12</stp>
        <stp>BBG00RPNYQB5 FIGI</stp>
        <stp>INDUSTRY_SUBGROUP</stp>
        <stp>[DIF_Risk_20200430.xlsm]Geneva investment position repo!R47C41</stp>
        <tr r="AO47" s="1"/>
      </tp>
      <tp t="s">
        <v>#N/A Field Not Applicable</v>
        <stp/>
        <stp>##V3_BDPV12</stp>
        <stp>BBG00DKQ0MQ4 FIGI</stp>
        <stp>GICS_SECTOR_NAME</stp>
        <stp>[DIF_Risk_20200430.xlsm]Geneva investment position repo!R78C51</stp>
        <tr r="AY78" s="1"/>
      </tp>
      <tp t="s">
        <v>BOND</v>
        <stp/>
        <stp>##V3_BDPV12</stp>
        <stp>BBG00PSJD0B5 FIGI</stp>
        <stp>MIFID_ASSET_CLASS</stp>
        <stp>[DIF_Risk_20200430.xlsm]Geneva investment position repo!R81C19</stp>
        <tr r="S81" s="1"/>
      </tp>
      <tp t="s">
        <v>Real Estate Oper/Develop</v>
        <stp/>
        <stp>##V3_BDPV12</stp>
        <stp>BBG00QQ1W050 FIGI</stp>
        <stp>INDUSTRY_SUBGROUP</stp>
        <stp>[DIF_Risk_20200430.xlsm]Geneva investment position repo!R149C41</stp>
        <tr r="AO149" s="1"/>
      </tp>
      <tp t="s">
        <v>#N/A Field Not Applicable</v>
        <stp/>
        <stp>##V3_BDPV12</stp>
        <stp>BBG00QYPDPC6 FIGI</stp>
        <stp>GICS_SECTOR_NAME</stp>
        <stp>[DIF_Risk_20200430.xlsm]Geneva investment position repo!R68C51</stp>
        <tr r="AY68" s="1"/>
      </tp>
      <tp t="s">
        <v>BOND</v>
        <stp/>
        <stp>##V3_BDPV12</stp>
        <stp>BBG00PGHK257 FIGI</stp>
        <stp>MIFID_ASSET_CLASS</stp>
        <stp>[DIF_Risk_20200430.xlsm]Geneva investment position repo!R87C19</stp>
        <tr r="S87" s="1"/>
      </tp>
      <tp t="s">
        <v>B3</v>
        <stp/>
        <stp>##V3_BDPV12</stp>
        <stp>BBG00GDDS1Y1 FIGI</stp>
        <stp>RTG_MOODY</stp>
        <stp>[DIF_Risk_20200430.xlsm]Geneva investment position repo!R109C32</stp>
        <tr r="AF109" s="1"/>
        <tr r="AF109" s="1"/>
      </tp>
      <tp t="s">
        <v>#N/A N/A</v>
        <stp/>
        <stp>##V3_BDPV12</stp>
        <stp>BBG00LSRS878 FIGI</stp>
        <stp>RTG_MOODY</stp>
        <stp>[DIF_Risk_20200430.xlsm]Geneva investment position repo!R104C32</stp>
        <tr r="AF104" s="1"/>
      </tp>
      <tp t="s">
        <v>Commer Banks Non-US</v>
        <stp/>
        <stp>##V3_BDPV12</stp>
        <stp>BBG00CP5W6B3 FIGI</stp>
        <stp>INDUSTRY_SUBGROUP</stp>
        <stp>[DIF_Risk_20200430.xlsm]Geneva investment position repo!R107C41</stp>
        <tr r="AO107" s="1"/>
      </tp>
      <tp t="s">
        <v>BOND</v>
        <stp/>
        <stp>##V3_BDPV12</stp>
        <stp>BBG00NDMRLH2 FIGI</stp>
        <stp>MIFID_ASSET_CLASS</stp>
        <stp>[DIF_Risk_20200430.xlsm]Geneva investment position repo!R58C19</stp>
        <tr r="S58" s="1"/>
      </tp>
      <tp t="s">
        <v>#N/A Field Not Applicable</v>
        <stp/>
        <stp>##V3_BDPV12</stp>
        <stp>BBG00CNK44T9 FIGI</stp>
        <stp>GICS_SECTOR_NAME</stp>
        <stp>[DIF_Risk_20200430.xlsm]Geneva investment position repo!R45C51</stp>
        <tr r="AY45" s="1"/>
      </tp>
      <tp t="s">
        <v>BB</v>
        <stp/>
        <stp>##V3_BDPV12</stp>
        <stp>BBG00MTKPX96 FIGI</stp>
        <stp>RTG_FITCH</stp>
        <stp>[DIF_Risk_20200430.xlsm]Geneva investment position repo!R57C33</stp>
        <tr r="AG57" s="1"/>
        <tr r="AG57" s="1"/>
      </tp>
      <tp t="s">
        <v>XS1876052025</v>
        <stp/>
        <stp>##V3_BDPV12</stp>
        <stp>BBG00LVCWLT9 FIGI</stp>
        <stp>ID_ISIN</stp>
        <stp>[DIF_Risk_20200430.xlsm]Geneva investment position repo!R42C63</stp>
        <tr r="BK42" s="1"/>
      </tp>
      <tp t="s">
        <v>COGO 4 7/8 06/01/21</v>
        <stp/>
        <stp>##V3_BDPV12</stp>
        <stp>BBG00L07ZBX8 FIGI</stp>
        <stp>SECURITY_NAME</stp>
        <stp>[DIF_Risk_20200430.xlsm]SFC Report!R135C8</stp>
        <tr r="H135" s="6"/>
      </tp>
      <tp t="s">
        <v>#N/A N/A</v>
        <stp/>
        <stp>##V3_BDPV12</stp>
        <stp>BBG00RYGHZS1 FIGI</stp>
        <stp>SP_EFF_DT</stp>
        <stp>[DIF_Risk_20200430.xlsm]Geneva investment position repo!R51C71</stp>
        <tr r="BS51" s="1"/>
      </tp>
      <tp t="s">
        <v>Diversified Banking Inst</v>
        <stp/>
        <stp>##V3_BDPV12</stp>
        <stp>BBG00SYNG075 FIGI</stp>
        <stp>INDUSTRY_SUBGROUP</stp>
        <stp>[DIF_Risk_20200430.xlsm]Geneva investment position repo!R40C41</stp>
        <tr r="AO40" s="1"/>
      </tp>
      <tp t="s">
        <v>A3</v>
        <stp/>
        <stp>##V3_BDPV12</stp>
        <stp>BBG00SYNG075 FIGI</stp>
        <stp>RTG_MOODY</stp>
        <stp>[DIF_Risk_20200430.xlsm]Geneva investment position repo!R40C32</stp>
        <tr r="AF40" s="1"/>
        <tr r="AF40" s="1"/>
      </tp>
      <tp t="s">
        <v>XS1908223545</v>
        <stp/>
        <stp>##V3_BDPV12</stp>
        <stp>BBG00MNWHQT8 FIGI</stp>
        <stp>ID_ISIN</stp>
        <stp>[DIF_Risk_20200430.xlsm]Geneva investment position repo!R135C63</stp>
        <tr r="BK135" s="1"/>
      </tp>
      <tp t="s">
        <v>INDUSTRIAL</v>
        <stp/>
        <stp>##V3_BDPV12</stp>
        <stp>BBG00TDCM2R7 FIGI</stp>
        <stp>ISSUER_INDUSTRY</stp>
        <stp>[DIF_Risk_20200430.xlsm]Geneva investment position repo!R147C52</stp>
        <tr r="AZ147" s="1"/>
      </tp>
      <tp t="s">
        <v>FINANCIAL</v>
        <stp/>
        <stp>##V3_BDPV12</stp>
        <stp>BBG00NQDZNG6 FIGI</stp>
        <stp>ISSUER_INDUSTRY</stp>
        <stp>[DIF_Risk_20200430.xlsm]Geneva investment position repo!R178C52</stp>
        <tr r="AZ178" s="1"/>
      </tp>
      <tp t="s">
        <v>#N/A Field Not Applicable</v>
        <stp/>
        <stp>##V3_BDPV12</stp>
        <stp>BBG00R9SLKK9 FIGI</stp>
        <stp>BOND_CLASSIFICATION_NAME</stp>
        <stp>[DIF_Risk_20200430.xlsm]Geneva investment position repo!R148C53</stp>
        <tr r="BA148" s="1"/>
      </tp>
      <tp t="s">
        <v>BANK</v>
        <stp/>
        <stp>##V3_BDPV12</stp>
        <stp>BBG00HPPFXF4 FIGI</stp>
        <stp>ISSUER_INDUSTRY</stp>
        <stp>[DIF_Risk_20200430.xlsm]Geneva investment position repo!R127C52</stp>
        <tr r="AZ127" s="1"/>
      </tp>
      <tp t="s">
        <v>#N/A Field Not Applicable</v>
        <stp/>
        <stp>##V3_BDPV12</stp>
        <stp>BBG00HVHMY65 FIGI</stp>
        <stp>CAPITAL_TYP_COCO_INITIAL_TRIGGER</stp>
        <stp>[DIF_Risk_20200430.xlsm]Geneva investment position repo!R119C43</stp>
        <tr r="AQ119" s="1"/>
      </tp>
      <tp t="s">
        <v>#N/A Field Not Applicable</v>
        <stp/>
        <stp>##V3_BDPV12</stp>
        <stp>BBG00LSRS878 FIGI</stp>
        <stp>BOND_CLASSIFICATION_NAME</stp>
        <stp>[DIF_Risk_20200430.xlsm]Geneva investment position repo!R104C53</stp>
        <tr r="BA104" s="1"/>
      </tp>
      <tp t="s">
        <v>ACTV</v>
        <stp/>
        <stp>##V3_BDPV12</stp>
        <stp>BBG00KKDSP44 FIGI</stp>
        <stp>EXCH_MARKET_STATUS</stp>
        <stp>[DIF_Risk_20200430.xlsm]Geneva investment position repo!R56C44</stp>
        <tr r="AR56" s="1"/>
        <tr r="AR56" s="1"/>
      </tp>
      <tp t="s">
        <v>#N/A Field Not Applicable</v>
        <stp/>
        <stp>##V3_BDPV12</stp>
        <stp>BBG00LSR9049 FIGI</stp>
        <stp>GICS_SECTOR_NAME</stp>
        <stp>[DIF_Risk_20200430.xlsm]Geneva investment position repo!R108C51</stp>
        <tr r="AY108" s="1"/>
      </tp>
      <tp t="s">
        <v>#N/A Field Not Applicable</v>
        <stp/>
        <stp>##V3_BDPV12</stp>
        <stp>BBG00QDN9PZ4 FIGI</stp>
        <stp>CAPITAL_TYP_COCO_INITIAL_TRIGGER</stp>
        <stp>[DIF_Risk_20200430.xlsm]Geneva investment position repo!R138C43</stp>
        <tr r="AQ138" s="1"/>
      </tp>
      <tp t="s">
        <v>Banks</v>
        <stp/>
        <stp>##V3_BDPV12</stp>
        <stp>BBG00N14WRV0 FIGI</stp>
        <stp>INDUSTRY_GROUP</stp>
        <stp>[DIF_Risk_20200430.xlsm]Geneva investment position repo!R142C40</stp>
        <tr r="AN142" s="1"/>
      </tp>
      <tp t="s">
        <v>FINANCIAL</v>
        <stp/>
        <stp>##V3_BDPV12</stp>
        <stp>BBG00NB7HXS0 FIGI</stp>
        <stp>ISSUER_INDUSTRY</stp>
        <stp>[DIF_Risk_20200430.xlsm]Geneva investment position repo!R143C52</stp>
        <tr r="AZ143" s="1"/>
      </tp>
      <tp t="s">
        <v>Insurance</v>
        <stp/>
        <stp>##V3_BDPV12</stp>
        <stp>BBG0016XR1Q8 FIGI</stp>
        <stp>INDUSTRY_GROUP</stp>
        <stp>[DIF_Risk_20200430.xlsm]Geneva investment position repo!R6C40</stp>
        <tr r="AN6" s="1"/>
      </tp>
      <tp t="s">
        <v>2/23/2020</v>
        <stp/>
        <stp>##V3_BDPV12</stp>
        <stp>BBG00RYF5CJ7 FIGI</stp>
        <stp>SP_EFF_DT</stp>
        <stp>[DIF_Risk_20200430.xlsm]Geneva investment position repo!R35C71</stp>
        <tr r="BS35" s="1"/>
      </tp>
      <tp t="s">
        <v>BOND</v>
        <stp/>
        <stp>##V3_BDPV12</stp>
        <stp>BBG00THTNZZ3 FIGI</stp>
        <stp>MIFID_ASSET_CLASS</stp>
        <stp>[DIF_Risk_20200430.xlsm]Geneva investment position repo!R125C19</stp>
        <tr r="S125" s="1"/>
      </tp>
      <tp t="s">
        <v>#N/A N/A</v>
        <stp/>
        <stp>##V3_BDPV12</stp>
        <stp>BBG00PKGTF65 FIGI</stp>
        <stp>RTG_MOODY</stp>
        <stp>[DIF_Risk_20200430.xlsm]Geneva investment position repo!R164C32</stp>
        <tr r="AF164" s="1"/>
      </tp>
      <tp t="s">
        <v>BOND</v>
        <stp/>
        <stp>##V3_BDPV12</stp>
        <stp>BBG00PNSNLZ7 FIGI</stp>
        <stp>MIFID_ASSET_CLASS</stp>
        <stp>[DIF_Risk_20200430.xlsm]Geneva investment position repo!R161C19</stp>
        <tr r="S161" s="1"/>
      </tp>
      <tp t="s">
        <v>B1</v>
        <stp/>
        <stp>##V3_BDPV12</stp>
        <stp>BBG00JVKTCJ1 FIGI</stp>
        <stp>RTG_MOODY</stp>
        <stp>[DIF_Risk_20200430.xlsm]Geneva investment position repo!R110C32</stp>
        <tr r="AF110" s="1"/>
        <tr r="AF110" s="1"/>
      </tp>
      <tp t="s">
        <v>#N/A N/A</v>
        <stp/>
        <stp>##V3_BDPV12</stp>
        <stp>BBG00MKJ4690 FIGI</stp>
        <stp>RTG_FITCH</stp>
        <stp>[DIF_Risk_20200430.xlsm]Geneva investment position repo!R54C33</stp>
        <tr r="AG54" s="1"/>
      </tp>
      <tp t="s">
        <v>BB-</v>
        <stp/>
        <stp>##V3_BDPV12</stp>
        <stp>BBG00PSJ40G0 FIGI</stp>
        <stp>RTG_FITCH</stp>
        <stp>[DIF_Risk_20200430.xlsm]Geneva investment position repo!R97C33</stp>
        <tr r="AG97" s="1"/>
        <tr r="AG97" s="1"/>
      </tp>
      <tp t="s">
        <v>Baa3</v>
        <stp/>
        <stp>##V3_BDPV12</stp>
        <stp>BBG00RPXTTD1 FIGI</stp>
        <stp>RTG_MOODY</stp>
        <stp>[DIF_Risk_20200430.xlsm]Geneva investment position repo!R137C32</stp>
        <tr r="AF137" s="1"/>
        <tr r="AF137" s="1"/>
      </tp>
      <tp t="s">
        <v>Utilities</v>
        <stp/>
        <stp>##V3_BDPV12</stp>
        <stp>BBG00DKQ0MQ4 FIGI</stp>
        <stp>INDUSTRY_SECTOR</stp>
        <stp>[DIF_Risk_20200430.xlsm]Geneva investment position repo!R78C39</stp>
        <tr r="AM78" s="1"/>
      </tp>
      <tp t="s">
        <v>SPECIAL PURPOSE</v>
        <stp/>
        <stp>##V3_BDPV12</stp>
        <stp>BBG00DKQ0MQ4 FIGI</stp>
        <stp>ISSUER_INDUSTRY</stp>
        <stp>[DIF_Risk_20200430.xlsm]Geneva investment position repo!R78C52</stp>
        <tr r="AZ78" s="1"/>
      </tp>
      <tp t="s">
        <v>#N/A Field Not Applicable</v>
        <stp/>
        <stp>##V3_BDPV12</stp>
        <stp>BBG00LVCGFZ3 FIGI</stp>
        <stp>CAPITAL_TYP_COCO_INITIAL_TRIGGER</stp>
        <stp>[DIF_Risk_20200430.xlsm]Geneva investment position repo!R77C43</stp>
        <tr r="AQ77" s="1"/>
      </tp>
      <tp t="s">
        <v>A-</v>
        <stp/>
        <stp>##V3_BDPV12</stp>
        <stp>BBG00M0MD1Z7 FIGI</stp>
        <stp>RTG_FITCH</stp>
        <stp>[DIF_Risk_20200430.xlsm]Geneva investment position repo!R55C33</stp>
        <tr r="AG55" s="1"/>
        <tr r="AG55" s="1"/>
      </tp>
      <tp t="s">
        <v>BBB</v>
        <stp/>
        <stp>##V3_BDPV12</stp>
        <stp>BBG00S9HKR72 FIGI</stp>
        <stp>RTG_FITCH</stp>
        <stp>[DIF_Risk_20200430.xlsm]Geneva investment position repo!R36C33</stp>
        <tr r="AG36" s="1"/>
        <tr r="AG36" s="1"/>
      </tp>
      <tp t="s">
        <v>#N/A Field Not Applicable</v>
        <stp/>
        <stp>##V3_BDPV12</stp>
        <stp>BBG000BJ35N5 FIGI</stp>
        <stp>CAPITAL_TYP_COCO_INITIAL_TRIGGER</stp>
        <stp>[DIF_Risk_20200430.xlsm]Geneva investment position repo!R25C43</stp>
        <tr r="AQ25" s="1"/>
      </tp>
      <tp t="s">
        <v>#N/A Field Not Applicable</v>
        <stp/>
        <stp>##V3_BDPV12</stp>
        <stp>BBG00NDMRLH2 FIGI</stp>
        <stp>CAPITAL_TYP_COCO_INITIAL_TRIGGER</stp>
        <stp>[DIF_Risk_20200430.xlsm]Geneva investment position repo!R58C43</stp>
        <tr r="AQ58" s="1"/>
      </tp>
      <tp t="s">
        <v>XS1795479291</v>
        <stp/>
        <stp>##V3_BDPV12</stp>
        <stp>BBG00KDP8LC7 FIGI</stp>
        <stp>ID_ISIN</stp>
        <stp>[DIF_Risk_20200430.xlsm]Geneva investment position repo!R49C63</stp>
        <tr r="BK49" s="1"/>
      </tp>
      <tp t="s">
        <v>BB-</v>
        <stp/>
        <stp>##V3_BDPV12</stp>
        <stp>BBG00LVCWLT9 FIGI</stp>
        <stp>RTG_FITCH</stp>
        <stp>[DIF_Risk_20200430.xlsm]Geneva investment position repo!R42C33</stp>
        <tr r="AG42" s="1"/>
        <tr r="AG42" s="1"/>
      </tp>
      <tp t="s">
        <v>Energy-Alternate Sources</v>
        <stp/>
        <stp>##V3_BDPV12</stp>
        <stp>BBG00H5KNJZ7 FIGI</stp>
        <stp>INDUSTRY_SUBGROUP</stp>
        <stp>[DIF_Risk_20200430.xlsm]Geneva investment position repo!R80C41</stp>
        <tr r="AO80" s="1"/>
      </tp>
      <tp t="s">
        <v>#N/A Field Not Applicable</v>
        <stp/>
        <stp>##V3_BDPV12</stp>
        <stp>BBG00RYDYKF6 FIGI</stp>
        <stp>BOND_CLASSIFICATION_NAME</stp>
        <stp>[DIF_Risk_20200430.xlsm]Geneva investment position repo!R89C53</stp>
        <tr r="BA89" s="1"/>
      </tp>
      <tp t="s">
        <v>Ba1</v>
        <stp/>
        <stp>##V3_BDPV12</stp>
        <stp>BBG00H5KNJZ7 FIGI</stp>
        <stp>RTG_MOODY</stp>
        <stp>[DIF_Risk_20200430.xlsm]Geneva investment position repo!R80C32</stp>
        <tr r="AF80" s="1"/>
        <tr r="AF80" s="1"/>
      </tp>
      <tp t="s">
        <v>Telephone-Integrated</v>
        <stp/>
        <stp>##V3_BDPV12</stp>
        <stp>BBG00RPJBQ56 FIGI</stp>
        <stp>INDUSTRY_SUBGROUP</stp>
        <stp>[DIF_Risk_20200430.xlsm]Geneva investment position repo!R27C41</stp>
        <tr r="AO27" s="1"/>
      </tp>
      <tp t="s">
        <v>BOND</v>
        <stp/>
        <stp>##V3_BDPV12</stp>
        <stp>BBG00T6LY8D4 FIGI</stp>
        <stp>MIFID_ASSET_CLASS</stp>
        <stp>[DIF_Risk_20200430.xlsm]Geneva investment position repo!R94C19</stp>
        <tr r="S94" s="1"/>
      </tp>
      <tp t="s">
        <v>Baa1</v>
        <stp/>
        <stp>##V3_BDPV12</stp>
        <stp>BBG00PKGT0Y7 FIGI</stp>
        <stp>RTG_MOODY</stp>
        <stp>[DIF_Risk_20200430.xlsm]Geneva investment position repo!R166C32</stp>
        <tr r="AF166" s="1"/>
        <tr r="AF166" s="1"/>
      </tp>
      <tp t="s">
        <v>Ba1</v>
        <stp/>
        <stp>##V3_BDPV12</stp>
        <stp>BBG00RPJBQ56 FIGI</stp>
        <stp>RTG_MOODY</stp>
        <stp>[DIF_Risk_20200430.xlsm]Geneva investment position repo!R27C32</stp>
        <tr r="AF27" s="1"/>
        <tr r="AF27" s="1"/>
      </tp>
      <tp t="s">
        <v>#N/A N/A</v>
        <stp/>
        <stp>##V3_BDPV12</stp>
        <stp>BBG00Q3NXL14 FIGI</stp>
        <stp>RTG_FITCH</stp>
        <stp>[DIF_Risk_20200430.xlsm]Geneva investment position repo!R59C33</stp>
        <tr r="AG59" s="1"/>
      </tp>
      <tp t="s">
        <v>XS2024786035</v>
        <stp/>
        <stp>##V3_BDPV12</stp>
        <stp>BBG00PQ3PWZ3 FIGI</stp>
        <stp>ID_ISIN</stp>
        <stp>[DIF_Risk_20200430.xlsm]Geneva investment position repo!R84C63</stp>
        <tr r="BK84" s="1"/>
      </tp>
      <tp t="s">
        <v>#N/A Field Not Applicable</v>
        <stp/>
        <stp>##V3_BDPV12</stp>
        <stp>BBG00JVKTCJ1 FIGI</stp>
        <stp>CAPITAL_TYP_COCO_INITIAL_TRIGGER</stp>
        <stp>[DIF_Risk_20200430.xlsm]Geneva investment position repo!R110C43</stp>
        <tr r="AQ110" s="1"/>
      </tp>
      <tp t="s">
        <v>Financial</v>
        <stp/>
        <stp>##V3_BDPV12</stp>
        <stp>BBG00HPPFXF4 FIGI</stp>
        <stp>INDUSTRY_SECTOR</stp>
        <stp>[DIF_Risk_20200430.xlsm]Geneva investment position repo!R127C39</stp>
        <tr r="AM127" s="1"/>
      </tp>
      <tp t="s">
        <v>Real Estate</v>
        <stp/>
        <stp>##V3_BDPV12</stp>
        <stp>BBG00MTS9QX5 FIGI</stp>
        <stp>INDUSTRY_GROUP</stp>
        <stp>[DIF_Risk_20200430.xlsm]Geneva investment position repo!R157C40</stp>
        <tr r="AN157" s="1"/>
      </tp>
      <tp t="s">
        <v>#N/A Field Not Applicable</v>
        <stp/>
        <stp>##V3_BDPV12</stp>
        <stp>BBG00RHHSFZ2 FIGI</stp>
        <stp>CAPITAL_TYP_COCO_INITIAL_TRIGGER</stp>
        <stp>[DIF_Risk_20200430.xlsm]Geneva investment position repo!R122C43</stp>
        <tr r="AQ122" s="1"/>
      </tp>
      <tp t="s">
        <v>#N/A Field Not Applicable</v>
        <stp/>
        <stp>##V3_BDPV12</stp>
        <stp>BBG00HDTX5P9 FIGI</stp>
        <stp>BOND_CLASSIFICATION_NAME</stp>
        <stp>[DIF_Risk_20200430.xlsm]Geneva investment position repo!R111C53</stp>
        <tr r="BA111" s="1"/>
      </tp>
      <tp t="s">
        <v>Financial</v>
        <stp/>
        <stp>##V3_BDPV12</stp>
        <stp>BBG00NQDZNG6 FIGI</stp>
        <stp>INDUSTRY_SECTOR</stp>
        <stp>[DIF_Risk_20200430.xlsm]Geneva investment position repo!R178C39</stp>
        <tr r="AM178" s="1"/>
      </tp>
      <tp t="s">
        <v>Real Estate</v>
        <stp/>
        <stp>##V3_BDPV12</stp>
        <stp>BBG00MNWHQT8 FIGI</stp>
        <stp>INDUSTRY_GROUP</stp>
        <stp>[DIF_Risk_20200430.xlsm]Geneva investment position repo!R135C40</stp>
        <tr r="AN135" s="1"/>
      </tp>
      <tp t="s">
        <v>Industrial</v>
        <stp/>
        <stp>##V3_BDPV12</stp>
        <stp>BBG00TDCM2R7 FIGI</stp>
        <stp>INDUSTRY_SECTOR</stp>
        <stp>[DIF_Risk_20200430.xlsm]Geneva investment position repo!R147C39</stp>
        <tr r="AM147" s="1"/>
      </tp>
      <tp t="s">
        <v>XS1592893546</v>
        <stp/>
        <stp>##V3_BDPV12</stp>
        <stp>BBG00GDDS1Y1 FIGI</stp>
        <stp>ID_ISIN</stp>
        <stp>[DIF_Risk_20200430.xlsm]Geneva investment position repo!R109C63</stp>
        <tr r="BK109" s="1"/>
      </tp>
      <tp t="s">
        <v>XS1618163452</v>
        <stp/>
        <stp>##V3_BDPV12</stp>
        <stp>BBG00GSCY4N6 FIGI</stp>
        <stp>ID_ISIN</stp>
        <stp>[DIF_Risk_20200430.xlsm]Geneva investment position repo!R116C63</stp>
        <tr r="BK116" s="1"/>
      </tp>
      <tp t="s">
        <v>Real Estate</v>
        <stp/>
        <stp>##V3_BDPV12</stp>
        <stp>BBG00PNSNLZ7 FIGI</stp>
        <stp>INDUSTRY_GROUP</stp>
        <stp>[DIF_Risk_20200430.xlsm]Geneva investment position repo!R161C40</stp>
        <tr r="AN161" s="1"/>
      </tp>
      <tp t="s">
        <v>#N/A N/A</v>
        <stp/>
        <stp>##V3_BDPV12</stp>
        <stp>BBG00RZ2MZZ7 FIGI</stp>
        <stp>RTG_SP</stp>
        <stp>[DIF_Risk_20200430.xlsm]Geneva investment position repo!R113C31</stp>
        <tr r="AE113" s="1"/>
      </tp>
      <tp t="s">
        <v>#N/A Field Not Applicable</v>
        <stp/>
        <stp>##V3_BDPV12</stp>
        <stp>BBG00P7N38J5 FIGI</stp>
        <stp>CAPITAL_TYP_COCO_INITIAL_TRIGGER</stp>
        <stp>[DIF_Risk_20200430.xlsm]Geneva investment position repo!R175C43</stp>
        <tr r="AQ175" s="1"/>
      </tp>
      <tp t="s">
        <v>Real Estate</v>
        <stp/>
        <stp>##V3_BDPV12</stp>
        <stp>BBG00N9X3LW2 FIGI</stp>
        <stp>GICS_SECTOR_NAME</stp>
        <stp>[DIF_Risk_20200430.xlsm]Geneva investment position repo!R180C51</stp>
        <tr r="AY180" s="1"/>
      </tp>
      <tp t="s">
        <v>Energy</v>
        <stp/>
        <stp>##V3_BDPV12</stp>
        <stp>BBG00JC8V4T3 FIGI</stp>
        <stp>INDUSTRY_SECTOR</stp>
        <stp>[DIF_Risk_20200430.xlsm]Geneva investment position repo!R176C39</stp>
        <tr r="AM176" s="1"/>
      </tp>
      <tp t="s">
        <v>ACTV</v>
        <stp/>
        <stp>##V3_BDPV12</stp>
        <stp>BBG00NDMRLH2 FIGI</stp>
        <stp>EXCH_MARKET_STATUS</stp>
        <stp>[DIF_Risk_20200430.xlsm]Geneva investment position repo!R58C44</stp>
        <tr r="AR58" s="1"/>
        <tr r="AR58" s="1"/>
      </tp>
      <tp t="s">
        <v>#N/A Field Not Applicable</v>
        <stp/>
        <stp>##V3_BDPV12</stp>
        <stp>BBG000GD4N44 FIGI</stp>
        <stp>SP_EFF_DT</stp>
        <stp>[DIF_Risk_20200430.xlsm]Geneva investment position repo!R23C71</stp>
        <tr r="BS23" s="1"/>
      </tp>
      <tp t="s">
        <v>BB-</v>
        <stp/>
        <stp>##V3_BDPV12</stp>
        <stp>BBG00PNSNLZ7 FIGI</stp>
        <stp>RTG_FITCH</stp>
        <stp>[DIF_Risk_20200430.xlsm]Geneva investment position repo!R161C33</stp>
        <tr r="AG161" s="1"/>
        <tr r="AG161" s="1"/>
      </tp>
      <tp t="s">
        <v>#N/A N/A</v>
        <stp/>
        <stp>##V3_BDPV12</stp>
        <stp>BBG00PDL9DV1 FIGI</stp>
        <stp>RTG_MOODY</stp>
        <stp>[DIF_Risk_20200430.xlsm]Geneva investment position repo!R53C32</stp>
        <tr r="AF53" s="1"/>
      </tp>
      <tp t="s">
        <v>Building-Heavy Construct</v>
        <stp/>
        <stp>##V3_BDPV12</stp>
        <stp>BBG00PDL9DV1 FIGI</stp>
        <stp>INDUSTRY_SUBGROUP</stp>
        <stp>[DIF_Risk_20200430.xlsm]Geneva investment position repo!R53C41</stp>
        <tr r="AO53" s="1"/>
      </tp>
      <tp t="s">
        <v>#N/A Field Not Applicable</v>
        <stp/>
        <stp>##V3_BDPV12</stp>
        <stp>BBG00QN3F2R0 FIGI</stp>
        <stp>GICS_SECTOR_NAME</stp>
        <stp>[DIF_Risk_20200430.xlsm]Geneva investment position repo!R28C51</stp>
        <tr r="AY28" s="1"/>
      </tp>
      <tp t="s">
        <v>BBB</v>
        <stp/>
        <stp>##V3_BDPV12</stp>
        <stp>BBG00THTNZZ3 FIGI</stp>
        <stp>RTG_FITCH</stp>
        <stp>[DIF_Risk_20200430.xlsm]Geneva investment position repo!R125C33</stp>
        <tr r="AG125" s="1"/>
        <tr r="AG125" s="1"/>
      </tp>
      <tp t="s">
        <v>BB-</v>
        <stp/>
        <stp>##V3_BDPV12</stp>
        <stp>BBG00N2K8LG0 FIGI</stp>
        <stp>RTG_FITCH</stp>
        <stp>[DIF_Risk_20200430.xlsm]Geneva investment position repo!R43C33</stp>
        <tr r="AG43" s="1"/>
        <tr r="AG43" s="1"/>
      </tp>
      <tp t="s">
        <v>#N/A Field Not Applicable</v>
        <stp/>
        <stp>##V3_BDPV12</stp>
        <stp>BBG00QT8QWY7 FIGI</stp>
        <stp>CAPITAL_TYP_COCO_INITIAL_TRIGGER</stp>
        <stp>[DIF_Risk_20200430.xlsm]Geneva investment position repo!R46C43</stp>
        <tr r="AQ46" s="1"/>
      </tp>
      <tp t="s">
        <v>#N/A N/A</v>
        <stp/>
        <stp>##V3_BDPV12</stp>
        <stp>BBG00RYDWX24 FIGI</stp>
        <stp>SP_EFF_DT</stp>
        <stp>[DIF_Risk_20200430.xlsm]Geneva investment position repo!R85C71</stp>
        <tr r="BS85" s="1"/>
      </tp>
      <tp t="s">
        <v>A</v>
        <stp/>
        <stp>##V3_BDPV12</stp>
        <stp>BBG00SYNG075 FIGI</stp>
        <stp>RTG_FITCH</stp>
        <stp>[DIF_Risk_20200430.xlsm]Geneva investment position repo!R40C33</stp>
        <tr r="AG40" s="1"/>
        <tr r="AG40" s="1"/>
      </tp>
      <tp t="s">
        <v>Financial</v>
        <stp/>
        <stp>##V3_BDPV12</stp>
        <stp>BBG00RPXTZN6 FIGI</stp>
        <stp>INDUSTRY_SECTOR</stp>
        <stp>[DIF_Risk_20200430.xlsm]Geneva investment position repo!R90C39</stp>
        <tr r="AM90" s="1"/>
      </tp>
      <tp t="s">
        <v>BANK</v>
        <stp/>
        <stp>##V3_BDPV12</stp>
        <stp>BBG00RPXTZN6 FIGI</stp>
        <stp>ISSUER_INDUSTRY</stp>
        <stp>[DIF_Risk_20200430.xlsm]Geneva investment position repo!R90C52</stp>
        <tr r="AZ90" s="1"/>
      </tp>
      <tp t="s">
        <v>3/15/2019</v>
        <stp/>
        <stp>##V3_BDPV12</stp>
        <stp>BBG00KKDSP44 FIGI</stp>
        <stp>SP_EFF_DT</stp>
        <stp>[DIF_Risk_20200430.xlsm]Geneva investment position repo!R56C71</stp>
        <tr r="BS56" s="1"/>
      </tp>
      <tp t="s">
        <v>Health Care</v>
        <stp/>
        <stp>##V3_BDPV12</stp>
        <stp>BBG00GTY47H0 FIGI</stp>
        <stp>GICS_SECTOR_NAME</stp>
        <stp>[DIF_Risk_20200430.xlsm]Geneva investment position repo!R26C51</stp>
        <tr r="AY26" s="1"/>
      </tp>
      <tp t="s">
        <v>#N/A N/A</v>
        <stp/>
        <stp>##V3_BDPV12</stp>
        <stp>BBG00MTKPX96 FIGI</stp>
        <stp>RTG_MOODY</stp>
        <stp>[DIF_Risk_20200430.xlsm]Geneva investment position repo!R57C32</stp>
        <tr r="AF57" s="1"/>
      </tp>
      <tp t="s">
        <v>#N/A Field Not Applicable</v>
        <stp/>
        <stp>##V3_BDPV12</stp>
        <stp>BBG00RPXTZN6 FIGI</stp>
        <stp>BOND_CLASSIFICATION_NAME</stp>
        <stp>[DIF_Risk_20200430.xlsm]Geneva investment position repo!R90C53</stp>
        <tr r="BA90" s="1"/>
      </tp>
      <tp t="s">
        <v>Real Estate Oper/Develop</v>
        <stp/>
        <stp>##V3_BDPV12</stp>
        <stp>BBG00MTKPX96 FIGI</stp>
        <stp>INDUSTRY_SUBGROUP</stp>
        <stp>[DIF_Risk_20200430.xlsm]Geneva investment position repo!R57C41</stp>
        <tr r="AO57" s="1"/>
      </tp>
      <tp t="s">
        <v>Electric-Integrated</v>
        <stp/>
        <stp>##V3_BDPV12</stp>
        <stp>BBG000BDWNL9 FIGI</stp>
        <stp>INDUSTRY_SUBGROUP</stp>
        <stp>[DIF_Risk_20200430.xlsm]Geneva investment position repo!R24C41</stp>
        <tr r="AO24" s="1"/>
      </tp>
      <tp t="s">
        <v>Financial</v>
        <stp/>
        <stp>##V3_BDPV12</stp>
        <stp>BBG00RYGHZS1 FIGI</stp>
        <stp>INDUSTRY_SECTOR</stp>
        <stp>[DIF_Risk_20200430.xlsm]Geneva investment position repo!R51C39</stp>
        <tr r="AM51" s="1"/>
      </tp>
      <tp t="s">
        <v>SPECIAL PURPOSE</v>
        <stp/>
        <stp>##V3_BDPV12</stp>
        <stp>BBG00RYGHZS1 FIGI</stp>
        <stp>ISSUER_INDUSTRY</stp>
        <stp>[DIF_Risk_20200430.xlsm]Geneva investment position repo!R51C52</stp>
        <tr r="AZ51" s="1"/>
      </tp>
      <tp t="s">
        <v>8/30/2018</v>
        <stp/>
        <stp>##V3_BDPV12</stp>
        <stp>BBG00LVCGFZ3 FIGI</stp>
        <stp>SP_EFF_DT</stp>
        <stp>[DIF_Risk_20200430.xlsm]Geneva investment position repo!R77C71</stp>
        <tr r="BS77" s="1"/>
      </tp>
      <tp t="s">
        <v>#N/A Field Not Applicable</v>
        <stp/>
        <stp>##V3_BDPV12</stp>
        <stp>BBG00DXBXRD0 FIGI</stp>
        <stp>GICS_SECTOR_NAME</stp>
        <stp>[DIF_Risk_20200430.xlsm]Geneva investment position repo!R93C51</stp>
        <tr r="AY93" s="1"/>
      </tp>
      <tp t="s">
        <v>Water</v>
        <stp/>
        <stp>##V3_BDPV12</stp>
        <stp>BBG000BDW8M1 FIGI</stp>
        <stp>ISSUER_INDUSTRY</stp>
        <stp>[DIF_Risk_20200430.xlsm]Geneva investment position repo!R14C52</stp>
        <tr r="AZ14" s="1"/>
      </tp>
      <tp t="s">
        <v>Utilities</v>
        <stp/>
        <stp>##V3_BDPV12</stp>
        <stp>BBG000BDW8M1 FIGI</stp>
        <stp>INDUSTRY_SECTOR</stp>
        <stp>[DIF_Risk_20200430.xlsm]Geneva investment position repo!R14C39</stp>
        <tr r="AM14" s="1"/>
      </tp>
      <tp t="s">
        <v>Financials</v>
        <stp/>
        <stp>##V3_BDPV12</stp>
        <stp>BBG00RTNXBH9 FIGI</stp>
        <stp>GICS_SECTOR_NAME</stp>
        <stp>[DIF_Risk_20200430.xlsm]Geneva investment position repo!R69C51</stp>
        <tr r="AY69" s="1"/>
      </tp>
      <tp t="s">
        <v>COGO 4 7/8 06/01/21</v>
        <stp/>
        <stp>##V3_BDPV12</stp>
        <stp>BBG00L07ZBX8 FIGI</stp>
        <stp>SECURITY_NAME</stp>
        <stp>[DIF_Risk_20200430.xlsm]SFC Report!R193C8</stp>
        <tr r="H193" s="6"/>
      </tp>
      <tp t="s">
        <v>XS2079799024</v>
        <stp/>
        <stp>##V3_BDPV12</stp>
        <stp>BBG00QT8QWY7 FIGI</stp>
        <stp>ID_ISIN</stp>
        <stp>[DIF_Risk_20200430.xlsm]Geneva investment position repo!R46C63</stp>
        <tr r="BK46" s="1"/>
      </tp>
      <tp t="s">
        <v>#N/A N/A</v>
        <stp/>
        <stp>##V3_BDPV12</stp>
        <stp>BBG00RPNYQB5 FIGI</stp>
        <stp>RTG_FITCH</stp>
        <stp>[DIF_Risk_20200430.xlsm]Geneva investment position repo!R47C33</stp>
        <tr r="AG47" s="1"/>
      </tp>
      <tp t="s">
        <v>#N/A N/A</v>
        <stp/>
        <stp>##V3_BDPV12</stp>
        <stp>BBG00RDBJ3B2 FIGI</stp>
        <stp>SP_EFF_DT</stp>
        <stp>[DIF_Risk_20200430.xlsm]Geneva investment position repo!R34C71</stp>
        <tr r="BS34" s="1"/>
      </tp>
      <tp t="s">
        <v>UTILITY - ELEC</v>
        <stp/>
        <stp>##V3_BDPV12</stp>
        <stp>BBG00PSJPXV8 FIGI</stp>
        <stp>ISSUER_INDUSTRY</stp>
        <stp>[DIF_Risk_20200430.xlsm]Geneva investment position repo!R82C52</stp>
        <tr r="AZ82" s="1"/>
      </tp>
      <tp t="s">
        <v>Energy</v>
        <stp/>
        <stp>##V3_BDPV12</stp>
        <stp>BBG00PSJPXV8 FIGI</stp>
        <stp>INDUSTRY_SECTOR</stp>
        <stp>[DIF_Risk_20200430.xlsm]Geneva investment position repo!R82C39</stp>
        <tr r="AM82" s="1"/>
      </tp>
      <tp t="s">
        <v>B+</v>
        <stp/>
        <stp>##V3_BDPV12</stp>
        <stp>BBG00JVKTCJ1 FIGI</stp>
        <stp>RTG_SP</stp>
        <stp>[DIF_Risk_20200430.xlsm]Geneva investment position repo!R110C31</stp>
        <tr r="AE110" s="1"/>
        <tr r="AE110" s="1"/>
      </tp>
      <tp t="s">
        <v>B-</v>
        <stp/>
        <stp>##V3_BDPV12</stp>
        <stp>BBG00PK1ZYS6 FIGI</stp>
        <stp>RTG_SP</stp>
        <stp>[DIF_Risk_20200430.xlsm]Geneva investment position repo!R146C31</stp>
        <tr r="AE146" s="1"/>
        <tr r="AE146" s="1"/>
      </tp>
      <tp t="s">
        <v>Real Estate</v>
        <stp/>
        <stp>##V3_BDPV12</stp>
        <stp>BBG00LSRS878 FIGI</stp>
        <stp>GICS_SECTOR_NAME</stp>
        <stp>[DIF_Risk_20200430.xlsm]Geneva investment position repo!R104C51</stp>
        <tr r="AY104" s="1"/>
      </tp>
      <tp t="s">
        <v>USY59505AA82</v>
        <stp/>
        <stp>##V3_BDPV12</stp>
        <stp>BBG00JVKTCJ1 FIGI</stp>
        <stp>ID_ISIN</stp>
        <stp>[DIF_Risk_20200430.xlsm]Geneva investment position repo!R110C63</stp>
        <tr r="BK110" s="1"/>
      </tp>
      <tp t="s">
        <v>Real Estate</v>
        <stp/>
        <stp>##V3_BDPV12</stp>
        <stp>BBG00R9SLKK9 FIGI</stp>
        <stp>GICS_SECTOR_NAME</stp>
        <stp>[DIF_Risk_20200430.xlsm]Geneva investment position repo!R148C51</stp>
        <tr r="AY148" s="1"/>
      </tp>
      <tp t="s">
        <v>Real Estate</v>
        <stp/>
        <stp>##V3_BDPV12</stp>
        <stp>BBG00NQF0SC2 FIGI</stp>
        <stp>INDUSTRY_GROUP</stp>
        <stp>[DIF_Risk_20200430.xlsm]Geneva investment position repo!R160C40</stp>
        <tr r="AN160" s="1"/>
      </tp>
      <tp t="s">
        <v>ACTV</v>
        <stp/>
        <stp>##V3_BDPV12</stp>
        <stp>BBG00PQ3QH67 FIGI</stp>
        <stp>EXCH_MARKET_STATUS</stp>
        <stp>[DIF_Risk_20200430.xlsm]Geneva investment position repo!R73C44</stp>
        <tr r="AR73" s="1"/>
        <tr r="AR73" s="1"/>
      </tp>
      <tp t="s">
        <v>Financial</v>
        <stp/>
        <stp>##V3_BDPV12</stp>
        <stp>BBG00NG9L0S8 FIGI</stp>
        <stp>INDUSTRY_SECTOR</stp>
        <stp>[DIF_Risk_20200430.xlsm]Geneva investment position repo!R134C39</stp>
        <tr r="AM134" s="1"/>
      </tp>
      <tp t="s">
        <v>ACTV</v>
        <stp/>
        <stp>##V3_BDPV12</stp>
        <stp>BBG00LD1QR26 FIGI</stp>
        <stp>EXCH_MARKET_STATUS</stp>
        <stp>[DIF_Risk_20200430.xlsm]Geneva investment position repo!R12C44</stp>
        <tr r="AR12" s="1"/>
        <tr r="AR12" s="1"/>
      </tp>
      <tp t="s">
        <v>ACTV</v>
        <stp/>
        <stp>##V3_BDPV12</stp>
        <stp>BBG00SY1QXH9 FIGI</stp>
        <stp>EXCH_MARKET_STATUS</stp>
        <stp>[DIF_Risk_20200430.xlsm]Geneva investment position repo!R31C44</stp>
        <tr r="AR31" s="1"/>
        <tr r="AR31" s="1"/>
      </tp>
      <tp t="s">
        <v>ACTV</v>
        <stp/>
        <stp>##V3_BDPV12</stp>
        <stp>BBG00QT8QWY7 FIGI</stp>
        <stp>EXCH_MARKET_STATUS</stp>
        <stp>[DIF_Risk_20200430.xlsm]Geneva investment position repo!R46C44</stp>
        <tr r="AR46" s="1"/>
        <tr r="AR46" s="1"/>
      </tp>
      <tp t="s">
        <v>Real Estate</v>
        <stp/>
        <stp>##V3_BDPV12</stp>
        <stp>BBG00PDYXN26 FIGI</stp>
        <stp>INDUSTRY_GROUP</stp>
        <stp>[DIF_Risk_20200430.xlsm]Geneva investment position repo!R156C40</stp>
        <tr r="AN156" s="1"/>
      </tp>
      <tp t="s">
        <v>B3</v>
        <stp/>
        <stp>##V3_BDPV12</stp>
        <stp>BBG00RD4VH41 FIGI</stp>
        <stp>RTG_MOODY</stp>
        <stp>[DIF_Risk_20200430.xlsm]Geneva investment position repo!R106C32</stp>
        <tr r="AF106" s="1"/>
        <tr r="AF106" s="1"/>
      </tp>
      <tp t="s">
        <v>HK0002007356</v>
        <stp/>
        <stp>##V3_BDPV12</stp>
        <stp>BBG000BDV566 FIGI</stp>
        <stp>ID_ISIN</stp>
        <stp>[DIF_Risk_20200430.xlsm]Geneva investment position repo!R13C63</stp>
        <tr r="BK13" s="1"/>
      </tp>
      <tp t="s">
        <v>B2</v>
        <stp/>
        <stp>##V3_BDPV12</stp>
        <stp>BBG00PDL9DC2 FIGI</stp>
        <stp>RTG_MOODY</stp>
        <stp>[DIF_Risk_20200430.xlsm]Geneva investment position repo!R92C32</stp>
        <tr r="AF92" s="1"/>
        <tr r="AF92" s="1"/>
      </tp>
      <tp t="s">
        <v>Real Estate Oper/Develop</v>
        <stp/>
        <stp>##V3_BDPV12</stp>
        <stp>BBG00PDL9DC2 FIGI</stp>
        <stp>INDUSTRY_SUBGROUP</stp>
        <stp>[DIF_Risk_20200430.xlsm]Geneva investment position repo!R92C41</stp>
        <tr r="AO92" s="1"/>
      </tp>
      <tp t="s">
        <v>BB</v>
        <stp/>
        <stp>##V3_BDPV12</stp>
        <stp>BBG00RB0MG61 FIGI</stp>
        <stp>RTG_FITCH</stp>
        <stp>[DIF_Risk_20200430.xlsm]Geneva investment position repo!R100C33</stp>
        <tr r="AG100" s="1"/>
        <tr r="AG100" s="1"/>
      </tp>
      <tp t="s">
        <v>#N/A N/A</v>
        <stp/>
        <stp>##V3_BDPV12</stp>
        <stp>BBG00HVHMY65 FIGI</stp>
        <stp>RTG_FITCH</stp>
        <stp>[DIF_Risk_20200430.xlsm]Geneva investment position repo!R119C33</stp>
        <tr r="AG119" s="1"/>
      </tp>
      <tp t="s">
        <v>BOND</v>
        <stp/>
        <stp>##V3_BDPV12</stp>
        <stp>BBG00PSJ40G0 FIGI</stp>
        <stp>MIFID_ASSET_CLASS</stp>
        <stp>[DIF_Risk_20200430.xlsm]Geneva investment position repo!R97C19</stp>
        <tr r="S97" s="1"/>
      </tp>
      <tp t="s">
        <v>BOND</v>
        <stp/>
        <stp>##V3_BDPV12</stp>
        <stp>BBG00R9SLKK9 FIGI</stp>
        <stp>MIFID_ASSET_CLASS</stp>
        <stp>[DIF_Risk_20200430.xlsm]Geneva investment position repo!R148C19</stp>
        <tr r="S148" s="1"/>
      </tp>
      <tp t="s">
        <v>#N/A N/A</v>
        <stp/>
        <stp>##V3_BDPV12</stp>
        <stp>BBG00RZ2MZZ7 FIGI</stp>
        <stp>RTG_FITCH</stp>
        <stp>[DIF_Risk_20200430.xlsm]Geneva investment position repo!R113C33</stp>
        <tr r="AG113" s="1"/>
      </tp>
      <tp t="s">
        <v>BB</v>
        <stp/>
        <stp>##V3_BDPV12</stp>
        <stp>BBG00KNCMN62 FIGI</stp>
        <stp>RTG_FITCH</stp>
        <stp>[DIF_Risk_20200430.xlsm]Geneva investment position repo!R102C33</stp>
        <tr r="AG102" s="1"/>
        <tr r="AG102" s="1"/>
      </tp>
      <tp t="s">
        <v>B1 *-</v>
        <stp/>
        <stp>##V3_BDPV12</stp>
        <stp>BBG00R9LVRX4 FIGI</stp>
        <stp>RTG_MOODY</stp>
        <stp>[DIF_Risk_20200430.xlsm]Geneva investment position repo!R172C32</stp>
        <tr r="AF172" s="1"/>
        <tr r="AF172" s="1"/>
      </tp>
      <tp t="s">
        <v>B1</v>
        <stp/>
        <stp>##V3_BDPV12</stp>
        <stp>BBG00LJTVJR4 FIGI</stp>
        <stp>RTG_MOODY</stp>
        <stp>[DIF_Risk_20200430.xlsm]Geneva investment position repo!R154C32</stp>
        <tr r="AF154" s="1"/>
        <tr r="AF154" s="1"/>
      </tp>
      <tp t="s">
        <v>A2</v>
        <stp/>
        <stp>##V3_BDPV12</stp>
        <stp>BBG00TJ8VS75 FIGI</stp>
        <stp>RTG_MOODY</stp>
        <stp>[DIF_Risk_20200430.xlsm]Geneva investment position repo!R167C32</stp>
        <tr r="AF167" s="1"/>
        <tr r="AF167" s="1"/>
      </tp>
      <tp t="s">
        <v>Real Estate Oper/Develop</v>
        <stp/>
        <stp>##V3_BDPV12</stp>
        <stp>BBG00N14RT60 FIGI</stp>
        <stp>INDUSTRY_SUBGROUP</stp>
        <stp>[DIF_Risk_20200430.xlsm]Geneva investment position repo!R153C41</stp>
        <tr r="AO153" s="1"/>
      </tp>
      <tp t="s">
        <v>BB-</v>
        <stp/>
        <stp>##V3_BDPV12</stp>
        <stp>BBG00NDFM319 FIGI</stp>
        <stp>RTG_FITCH</stp>
        <stp>[DIF_Risk_20200430.xlsm]Geneva investment position repo!R140C33</stp>
        <tr r="AG140" s="1"/>
        <tr r="AG140" s="1"/>
      </tp>
      <tp t="s">
        <v>A1</v>
        <stp/>
        <stp>##V3_BDPV12</stp>
        <stp>BBG00T6LYC72 FIGI</stp>
        <stp>RTG_MOODY</stp>
        <stp>[DIF_Risk_20200430.xlsm]Geneva investment position repo!R95C32</stp>
        <tr r="AF95" s="1"/>
        <tr r="AF95" s="1"/>
      </tp>
      <tp t="s">
        <v>Sovereign</v>
        <stp/>
        <stp>##V3_BDPV12</stp>
        <stp>BBG00T6LYC72 FIGI</stp>
        <stp>INDUSTRY_SUBGROUP</stp>
        <stp>[DIF_Risk_20200430.xlsm]Geneva investment position repo!R95C41</stp>
        <tr r="AO95" s="1"/>
      </tp>
      <tp t="s">
        <v>B+</v>
        <stp/>
        <stp>##V3_BDPV12</stp>
        <stp>BBG00NTXM180 FIGI</stp>
        <stp>RTG_FITCH</stp>
        <stp>[DIF_Risk_20200430.xlsm]Geneva investment position repo!R136C33</stp>
        <tr r="AG136" s="1"/>
        <tr r="AG136" s="1"/>
      </tp>
      <tp t="s">
        <v>#N/A Field Not Applicable</v>
        <stp/>
        <stp>##V3_BDPV12</stp>
        <stp>BBG000BGW354 FIGI</stp>
        <stp>SP_EFF_DT</stp>
        <stp>[DIF_Risk_20200430.xlsm]Geneva investment position repo!R17C71</stp>
        <tr r="BS17" s="1"/>
      </tp>
      <tp t="s">
        <v>#N/A N/A</v>
        <stp/>
        <stp>##V3_BDPV12</stp>
        <stp>BBG00JC8V4T3 FIGI</stp>
        <stp>RTG_MOODY</stp>
        <stp>[DIF_Risk_20200430.xlsm]Geneva investment position repo!R176C32</stp>
        <tr r="AF176" s="1"/>
      </tp>
      <tp t="s">
        <v>#N/A N/A</v>
        <stp/>
        <stp>##V3_BDPV12</stp>
        <stp>BBG00PMFP1T5 FIGI</stp>
        <stp>SP_EFF_DT</stp>
        <stp>[DIF_Risk_20200430.xlsm]Geneva investment position repo!R52C71</stp>
        <tr r="BS52" s="1"/>
      </tp>
      <tp t="s">
        <v>BOND</v>
        <stp/>
        <stp>##V3_BDPV12</stp>
        <stp>BBG00M0MD1Z7 FIGI</stp>
        <stp>MIFID_ASSET_CLASS</stp>
        <stp>[DIF_Risk_20200430.xlsm]Geneva investment position repo!R55C19</stp>
        <tr r="S55" s="1"/>
      </tp>
      <tp t="s">
        <v>FINANCIAL</v>
        <stp/>
        <stp>##V3_BDPV12</stp>
        <stp>BBG00SY1QXH9 FIGI</stp>
        <stp>ISSUER_INDUSTRY</stp>
        <stp>[DIF_Risk_20200430.xlsm]Geneva investment position repo!R31C52</stp>
        <tr r="AZ31" s="1"/>
      </tp>
      <tp t="s">
        <v>Financial</v>
        <stp/>
        <stp>##V3_BDPV12</stp>
        <stp>BBG00SY1QXH9 FIGI</stp>
        <stp>INDUSTRY_SECTOR</stp>
        <stp>[DIF_Risk_20200430.xlsm]Geneva investment position repo!R31C39</stp>
        <tr r="AM31" s="1"/>
      </tp>
      <tp t="s">
        <v>BOND</v>
        <stp/>
        <stp>##V3_BDPV12</stp>
        <stp>BBG00S9HKR72 FIGI</stp>
        <stp>MIFID_ASSET_CLASS</stp>
        <stp>[DIF_Risk_20200430.xlsm]Geneva investment position repo!R36C19</stp>
        <tr r="S36" s="1"/>
      </tp>
      <tp t="s">
        <v>#N/A Field Not Applicable</v>
        <stp/>
        <stp>##V3_BDPV12</stp>
        <stp>BBG00S9HKR72 FIGI</stp>
        <stp>CAPITAL_TYP_COCO_INITIAL_TRIGGER</stp>
        <stp>[DIF_Risk_20200430.xlsm]Geneva investment position repo!R36C43</stp>
        <tr r="AQ36" s="1"/>
      </tp>
      <tp t="s">
        <v>EQUI</v>
        <stp/>
        <stp>##V3_BDPV12</stp>
        <stp>BBG000MKLJD1 FIGI</stp>
        <stp>MIFID_ASSET_CLASS</stp>
        <stp>[DIF_Risk_20200430.xlsm]Geneva investment position repo!R22C19</stp>
        <tr r="S22" s="1"/>
      </tp>
      <tp t="s">
        <v>#N/A Field Not Applicable</v>
        <stp/>
        <stp>##V3_BDPV12</stp>
        <stp>BBG000BDWNL9 FIGI</stp>
        <stp>CAPITAL_TYP_COCO_INITIAL_TRIGGER</stp>
        <stp>[DIF_Risk_20200430.xlsm]Geneva investment position repo!R24C43</stp>
        <tr r="AQ24" s="1"/>
      </tp>
      <tp t="s">
        <v>B2</v>
        <stp/>
        <stp>##V3_BDPV12</stp>
        <stp>BBG00QRVV8P5 FIGI</stp>
        <stp>RTG_MOODY</stp>
        <stp>[DIF_Risk_20200430.xlsm]Geneva investment position repo!R131C32</stp>
        <tr r="AF131" s="1"/>
        <tr r="AF131" s="1"/>
      </tp>
      <tp t="s">
        <v>BOND</v>
        <stp/>
        <stp>##V3_BDPV12</stp>
        <stp>BBG00NG9L0S8 FIGI</stp>
        <stp>MIFID_ASSET_CLASS</stp>
        <stp>[DIF_Risk_20200430.xlsm]Geneva investment position repo!R134C19</stp>
        <tr r="S134" s="1"/>
      </tp>
      <tp t="s">
        <v>5/16/2018</v>
        <stp/>
        <stp>##V3_BDPV12</stp>
        <stp>BBG00KVGG4W4 FIGI</stp>
        <stp>SP_EFF_DT</stp>
        <stp>[DIF_Risk_20200430.xlsm]Geneva investment position repo!R83C71</stp>
        <tr r="BS83" s="1"/>
      </tp>
      <tp t="s">
        <v>#N/A Field Not Applicable</v>
        <stp/>
        <stp>##V3_BDPV12</stp>
        <stp>BBG00RYDYKF6 FIGI</stp>
        <stp>GICS_SECTOR_NAME</stp>
        <stp>[DIF_Risk_20200430.xlsm]Geneva investment position repo!R89C51</stp>
        <tr r="AY89" s="1"/>
      </tp>
      <tp t="s">
        <v>BOND</v>
        <stp/>
        <stp>##V3_BDPV12</stp>
        <stp>BBG00LVCWLT9 FIGI</stp>
        <stp>MIFID_ASSET_CLASS</stp>
        <stp>[DIF_Risk_20200430.xlsm]Geneva investment position repo!R42C19</stp>
        <tr r="S42" s="1"/>
      </tp>
      <tp t="s">
        <v>KYG875721634</v>
        <stp/>
        <stp>##V3_BDPV12</stp>
        <stp>BBG000BJ35N5 FIGI</stp>
        <stp>ID_ISIN</stp>
        <stp>[DIF_Risk_20200430.xlsm]Geneva investment position repo!R25C63</stp>
        <tr r="BK25" s="1"/>
      </tp>
      <tp t="s">
        <v>A</v>
        <stp/>
        <stp>##V3_BDPV12</stp>
        <stp>BBG00T6LY8D4 FIGI</stp>
        <stp>RTG_FITCH</stp>
        <stp>[DIF_Risk_20200430.xlsm]Geneva investment position repo!R94C33</stp>
        <tr r="AG94" s="1"/>
        <tr r="AG94" s="1"/>
      </tp>
      <tp t="s">
        <v>#N/A N/A</v>
        <stp/>
        <stp>##V3_BDPV12</stp>
        <stp>BBG00TDCM2R7 FIGI</stp>
        <stp>RTG_FITCH</stp>
        <stp>[DIF_Risk_20200430.xlsm]Geneva investment position repo!R147C33</stp>
        <tr r="AG147" s="1"/>
      </tp>
      <tp t="s">
        <v>7/24/2018</v>
        <stp/>
        <stp>##V3_BDPV12</stp>
        <stp>BBG00LLFHRL5 FIGI</stp>
        <stp>SP_EFF_DT</stp>
        <stp>[DIF_Risk_20200430.xlsm]Geneva investment position repo!R61C71</stp>
        <tr r="BS61" s="1"/>
      </tp>
      <tp t="s">
        <v>#N/A N/A</v>
        <stp/>
        <stp>##V3_BDPV12</stp>
        <stp>BBG00QRVV6Z8 FIGI</stp>
        <stp>RTG_MOODY</stp>
        <stp>[DIF_Risk_20200430.xlsm]Geneva investment position repo!R155C32</stp>
        <tr r="AF155" s="1"/>
      </tp>
      <tp t="s">
        <v>Real Estate Oper/Develop</v>
        <stp/>
        <stp>##V3_BDPV12</stp>
        <stp>BBG00K67R1J1 FIGI</stp>
        <stp>INDUSTRY_SUBGROUP</stp>
        <stp>[DIF_Risk_20200430.xlsm]Geneva investment position repo!R171C41</stp>
        <tr r="AO171" s="1"/>
      </tp>
      <tp t="s">
        <v>Financial</v>
        <stp/>
        <stp>##V3_BDPV12</stp>
        <stp>BBG00RPXWXD8 FIGI</stp>
        <stp>INDUSTRY_SECTOR</stp>
        <stp>[DIF_Risk_20200430.xlsm]Geneva investment position repo!R173C39</stp>
        <tr r="AM173" s="1"/>
      </tp>
      <tp t="s">
        <v>#N/A Field Not Applicable</v>
        <stp/>
        <stp>##V3_BDPV12</stp>
        <stp>BBG00MNWHQT8 FIGI</stp>
        <stp>BOND_CLASSIFICATION_NAME</stp>
        <stp>[DIF_Risk_20200430.xlsm]Geneva investment position repo!R135C53</stp>
        <tr r="BA135" s="1"/>
      </tp>
      <tp t="s">
        <v>#N/A Field Not Applicable</v>
        <stp/>
        <stp>##V3_BDPV12</stp>
        <stp>BBG00R9LVRX4 FIGI</stp>
        <stp>CAPITAL_TYP_COCO_INITIAL_TRIGGER</stp>
        <stp>[DIF_Risk_20200430.xlsm]Geneva investment position repo!R172C43</stp>
        <tr r="AQ172" s="1"/>
      </tp>
      <tp t="s">
        <v>Financial</v>
        <stp/>
        <stp>##V3_BDPV12</stp>
        <stp>BBG00PNSNLZ7 FIGI</stp>
        <stp>INDUSTRY_SECTOR</stp>
        <stp>[DIF_Risk_20200430.xlsm]Geneva investment position repo!R161C39</stp>
        <tr r="AM161" s="1"/>
      </tp>
      <tp t="s">
        <v>Financial</v>
        <stp/>
        <stp>##V3_BDPV12</stp>
        <stp>BBG00RPXTTD1 FIGI</stp>
        <stp>INDUSTRY_SECTOR</stp>
        <stp>[DIF_Risk_20200430.xlsm]Geneva investment position repo!R137C39</stp>
        <tr r="AM137" s="1"/>
      </tp>
      <tp t="s">
        <v>#N/A N/A</v>
        <stp/>
        <stp>##V3_BDPV12</stp>
        <stp>BBG00RPXWXD8 FIGI</stp>
        <stp>RTG_SP</stp>
        <stp>[DIF_Risk_20200430.xlsm]Geneva investment position repo!R173C31</stp>
        <tr r="AE173" s="1"/>
      </tp>
      <tp t="s">
        <v>Energy</v>
        <stp/>
        <stp>##V3_BDPV12</stp>
        <stp>BBG00HDTX5P9 FIGI</stp>
        <stp>INDUSTRY_SECTOR</stp>
        <stp>[DIF_Risk_20200430.xlsm]Geneva investment position repo!R111C39</stp>
        <tr r="AM111" s="1"/>
      </tp>
      <tp t="s">
        <v>Financials</v>
        <stp/>
        <stp>##V3_BDPV12</stp>
        <stp>BBG00RPXTTD1 FIGI</stp>
        <stp>GICS_SECTOR_NAME</stp>
        <stp>[DIF_Risk_20200430.xlsm]Geneva investment position repo!R137C51</stp>
        <tr r="AY137" s="1"/>
      </tp>
      <tp t="s">
        <v>#N/A Field Not Applicable</v>
        <stp/>
        <stp>##V3_BDPV12</stp>
        <stp>BBG00PDYXN26 FIGI</stp>
        <stp>BOND_CLASSIFICATION_NAME</stp>
        <stp>[DIF_Risk_20200430.xlsm]Geneva investment position repo!R156C53</stp>
        <tr r="BA156" s="1"/>
      </tp>
      <tp t="s">
        <v>Financial</v>
        <stp/>
        <stp>##V3_BDPV12</stp>
        <stp>BBG00LNF6KZ5 FIGI</stp>
        <stp>INDUSTRY_SECTOR</stp>
        <stp>[DIF_Risk_20200430.xlsm]Geneva investment position repo!R144C39</stp>
        <tr r="AM144" s="1"/>
      </tp>
      <tp t="s">
        <v>Real Estate</v>
        <stp/>
        <stp>##V3_BDPV12</stp>
        <stp>BBG00NWVJPB7 FIGI</stp>
        <stp>INDUSTRY_GROUP</stp>
        <stp>[DIF_Risk_20200430.xlsm]Geneva investment position repo!R141C40</stp>
        <tr r="AN141" s="1"/>
      </tp>
      <tp t="s">
        <v>ACTV</v>
        <stp/>
        <stp>##V3_BDPV12</stp>
        <stp>BBG00MTKPX96 FIGI</stp>
        <stp>EXCH_MARKET_STATUS</stp>
        <stp>[DIF_Risk_20200430.xlsm]Geneva investment position repo!R57C44</stp>
        <tr r="AR57" s="1"/>
        <tr r="AR57" s="1"/>
      </tp>
      <tp t="s">
        <v>ACTV</v>
        <stp/>
        <stp>##V3_BDPV12</stp>
        <stp>BBG00PSJPXV8 FIGI</stp>
        <stp>EXCH_MARKET_STATUS</stp>
        <stp>[DIF_Risk_20200430.xlsm]Geneva investment position repo!R82C44</stp>
        <tr r="AR82" s="1"/>
        <tr r="AR82" s="1"/>
      </tp>
      <tp t="s">
        <v>BANK</v>
        <stp/>
        <stp>##V3_BDPV12</stp>
        <stp>BBG00CP5W6B3 FIGI</stp>
        <stp>ISSUER_INDUSTRY</stp>
        <stp>[DIF_Risk_20200430.xlsm]Geneva investment position repo!R107C52</stp>
        <tr r="AZ107" s="1"/>
      </tp>
      <tp t="s">
        <v>FINANCIAL</v>
        <stp/>
        <stp>##V3_BDPV12</stp>
        <stp>BBG00RD35MV1 FIGI</stp>
        <stp>ISSUER_INDUSTRY</stp>
        <stp>[DIF_Risk_20200430.xlsm]Geneva investment position repo!R118C52</stp>
        <tr r="AZ118" s="1"/>
      </tp>
      <tp t="s">
        <v>Real Estate</v>
        <stp/>
        <stp>##V3_BDPV12</stp>
        <stp>BBG00N0J9QB8 FIGI</stp>
        <stp>INDUSTRY_GROUP</stp>
        <stp>[DIF_Risk_20200430.xlsm]Geneva investment position repo!R132C40</stp>
        <tr r="AN132" s="1"/>
      </tp>
      <tp t="s">
        <v>FINANCIAL</v>
        <stp/>
        <stp>##V3_BDPV12</stp>
        <stp>BBG00HC2ZDQ9 FIGI</stp>
        <stp>ISSUER_INDUSTRY</stp>
        <stp>[DIF_Risk_20200430.xlsm]Geneva investment position repo!R151C52</stp>
        <tr r="AZ151" s="1"/>
      </tp>
      <tp t="s">
        <v>ACTV</v>
        <stp/>
        <stp>##V3_BDPV12</stp>
        <stp>BBG00PQ3PWZ3 FIGI</stp>
        <stp>EXCH_MARKET_STATUS</stp>
        <stp>[DIF_Risk_20200430.xlsm]Geneva investment position repo!R84C44</stp>
        <tr r="AR84" s="1"/>
        <tr r="AR84" s="1"/>
      </tp>
      <tp t="s">
        <v>#N/A N/A</v>
        <stp/>
        <stp>##V3_BDPV12</stp>
        <stp>BBG00CNK44T9 FIGI</stp>
        <stp>SP_EFF_DT</stp>
        <stp>[DIF_Risk_20200430.xlsm]Geneva investment position repo!R45C71</stp>
        <tr r="BS45" s="1"/>
      </tp>
      <tp t="s">
        <v>A2</v>
        <stp/>
        <stp>##V3_BDPV12</stp>
        <stp>BBG00T2MWMJ1 FIGI</stp>
        <stp>RTG_MOODY</stp>
        <stp>[DIF_Risk_20200430.xlsm]Geneva investment position repo!R128C32</stp>
        <tr r="AF128" s="1"/>
        <tr r="AF128" s="1"/>
      </tp>
      <tp t="s">
        <v>BB</v>
        <stp/>
        <stp>##V3_BDPV12</stp>
        <stp>BBG00R9SLKK9 FIGI</stp>
        <stp>RTG_FITCH</stp>
        <stp>[DIF_Risk_20200430.xlsm]Geneva investment position repo!R148C33</stp>
        <tr r="AG148" s="1"/>
        <tr r="AG148" s="1"/>
      </tp>
      <tp t="s">
        <v>#N/A Field Not Applicable</v>
        <stp/>
        <stp>##V3_BDPV12</stp>
        <stp>BBG00QN3F2R0 FIGI</stp>
        <stp>BOND_CLASSIFICATION_NAME</stp>
        <stp>[DIF_Risk_20200430.xlsm]Geneva investment position repo!R28C53</stp>
        <tr r="BA28" s="1"/>
      </tp>
      <tp t="s">
        <v>BOND</v>
        <stp/>
        <stp>##V3_BDPV12</stp>
        <stp>BBG00RZ2MZZ7 FIGI</stp>
        <stp>MIFID_ASSET_CLASS</stp>
        <stp>[DIF_Risk_20200430.xlsm]Geneva investment position repo!R113C19</stp>
        <tr r="S113" s="1"/>
      </tp>
      <tp t="s">
        <v>A3</v>
        <stp/>
        <stp>##V3_BDPV12</stp>
        <stp>BBG00N14WRV0 FIGI</stp>
        <stp>RTG_MOODY</stp>
        <stp>[DIF_Risk_20200430.xlsm]Geneva investment position repo!R142C32</stp>
        <tr r="AF142" s="1"/>
        <tr r="AF142" s="1"/>
      </tp>
      <tp t="s">
        <v>#N/A N/A</v>
        <stp/>
        <stp>##V3_BDPV12</stp>
        <stp>BBG00NBG3YQ5 FIGI</stp>
        <stp>SP_EFF_DT</stp>
        <stp>[DIF_Risk_20200430.xlsm]Geneva investment position repo!R91C71</stp>
        <tr r="BS91" s="1"/>
      </tp>
      <tp t="s">
        <v>USY711AJAA00</v>
        <stp/>
        <stp>##V3_BDPV12</stp>
        <stp>BBG00RCY5V08 FIGI</stp>
        <stp>ID_ISIN</stp>
        <stp>[DIF_Risk_20200430.xlsm]Geneva investment position repo!R39C63</stp>
        <tr r="BK39" s="1"/>
      </tp>
      <tp t="s">
        <v>Internet Content-Info/Ne</v>
        <stp/>
        <stp>##V3_BDPV12</stp>
        <stp>BBG000BJ35N5 FIGI</stp>
        <stp>INDUSTRY_SUBGROUP</stp>
        <stp>[DIF_Risk_20200430.xlsm]Geneva investment position repo!R25C41</stp>
        <tr r="AO25" s="1"/>
      </tp>
      <tp t="s">
        <v>BOND</v>
        <stp/>
        <stp>##V3_BDPV12</stp>
        <stp>BBG00KNCMN62 FIGI</stp>
        <stp>MIFID_ASSET_CLASS</stp>
        <stp>[DIF_Risk_20200430.xlsm]Geneva investment position repo!R102C19</stp>
        <tr r="S102" s="1"/>
      </tp>
      <tp t="s">
        <v>#N/A N/A</v>
        <stp/>
        <stp>##V3_BDPV12</stp>
        <stp>BBG00S6SWBM6 FIGI</stp>
        <stp>RTG_MOODY</stp>
        <stp>[DIF_Risk_20200430.xlsm]Geneva investment position repo!R158C32</stp>
        <tr r="AF158" s="1"/>
      </tp>
      <tp t="s">
        <v>B3</v>
        <stp/>
        <stp>##V3_BDPV12</stp>
        <stp>BBG00MSJ57C5 FIGI</stp>
        <stp>RTG_MOODY</stp>
        <stp>[DIF_Risk_20200430.xlsm]Geneva investment position repo!R74C32</stp>
        <tr r="AF74" s="1"/>
        <tr r="AF74" s="1"/>
      </tp>
      <tp t="s">
        <v>Real Estate Oper/Develop</v>
        <stp/>
        <stp>##V3_BDPV12</stp>
        <stp>BBG00MSJ57C5 FIGI</stp>
        <stp>INDUSTRY_SUBGROUP</stp>
        <stp>[DIF_Risk_20200430.xlsm]Geneva investment position repo!R74C41</stp>
        <tr r="AO74" s="1"/>
      </tp>
      <tp t="s">
        <v>B1 *-</v>
        <stp/>
        <stp>##V3_BDPV12</stp>
        <stp>BBG00RPXWXD8 FIGI</stp>
        <stp>RTG_MOODY</stp>
        <stp>[DIF_Risk_20200430.xlsm]Geneva investment position repo!R173C32</stp>
        <tr r="AF173" s="1"/>
        <tr r="AF173" s="1"/>
      </tp>
      <tp t="s">
        <v>SPECIAL PURPOSE</v>
        <stp/>
        <stp>##V3_BDPV12</stp>
        <stp>BBG00RYDWX24 FIGI</stp>
        <stp>ISSUER_INDUSTRY</stp>
        <stp>[DIF_Risk_20200430.xlsm]Geneva investment position repo!R85C52</stp>
        <tr r="AZ85" s="1"/>
      </tp>
      <tp t="s">
        <v>Oil Comp-Integrated</v>
        <stp/>
        <stp>##V3_BDPV12</stp>
        <stp>BBG00RHHSFZ2 FIGI</stp>
        <stp>INDUSTRY_SUBGROUP</stp>
        <stp>[DIF_Risk_20200430.xlsm]Geneva investment position repo!R122C41</stp>
        <tr r="AO122" s="1"/>
      </tp>
      <tp t="s">
        <v>Financial</v>
        <stp/>
        <stp>##V3_BDPV12</stp>
        <stp>BBG00RYDWX24 FIGI</stp>
        <stp>INDUSTRY_SECTOR</stp>
        <stp>[DIF_Risk_20200430.xlsm]Geneva investment position repo!R85C39</stp>
        <tr r="AM85" s="1"/>
      </tp>
      <tp t="s">
        <v>BOND</v>
        <stp/>
        <stp>##V3_BDPV12</stp>
        <stp>BBG00N2K8LG0 FIGI</stp>
        <stp>MIFID_ASSET_CLASS</stp>
        <stp>[DIF_Risk_20200430.xlsm]Geneva investment position repo!R43C19</stp>
        <tr r="S43" s="1"/>
      </tp>
      <tp t="s">
        <v>BOND</v>
        <stp/>
        <stp>##V3_BDPV12</stp>
        <stp>BBG00RB0MG61 FIGI</stp>
        <stp>MIFID_ASSET_CLASS</stp>
        <stp>[DIF_Risk_20200430.xlsm]Geneva investment position repo!R100C19</stp>
        <tr r="S100" s="1"/>
      </tp>
      <tp t="s">
        <v>BOND</v>
        <stp/>
        <stp>##V3_BDPV12</stp>
        <stp>BBG00HVHMY65 FIGI</stp>
        <stp>MIFID_ASSET_CLASS</stp>
        <stp>[DIF_Risk_20200430.xlsm]Geneva investment position repo!R119C19</stp>
        <tr r="S119" s="1"/>
      </tp>
      <tp t="s">
        <v>#N/A Field Not Applicable</v>
        <stp/>
        <stp>##V3_BDPV12</stp>
        <stp>BBG000BDV566 FIGI</stp>
        <stp>SP_EFF_DT</stp>
        <stp>[DIF_Risk_20200430.xlsm]Geneva investment position repo!R13C71</stp>
        <tr r="BS13" s="1"/>
      </tp>
      <tp t="s">
        <v>B+</v>
        <stp/>
        <stp>##V3_BDPV12</stp>
        <stp>BBG00NG9L0S8 FIGI</stp>
        <stp>RTG_FITCH</stp>
        <stp>[DIF_Risk_20200430.xlsm]Geneva investment position repo!R134C33</stp>
        <tr r="AG134" s="1"/>
        <tr r="AG134" s="1"/>
      </tp>
      <tp t="s">
        <v>#N/A N/A</v>
        <stp/>
        <stp>##V3_BDPV12</stp>
        <stp>BBG00PSJPXV8 FIGI</stp>
        <stp>SP_EFF_DT</stp>
        <stp>[DIF_Risk_20200430.xlsm]Geneva investment position repo!R82C71</stp>
        <tr r="BS82" s="1"/>
      </tp>
      <tp t="s">
        <v>#N/A Field Not Applicable</v>
        <stp/>
        <stp>##V3_BDPV12</stp>
        <stp>BBG000BDW8M1 FIGI</stp>
        <stp>CAPITAL_TYP_COCO_INITIAL_TRIGGER</stp>
        <stp>[DIF_Risk_20200430.xlsm]Geneva investment position repo!R14C43</stp>
        <tr r="AQ14" s="1"/>
      </tp>
      <tp t="s">
        <v>#N/A N/A</v>
        <stp/>
        <stp>##V3_BDPV12</stp>
        <stp>BBG00RRMFK74 FIGI</stp>
        <stp>RTG_FITCH</stp>
        <stp>[DIF_Risk_20200430.xlsm]Geneva investment position repo!R41C33</stp>
        <tr r="AG41" s="1"/>
      </tp>
      <tp t="s">
        <v>BOND</v>
        <stp/>
        <stp>##V3_BDPV12</stp>
        <stp>BBG00SYNG075 FIGI</stp>
        <stp>MIFID_ASSET_CLASS</stp>
        <stp>[DIF_Risk_20200430.xlsm]Geneva investment position repo!R40C19</stp>
        <tr r="S40" s="1"/>
      </tp>
      <tp t="s">
        <v>Commer Banks Non-US</v>
        <stp/>
        <stp>##V3_BDPV12</stp>
        <stp>BBG00NDMRLH2 FIGI</stp>
        <stp>INDUSTRY_SUBGROUP</stp>
        <stp>[DIF_Risk_20200430.xlsm]Geneva investment position repo!R58C41</stp>
        <tr r="AO58" s="1"/>
      </tp>
      <tp t="s">
        <v>Baa3</v>
        <stp/>
        <stp>##V3_BDPV12</stp>
        <stp>BBG00NDMRLH2 FIGI</stp>
        <stp>RTG_MOODY</stp>
        <stp>[DIF_Risk_20200430.xlsm]Geneva investment position repo!R58C32</stp>
        <tr r="AF58" s="1"/>
        <tr r="AF58" s="1"/>
      </tp>
      <tp t="s">
        <v>BOND</v>
        <stp/>
        <stp>##V3_BDPV12</stp>
        <stp>BBG00TDCM2R7 FIGI</stp>
        <stp>MIFID_ASSET_CLASS</stp>
        <stp>[DIF_Risk_20200430.xlsm]Geneva investment position repo!R147C19</stp>
        <tr r="S147" s="1"/>
      </tp>
      <tp t="s">
        <v>11/7/2019</v>
        <stp/>
        <stp>##V3_BDPV12</stp>
        <stp>BBG00DXBXRD0 FIGI</stp>
        <stp>SP_EFF_DT</stp>
        <stp>[DIF_Risk_20200430.xlsm]Geneva investment position repo!R93C71</stp>
        <tr r="BS93" s="1"/>
      </tp>
      <tp t="s">
        <v>#N/A N/A</v>
        <stp/>
        <stp>##V3_BDPV12</stp>
        <stp>BBG00RYDYKF6 FIGI</stp>
        <stp>SP_EFF_DT</stp>
        <stp>[DIF_Risk_20200430.xlsm]Geneva investment position repo!R89C71</stp>
        <tr r="BS89" s="1"/>
      </tp>
      <tp t="s">
        <v>#N/A Field Not Applicable</v>
        <stp/>
        <stp>##V3_BDPV12</stp>
        <stp>BBG00GTY47H0 FIGI</stp>
        <stp>BOND_CLASSIFICATION_NAME</stp>
        <stp>[DIF_Risk_20200430.xlsm]Geneva investment position repo!R26C53</stp>
        <tr r="BA26" s="1"/>
      </tp>
      <tp t="s">
        <v>Baa2</v>
        <stp/>
        <stp>##V3_BDPV12</stp>
        <stp>BBG00CP5W6B3 FIGI</stp>
        <stp>RTG_MOODY</stp>
        <stp>[DIF_Risk_20200430.xlsm]Geneva investment position repo!R107C32</stp>
        <tr r="AF107" s="1"/>
        <tr r="AF107" s="1"/>
      </tp>
      <tp t="s">
        <v>#N/A Field Not Applicable</v>
        <stp/>
        <stp>##V3_BDPV12</stp>
        <stp>BBG00RPXTZN6 FIGI</stp>
        <stp>GICS_SECTOR_NAME</stp>
        <stp>[DIF_Risk_20200430.xlsm]Geneva investment position repo!R90C51</stp>
        <tr r="AY90" s="1"/>
      </tp>
      <tp t="s">
        <v>Real Estate Oper/Develop</v>
        <stp/>
        <stp>##V3_BDPV12</stp>
        <stp>BBG00PGHK257 FIGI</stp>
        <stp>INDUSTRY_SUBGROUP</stp>
        <stp>[DIF_Risk_20200430.xlsm]Geneva investment position repo!R87C41</stp>
        <tr r="AO87" s="1"/>
      </tp>
      <tp t="s">
        <v>BOND</v>
        <stp/>
        <stp>##V3_BDPV12</stp>
        <stp>BBG00NDFM319 FIGI</stp>
        <stp>MIFID_ASSET_CLASS</stp>
        <stp>[DIF_Risk_20200430.xlsm]Geneva investment position repo!R140C19</stp>
        <tr r="S140" s="1"/>
      </tp>
      <tp t="s">
        <v>#N/A Field Not Applicable</v>
        <stp/>
        <stp>##V3_BDPV12</stp>
        <stp>BBG00RTNXBH9 FIGI</stp>
        <stp>BOND_CLASSIFICATION_NAME</stp>
        <stp>[DIF_Risk_20200430.xlsm]Geneva investment position repo!R69C53</stp>
        <tr r="BA69" s="1"/>
      </tp>
      <tp t="s">
        <v>HK</v>
        <stp/>
        <stp>##V3_BDPV12</stp>
        <stp>BBG00LLV9WW6 FIGI</stp>
        <stp>CNTRY_ISSUE_ISO</stp>
        <stp>[DIF_Risk_20200430.xlsm]Geneva investment position repo!R21C38</stp>
        <tr r="AL21" s="1"/>
      </tp>
      <tp t="s">
        <v>Real Estate Oper/Develop</v>
        <stp/>
        <stp>##V3_BDPV12</stp>
        <stp>BBG00LSRS878 FIGI</stp>
        <stp>INDUSTRY_SUBGROUP</stp>
        <stp>[DIF_Risk_20200430.xlsm]Geneva investment position repo!R104C41</stp>
        <tr r="AO104" s="1"/>
      </tp>
      <tp t="s">
        <v>BOND</v>
        <stp/>
        <stp>##V3_BDPV12</stp>
        <stp>BBG00NTXM180 FIGI</stp>
        <stp>MIFID_ASSET_CLASS</stp>
        <stp>[DIF_Risk_20200430.xlsm]Geneva investment position repo!R136C19</stp>
        <tr r="S136" s="1"/>
      </tp>
      <tp t="s">
        <v>Real Estate Oper/Develop</v>
        <stp/>
        <stp>##V3_BDPV12</stp>
        <stp>BBG00GDDS1Y1 FIGI</stp>
        <stp>INDUSTRY_SUBGROUP</stp>
        <stp>[DIF_Risk_20200430.xlsm]Geneva investment position repo!R109C41</stp>
        <tr r="AO109" s="1"/>
      </tp>
      <tp t="s">
        <v>#N/A N/A</v>
        <stp/>
        <stp>##V3_BDPV12</stp>
        <stp>BBG00PGHK257 FIGI</stp>
        <stp>RTG_MOODY</stp>
        <stp>[DIF_Risk_20200430.xlsm]Geneva investment position repo!R87C32</stp>
        <tr r="AF87" s="1"/>
      </tp>
      <tp t="s">
        <v>#N/A Field Not Applicable</v>
        <stp/>
        <stp>##V3_BDPV12</stp>
        <stp>BBG00DXBXRD0 FIGI</stp>
        <stp>BOND_CLASSIFICATION_NAME</stp>
        <stp>[DIF_Risk_20200430.xlsm]Geneva investment position repo!R93C53</stp>
        <tr r="BA93" s="1"/>
      </tp>
      <tp t="s">
        <v>#N/A Field Not Applicable</v>
        <stp/>
        <stp>##V3_BDPV12</stp>
        <stp>BBG000DVPPK1 FIGI</stp>
        <stp>CAPITAL_TYP_COCO_INITIAL_TRIGGER</stp>
        <stp>[DIF_Risk_20200430.xlsm]Geneva investment position repo!R10C43</stp>
        <tr r="AQ10" s="1"/>
      </tp>
      <tp t="s">
        <v>Financial</v>
        <stp/>
        <stp>##V3_BDPV12</stp>
        <stp>BBG00LVCGFZ3 FIGI</stp>
        <stp>INDUSTRY_SECTOR</stp>
        <stp>[DIF_Risk_20200430.xlsm]Geneva investment position repo!R77C39</stp>
        <tr r="AM77" s="1"/>
      </tp>
      <tp t="s">
        <v>SPECIAL PURPOSE</v>
        <stp/>
        <stp>##V3_BDPV12</stp>
        <stp>BBG00LVCGFZ3 FIGI</stp>
        <stp>ISSUER_INDUSTRY</stp>
        <stp>[DIF_Risk_20200430.xlsm]Geneva investment position repo!R77C52</stp>
        <tr r="AZ77" s="1"/>
      </tp>
      <tp t="s">
        <v>BOND</v>
        <stp/>
        <stp>##V3_BDPV12</stp>
        <stp>BBG00RPNYQB5 FIGI</stp>
        <stp>MIFID_ASSET_CLASS</stp>
        <stp>[DIF_Risk_20200430.xlsm]Geneva investment position repo!R47C19</stp>
        <tr r="S47" s="1"/>
      </tp>
      <tp t="s">
        <v>B1</v>
        <stp/>
        <stp>##V3_BDPV12</stp>
        <stp>BBG00QQ1W050 FIGI</stp>
        <stp>RTG_MOODY</stp>
        <stp>[DIF_Risk_20200430.xlsm]Geneva investment position repo!R149C32</stp>
        <tr r="AF149" s="1"/>
        <tr r="AF149" s="1"/>
      </tp>
      <tp t="s">
        <v>#N/A N/A</v>
        <stp/>
        <stp>##V3_BDPV12</stp>
        <stp>BBG00RT2L457 FIGI</stp>
        <stp>RTG_FITCH</stp>
        <stp>[DIF_Risk_20200430.xlsm]Geneva investment position repo!R177C33</stp>
        <tr r="AG177" s="1"/>
      </tp>
      <tp t="s">
        <v>Ba1</v>
        <stp/>
        <stp>##V3_BDPV12</stp>
        <stp>BBG00PSJD0B5 FIGI</stp>
        <stp>RTG_MOODY</stp>
        <stp>[DIF_Risk_20200430.xlsm]Geneva investment position repo!R81C32</stp>
        <tr r="AF81" s="1"/>
        <tr r="AF81" s="1"/>
      </tp>
      <tp t="s">
        <v>Energy-Alternate Sources</v>
        <stp/>
        <stp>##V3_BDPV12</stp>
        <stp>BBG00PSJD0B5 FIGI</stp>
        <stp>INDUSTRY_SUBGROUP</stp>
        <stp>[DIF_Risk_20200430.xlsm]Geneva investment position repo!R81C41</stp>
        <tr r="AO81" s="1"/>
      </tp>
      <tp t="s">
        <v>Financial</v>
        <stp/>
        <stp>##V3_BDPV12</stp>
        <stp>BBG00NWVJPB7 FIGI</stp>
        <stp>INDUSTRY_SECTOR</stp>
        <stp>[DIF_Risk_20200430.xlsm]Geneva investment position repo!R141C39</stp>
        <tr r="AM141" s="1"/>
      </tp>
      <tp t="s">
        <v>SPECIAL PURPOSE</v>
        <stp/>
        <stp>##V3_BDPV12</stp>
        <stp>BBG00NQF0SC2 FIGI</stp>
        <stp>ISSUER_INDUSTRY</stp>
        <stp>[DIF_Risk_20200430.xlsm]Geneva investment position repo!R160C52</stp>
        <tr r="AZ160" s="1"/>
      </tp>
      <tp t="s">
        <v>INDUSTRIAL</v>
        <stp/>
        <stp>##V3_BDPV12</stp>
        <stp>BBG00PKGT0Y7 FIGI</stp>
        <stp>ISSUER_INDUSTRY</stp>
        <stp>[DIF_Risk_20200430.xlsm]Geneva investment position repo!R166C52</stp>
        <tr r="AZ166" s="1"/>
      </tp>
      <tp t="s">
        <v>INDUSTRIAL</v>
        <stp/>
        <stp>##V3_BDPV12</stp>
        <stp>BBG00RHHSFZ2 FIGI</stp>
        <stp>ISSUER_INDUSTRY</stp>
        <stp>[DIF_Risk_20200430.xlsm]Geneva investment position repo!R122C52</stp>
        <tr r="AZ122" s="1"/>
      </tp>
      <tp t="s">
        <v>GOVT NATIONAL</v>
        <stp/>
        <stp>##V3_BDPV12</stp>
        <stp>BBG00THTNZZ3 FIGI</stp>
        <stp>ISSUER_INDUSTRY</stp>
        <stp>[DIF_Risk_20200430.xlsm]Geneva investment position repo!R125C52</stp>
        <tr r="AZ125" s="1"/>
      </tp>
      <tp t="s">
        <v>#N/A Field Not Applicable</v>
        <stp/>
        <stp>##V3_BDPV12</stp>
        <stp>BBG00N2KDB12 FIGI</stp>
        <stp>CAPITAL_TYP_COCO_INITIAL_TRIGGER</stp>
        <stp>[DIF_Risk_20200430.xlsm]Geneva investment position repo!R174C43</stp>
        <tr r="AQ174" s="1"/>
      </tp>
      <tp t="s">
        <v>XS1954961295</v>
        <stp/>
        <stp>##V3_BDPV12</stp>
        <stp>BBG00NDM7WZ0 FIGI</stp>
        <stp>ID_ISIN</stp>
        <stp>[DIF_Risk_20200430.xlsm]Geneva investment position repo!R103C63</stp>
        <tr r="BK103" s="1"/>
      </tp>
      <tp t="s">
        <v>XS2057076387</v>
        <stp/>
        <stp>##V3_BDPV12</stp>
        <stp>BBG00QDN9PZ4 FIGI</stp>
        <stp>ID_ISIN</stp>
        <stp>[DIF_Risk_20200430.xlsm]Geneva investment position repo!R138C63</stp>
        <tr r="BK138" s="1"/>
      </tp>
      <tp t="s">
        <v>Real Estate</v>
        <stp/>
        <stp>##V3_BDPV12</stp>
        <stp>BBG00NTXM180 FIGI</stp>
        <stp>GICS_SECTOR_NAME</stp>
        <stp>[DIF_Risk_20200430.xlsm]Geneva investment position repo!R136C51</stp>
        <tr r="AY136" s="1"/>
      </tp>
      <tp t="s">
        <v>ACTV</v>
        <stp/>
        <stp>##V3_BDPV12</stp>
        <stp>BBG00PMFP1T5 FIGI</stp>
        <stp>EXCH_MARKET_STATUS</stp>
        <stp>[DIF_Risk_20200430.xlsm]Geneva investment position repo!R52C44</stp>
        <tr r="AR52" s="1"/>
        <tr r="AR52" s="1"/>
      </tp>
      <tp t="s">
        <v>ACTV</v>
        <stp/>
        <stp>##V3_BDPV12</stp>
        <stp>BBG000DVPPK1 FIGI</stp>
        <stp>EXCH_MARKET_STATUS</stp>
        <stp>[DIF_Risk_20200430.xlsm]Geneva investment position repo!R10C44</stp>
        <tr r="AR10" s="1"/>
        <tr r="AR10" s="1"/>
      </tp>
      <tp t="s">
        <v>Insurance</v>
        <stp/>
        <stp>##V3_BDPV12</stp>
        <stp>BBG00RD35MV1 FIGI</stp>
        <stp>INDUSTRY_GROUP</stp>
        <stp>[DIF_Risk_20200430.xlsm]Geneva investment position repo!R118C40</stp>
        <tr r="AN118" s="1"/>
      </tp>
      <tp t="s">
        <v>#N/A Field Not Applicable</v>
        <stp/>
        <stp>##V3_BDPV12</stp>
        <stp>BBG00QRVV6Z8 FIGI</stp>
        <stp>BOND_CLASSIFICATION_NAME</stp>
        <stp>[DIF_Risk_20200430.xlsm]Geneva investment position repo!R155C53</stp>
        <tr r="BA155" s="1"/>
      </tp>
      <tp t="s">
        <v>#N/A Field Not Applicable</v>
        <stp/>
        <stp>##V3_BDPV12</stp>
        <stp>BBG00PF578H3 FIGI</stp>
        <stp>CAPITAL_TYP_COCO_INITIAL_TRIGGER</stp>
        <stp>[DIF_Risk_20200430.xlsm]Geneva investment position repo!R181C43</stp>
        <tr r="AQ181" s="1"/>
      </tp>
      <tp t="s">
        <v>XS2122877330</v>
        <stp/>
        <stp>##V3_BDPV12</stp>
        <stp>BBG00RT2L457 FIGI</stp>
        <stp>ID_ISIN</stp>
        <stp>[DIF_Risk_20200430.xlsm]Geneva investment position repo!R177C63</stp>
        <tr r="BK177" s="1"/>
      </tp>
      <tp t="s">
        <v>BB-</v>
        <stp/>
        <stp>##V3_BDPV12</stp>
        <stp>BBG00LSRS878 FIGI</stp>
        <stp>RTG_SP</stp>
        <stp>[DIF_Risk_20200430.xlsm]Geneva investment position repo!R104C31</stp>
        <tr r="AE104" s="1"/>
        <tr r="AE104" s="1"/>
      </tp>
      <tp t="s">
        <v>B3</v>
        <stp/>
        <stp>##V3_BDPV12</stp>
        <stp>BBG00NV886P8 FIGI</stp>
        <stp>RTG_MOODY</stp>
        <stp>[DIF_Risk_20200430.xlsm]Geneva investment position repo!R72C32</stp>
        <tr r="AF72" s="1"/>
        <tr r="AF72" s="1"/>
      </tp>
      <tp t="s">
        <v>Real Estate Oper/Develop</v>
        <stp/>
        <stp>##V3_BDPV12</stp>
        <stp>BBG00NV886P8 FIGI</stp>
        <stp>INDUSTRY_SUBGROUP</stp>
        <stp>[DIF_Risk_20200430.xlsm]Geneva investment position repo!R72C41</stp>
        <tr r="AO72" s="1"/>
      </tp>
      <tp t="s">
        <v>XS1912494538</v>
        <stp/>
        <stp>##V3_BDPV12</stp>
        <stp>BBG00MKJ4690 FIGI</stp>
        <stp>ID_ISIN</stp>
        <stp>[DIF_Risk_20200430.xlsm]Geneva investment position repo!R54C63</stp>
        <tr r="BK54" s="1"/>
      </tp>
      <tp t="s">
        <v>BOND</v>
        <stp/>
        <stp>##V3_BDPV12</stp>
        <stp>BBG00T8646V2 FIGI</stp>
        <stp>MIFID_ASSET_CLASS</stp>
        <stp>[DIF_Risk_20200430.xlsm]Geneva investment position repo!R71C19</stp>
        <tr r="S71" s="1"/>
      </tp>
      <tp t="s">
        <v>BOND</v>
        <stp/>
        <stp>##V3_BDPV12</stp>
        <stp>BBG00GQ752P3 FIGI</stp>
        <stp>MIFID_ASSET_CLASS</stp>
        <stp>[DIF_Risk_20200430.xlsm]Geneva investment position repo!R99C19</stp>
        <tr r="S99" s="1"/>
      </tp>
      <tp t="s">
        <v>A-</v>
        <stp/>
        <stp>##V3_BDPV12</stp>
        <stp>BBG00NL43H88 FIGI</stp>
        <stp>RTG_FITCH</stp>
        <stp>[DIF_Risk_20200430.xlsm]Geneva investment position repo!R121C33</stp>
        <tr r="AG121" s="1"/>
        <tr r="AG121" s="1"/>
      </tp>
      <tp t="s">
        <v>#N/A N/A</v>
        <stp/>
        <stp>##V3_BDPV12</stp>
        <stp>BBG00N9X3LW2 FIGI</stp>
        <stp>RTG_FITCH</stp>
        <stp>[DIF_Risk_20200430.xlsm]Geneva investment position repo!R180C33</stp>
        <tr r="AG180" s="1"/>
      </tp>
      <tp t="s">
        <v>Electric-Distribution</v>
        <stp/>
        <stp>##V3_BDPV12</stp>
        <stp>BBG005Q0XWK0 FIGI</stp>
        <stp>INDUSTRY_SUBGROUP</stp>
        <stp>[DIF_Risk_20200430.xlsm]Geneva investment position repo!R15C41</stp>
        <tr r="AO15" s="1"/>
      </tp>
      <tp t="s">
        <v>#N/A Field Not Applicable</v>
        <stp/>
        <stp>##V3_BDPV12</stp>
        <stp>BBG00N0Q0RS1 FIGI</stp>
        <stp>BOND_CLASSIFICATION_NAME</stp>
        <stp>[DIF_Risk_20200430.xlsm]Geneva investment position repo!R50C53</stp>
        <tr r="BA50" s="1"/>
      </tp>
      <tp t="s">
        <v>B2</v>
        <stp/>
        <stp>##V3_BDPV12</stp>
        <stp>BBG00PQ3PWZ3 FIGI</stp>
        <stp>RTG_MOODY</stp>
        <stp>[DIF_Risk_20200430.xlsm]Geneva investment position repo!R84C32</stp>
        <tr r="AF84" s="1"/>
        <tr r="AF84" s="1"/>
      </tp>
      <tp t="s">
        <v>Diversified Minerals</v>
        <stp/>
        <stp>##V3_BDPV12</stp>
        <stp>BBG00PQ3PWZ3 FIGI</stp>
        <stp>INDUSTRY_SUBGROUP</stp>
        <stp>[DIF_Risk_20200430.xlsm]Geneva investment position repo!R84C41</stp>
        <tr r="AO84" s="1"/>
      </tp>
      <tp t="s">
        <v>MAYMK 3.905 10/29/26</v>
        <stp/>
        <stp>##V3_BDPV12</stp>
        <stp>BBG00CP5W6B3 FIGI</stp>
        <stp>SECURITY_NAME</stp>
        <stp>[DIF_Risk_20200430.xlsm]SFC Report!R194C8</stp>
        <tr r="H194" s="6"/>
      </tp>
      <tp t="s">
        <v>BOND</v>
        <stp/>
        <stp>##V3_BDPV12</stp>
        <stp>BBG00PQ3QH67 FIGI</stp>
        <stp>MIFID_ASSET_CLASS</stp>
        <stp>[DIF_Risk_20200430.xlsm]Geneva investment position repo!R73C19</stp>
        <tr r="S73" s="1"/>
      </tp>
      <tp t="s">
        <v>BOND</v>
        <stp/>
        <stp>##V3_BDPV12</stp>
        <stp>BBG00NGF27D6 FIGI</stp>
        <stp>MIFID_ASSET_CLASS</stp>
        <stp>[DIF_Risk_20200430.xlsm]Geneva investment position repo!R114C19</stp>
        <tr r="S114" s="1"/>
      </tp>
      <tp t="s">
        <v>BBB</v>
        <stp/>
        <stp>##V3_BDPV12</stp>
        <stp>BBG00P7N38J5 FIGI</stp>
        <stp>RTG_FITCH</stp>
        <stp>[DIF_Risk_20200430.xlsm]Geneva investment position repo!R175C33</stp>
        <tr r="AG175" s="1"/>
        <tr r="AG175" s="1"/>
      </tp>
      <tp t="s">
        <v>FINANCIAL</v>
        <stp/>
        <stp>##V3_BDPV12</stp>
        <stp>BBG00GQ752P3 FIGI</stp>
        <stp>ISSUER_INDUSTRY</stp>
        <stp>[DIF_Risk_20200430.xlsm]Geneva investment position repo!R99C52</stp>
        <tr r="AZ99" s="1"/>
      </tp>
      <tp t="s">
        <v>Financial</v>
        <stp/>
        <stp>##V3_BDPV12</stp>
        <stp>BBG00GQ752P3 FIGI</stp>
        <stp>INDUSTRY_SECTOR</stp>
        <stp>[DIF_Risk_20200430.xlsm]Geneva investment position repo!R99C39</stp>
        <tr r="AM99" s="1"/>
      </tp>
      <tp t="s">
        <v>#N/A Field Not Applicable</v>
        <stp/>
        <stp>##V3_BDPV12</stp>
        <stp>BBG00CP5W6B3 FIGI</stp>
        <stp>CAPITAL_TYP_COCO_INITIAL_TRIGGER</stp>
        <stp>[DIF_Risk_20200430.xlsm]Geneva investment position repo!R107C43</stp>
        <tr r="AQ107" s="1"/>
      </tp>
      <tp t="s">
        <v>#N/A Field Not Applicable</v>
        <stp/>
        <stp>##V3_BDPV12</stp>
        <stp>BBG00K67R1J1 FIGI</stp>
        <stp>CAPITAL_TYP_COCO_INITIAL_TRIGGER</stp>
        <stp>[DIF_Risk_20200430.xlsm]Geneva investment position repo!R171C43</stp>
        <tr r="AQ171" s="1"/>
      </tp>
      <tp t="s">
        <v>XS2100653778</v>
        <stp/>
        <stp>##V3_BDPV12</stp>
        <stp>BBG00R9LVRX4 FIGI</stp>
        <stp>ID_ISIN</stp>
        <stp>[DIF_Risk_20200430.xlsm]Geneva investment position repo!R172C63</stp>
        <tr r="BK172" s="1"/>
      </tp>
      <tp t="s">
        <v>Internet</v>
        <stp/>
        <stp>##V3_BDPV12</stp>
        <stp>BBG00PKGT0Y7 FIGI</stp>
        <stp>INDUSTRY_GROUP</stp>
        <stp>[DIF_Risk_20200430.xlsm]Geneva investment position repo!R166C40</stp>
        <tr r="AN166" s="1"/>
      </tp>
      <tp t="s">
        <v>Real Estate</v>
        <stp/>
        <stp>##V3_BDPV12</stp>
        <stp>BBG00QQ1W050 FIGI</stp>
        <stp>INDUSTRY_GROUP</stp>
        <stp>[DIF_Risk_20200430.xlsm]Geneva investment position repo!R149C40</stp>
        <tr r="AN149" s="1"/>
      </tp>
      <tp t="s">
        <v>BOND</v>
        <stp/>
        <stp>##V3_BDPV12</stp>
        <stp>BBG00NL43H88 FIGI</stp>
        <stp>MIFID_ASSET_CLASS</stp>
        <stp>[DIF_Risk_20200430.xlsm]Geneva investment position repo!R121C19</stp>
        <tr r="S121" s="1"/>
      </tp>
      <tp t="s">
        <v>BOND</v>
        <stp/>
        <stp>##V3_BDPV12</stp>
        <stp>BBG00N9X3LW2 FIGI</stp>
        <stp>MIFID_ASSET_CLASS</stp>
        <stp>[DIF_Risk_20200430.xlsm]Geneva investment position repo!R180C19</stp>
        <tr r="S180" s="1"/>
      </tp>
      <tp t="s">
        <v>BOND</v>
        <stp/>
        <stp>##V3_BDPV12</stp>
        <stp>BBG00RB35JZ6 FIGI</stp>
        <stp>MIFID_ASSET_CLASS</stp>
        <stp>[DIF_Risk_20200430.xlsm]Geneva investment position repo!R48C19</stp>
        <tr r="S48" s="1"/>
      </tp>
      <tp t="s">
        <v>COGARD 7 1/4 04/04/21</v>
        <stp/>
        <stp>##V3_BDPV12</stp>
        <stp>BBG005BTJ9P5 FIGI</stp>
        <stp>SECURITY_NAME</stp>
        <stp>[DIF_Risk_20200430.xlsm]SFC Report!R195C8</stp>
        <tr r="H195" s="6"/>
      </tp>
      <tp t="s">
        <v>EQUI</v>
        <stp/>
        <stp>##V3_BDPV12</stp>
        <stp>BBG000Q16VR4 FIGI</stp>
        <stp>MIFID_ASSET_CLASS</stp>
        <stp>[DIF_Risk_20200430.xlsm]Geneva investment position repo!R18C19</stp>
        <tr r="S18" s="1"/>
      </tp>
      <tp t="s">
        <v>YUZHOU 7.7 02/20/25</v>
        <stp/>
        <stp>##V3_BDPV12</stp>
        <stp>BBG00RPXWXD8 FIGI</stp>
        <stp>SECURITY_NAME</stp>
        <stp>[DIF_Risk_20200430.xlsm]SFC Report!R123C1</stp>
        <tr r="A123" s="6"/>
      </tp>
      <tp t="s">
        <v>BB+</v>
        <stp/>
        <stp>##V3_BDPV12</stp>
        <stp>BBG00T8645P1 FIGI</stp>
        <stp>RTG_FITCH</stp>
        <stp>[DIF_Risk_20200430.xlsm]Geneva investment position repo!R70C33</stp>
        <tr r="AG70" s="1"/>
        <tr r="AG70" s="1"/>
      </tp>
      <tp t="s">
        <v>#N/A Field Not Applicable</v>
        <stp/>
        <stp>##V3_BDPV12</stp>
        <stp>BBG00BWQ0R57 FIGI</stp>
        <stp>BOND_CLASSIFICATION_NAME</stp>
        <stp>[DIF_Risk_20200430.xlsm]Geneva investment position repo!R62C53</stp>
        <tr r="BA62" s="1"/>
      </tp>
      <tp t="s">
        <v>EQUI</v>
        <stp/>
        <stp>##V3_BDPV12</stp>
        <stp>BBG00226B1T3 FIGI</stp>
        <stp>MIFID_ASSET_CLASS</stp>
        <stp>[DIF_Risk_20200430.xlsm]Geneva investment position repo!R16C19</stp>
        <tr r="S16" s="1"/>
      </tp>
      <tp t="s">
        <v>#N/A N/A</v>
        <stp/>
        <stp>##V3_BDPV12</stp>
        <stp>BBG00NGF27D6 FIGI</stp>
        <stp>RTG_FITCH</stp>
        <stp>[DIF_Risk_20200430.xlsm]Geneva investment position repo!R114C33</stp>
        <tr r="AG114" s="1"/>
      </tp>
      <tp t="s">
        <v>XS1924249680</v>
        <stp/>
        <stp>##V3_BDPV12</stp>
        <stp>BBG00MSJ57C5 FIGI</stp>
        <stp>ID_ISIN</stp>
        <stp>[DIF_Risk_20200430.xlsm]Geneva investment position repo!R74C63</stp>
        <tr r="BK74" s="1"/>
      </tp>
      <tp t="s">
        <v>BOND</v>
        <stp/>
        <stp>##V3_BDPV12</stp>
        <stp>BBG00P7N38J5 FIGI</stp>
        <stp>MIFID_ASSET_CLASS</stp>
        <stp>[DIF_Risk_20200430.xlsm]Geneva investment position repo!R175C19</stp>
        <tr r="S175" s="1"/>
      </tp>
      <tp t="s">
        <v>Telecom Services</v>
        <stp/>
        <stp>##V3_BDPV12</stp>
        <stp>BBG00QJ3FR72 FIGI</stp>
        <stp>INDUSTRY_SUBGROUP</stp>
        <stp>[DIF_Risk_20200430.xlsm]Geneva investment position repo!R37C41</stp>
        <tr r="AO37" s="1"/>
      </tp>
      <tp t="s">
        <v>Country Fund-China</v>
        <stp/>
        <stp>##V3_BDPV12</stp>
        <stp>BBG000P9FRH8 FIGI</stp>
        <stp>INDUSTRY_SUBGROUP</stp>
        <stp>[DIF_Risk_20200430.xlsm]Geneva investment position repo!R19C41</stp>
        <tr r="AO19" s="1"/>
      </tp>
      <tp t="s">
        <v>HK0066009694</v>
        <stp/>
        <stp>##V3_BDPV12</stp>
        <stp>BBG000MKLJD1 FIGI</stp>
        <stp>ID_ISIN</stp>
        <stp>[DIF_Risk_20200430.xlsm]Geneva investment position repo!R22C63</stp>
        <tr r="BK22" s="1"/>
      </tp>
      <tp t="s">
        <v>#N/A N/A</v>
        <stp/>
        <stp>##V3_BDPV12</stp>
        <stp>BBG00QJ3FR72 FIGI</stp>
        <stp>RTG_MOODY</stp>
        <stp>[DIF_Risk_20200430.xlsm]Geneva investment position repo!R37C32</stp>
        <tr r="AF37" s="1"/>
      </tp>
      <tp t="s">
        <v>USJ41838AA14</v>
        <stp/>
        <stp>##V3_BDPV12</stp>
        <stp>BBG00B6SDBV4 FIGI</stp>
        <stp>ID_ISIN</stp>
        <stp>[DIF_Risk_20200430.xlsm]Geneva investment position repo!R115C63</stp>
        <tr r="BK115" s="1"/>
      </tp>
      <tp t="s">
        <v>BBB</v>
        <stp/>
        <stp>##V3_BDPV12</stp>
        <stp>BBG00CP5W6B3 FIGI</stp>
        <stp>RTG_SP</stp>
        <stp>[DIF_Risk_20200430.xlsm]Geneva investment position repo!R107C31</stp>
        <tr r="AE107" s="1"/>
        <tr r="AE107" s="1"/>
      </tp>
      <tp t="s">
        <v>#N/A Field Not Applicable</v>
        <stp/>
        <stp>##V3_BDPV12</stp>
        <stp>BBG00PK1ZYS6 FIGI</stp>
        <stp>CAPITAL_TYP_COCO_INITIAL_TRIGGER</stp>
        <stp>[DIF_Risk_20200430.xlsm]Geneva investment position repo!R146C43</stp>
        <tr r="AQ146" s="1"/>
      </tp>
      <tp t="s">
        <v>XS1692254359</v>
        <stp/>
        <stp>##V3_BDPV12</stp>
        <stp>BBG00HVHMY65 FIGI</stp>
        <stp>ID_ISIN</stp>
        <stp>[DIF_Risk_20200430.xlsm]Geneva investment position repo!R119C63</stp>
        <tr r="BK119" s="1"/>
      </tp>
      <tp t="s">
        <v>XS2030531938</v>
        <stp/>
        <stp>##V3_BDPV12</stp>
        <stp>BBG00Q2B8JR6 FIGI</stp>
        <stp>ID_ISIN</stp>
        <stp>[DIF_Risk_20200430.xlsm]Geneva investment position repo!R170C63</stp>
        <tr r="BK170" s="1"/>
      </tp>
      <tp t="s">
        <v>#N/A Field Not Applicable</v>
        <stp/>
        <stp>##V3_BDPV12</stp>
        <stp>BBG00NB7HXS0 FIGI</stp>
        <stp>CAPITAL_TYP_COCO_INITIAL_TRIGGER</stp>
        <stp>[DIF_Risk_20200430.xlsm]Geneva investment position repo!R143C43</stp>
        <tr r="AQ143" s="1"/>
      </tp>
      <tp t="s">
        <v>FINANCIAL</v>
        <stp/>
        <stp>##V3_BDPV12</stp>
        <stp>BBG00NTXM180 FIGI</stp>
        <stp>ISSUER_INDUSTRY</stp>
        <stp>[DIF_Risk_20200430.xlsm]Geneva investment position repo!R136C52</stp>
        <tr r="AZ136" s="1"/>
      </tp>
      <tp t="s">
        <v>#N/A N/A</v>
        <stp/>
        <stp>##V3_BDPV12</stp>
        <stp>BBG00NB7K829 FIGI</stp>
        <stp>RTG_SP</stp>
        <stp>[DIF_Risk_20200430.xlsm]Geneva investment position repo!R162C31</stp>
        <tr r="AE162" s="1"/>
      </tp>
      <tp t="s">
        <v>STESP 1 1/2 04/29/25</v>
        <stp/>
        <stp>##V3_BDPV12</stp>
        <stp>BBG00TDCM2R7 FIGI</stp>
        <stp>SECURITY_NAME</stp>
        <stp>[DIF_Risk_20200430.xlsm]SFC Report!R192C8</stp>
        <tr r="H192" s="6"/>
      </tp>
      <tp t="s">
        <v>BB-</v>
        <stp/>
        <stp>##V3_BDPV12</stp>
        <stp>BBG00L1B1VB5 FIGI</stp>
        <stp>RTG_FITCH</stp>
        <stp>[DIF_Risk_20200430.xlsm]Geneva investment position repo!R163C33</stp>
        <tr r="AG163" s="1"/>
        <tr r="AG163" s="1"/>
      </tp>
      <tp t="s">
        <v>B-</v>
        <stp/>
        <stp>##V3_BDPV12</stp>
        <stp>BBG00F2W1SP3 FIGI</stp>
        <stp>RTG_FITCH</stp>
        <stp>[DIF_Risk_20200430.xlsm]Geneva investment position repo!R105C33</stp>
        <tr r="AG105" s="1"/>
        <tr r="AG105" s="1"/>
      </tp>
      <tp t="s">
        <v>BOND</v>
        <stp/>
        <stp>##V3_BDPV12</stp>
        <stp>BBG00NQF0SC2 FIGI</stp>
        <stp>MIFID_ASSET_CLASS</stp>
        <stp>[DIF_Risk_20200430.xlsm]Geneva investment position repo!R160C19</stp>
        <tr r="S160" s="1"/>
      </tp>
      <tp t="s">
        <v>BB</v>
        <stp/>
        <stp>##V3_BDPV12</stp>
        <stp>BBG00GQ752P3 FIGI</stp>
        <stp>RTG_FITCH</stp>
        <stp>[DIF_Risk_20200430.xlsm]Geneva investment position repo!R99C33</stp>
        <tr r="AG99" s="1"/>
        <tr r="AG99" s="1"/>
      </tp>
      <tp t="s">
        <v>BB+</v>
        <stp/>
        <stp>##V3_BDPV12</stp>
        <stp>BBG00T8646V2 FIGI</stp>
        <stp>RTG_FITCH</stp>
        <stp>[DIF_Risk_20200430.xlsm]Geneva investment position repo!R71C33</stp>
        <tr r="AG71" s="1"/>
        <tr r="AG71" s="1"/>
      </tp>
      <tp t="s">
        <v>ANTA Sports Products Ltd</v>
        <stp/>
        <stp>##V3_BDPV12</stp>
        <stp>BBG000QWR4M8 FIGI</stp>
        <stp>SECURITY_NAME</stp>
        <stp>[DIF_Risk_20200430.xlsm]SFC Report!R178C1</stp>
        <tr r="A178" s="6"/>
      </tp>
      <tp t="s">
        <v>ANTA Sports Products Ltd</v>
        <stp/>
        <stp>##V3_BDPV12</stp>
        <stp>BBG000QWR4M8 FIGI</stp>
        <stp>SECURITY_NAME</stp>
        <stp>[DIF_Risk_20200430.xlsm]SFC Report!R138C1</stp>
        <tr r="A138" s="6"/>
      </tp>
      <tp t="s">
        <v>China Mobile Ltd</v>
        <stp/>
        <stp>##V3_BDPV12</stp>
        <stp>BBG000BZWNT2 FIGI</stp>
        <stp>SECURITY_NAME</stp>
        <stp>[DIF_Risk_20200430.xlsm]SFC Report!R182C1</stp>
        <tr r="A182" s="6"/>
      </tp>
      <tp t="s">
        <v>Energy</v>
        <stp/>
        <stp>##V3_BDPV12</stp>
        <stp>BBG00CNK44T9 FIGI</stp>
        <stp>INDUSTRY_SECTOR</stp>
        <stp>[DIF_Risk_20200430.xlsm]Geneva investment position repo!R45C39</stp>
        <tr r="AM45" s="1"/>
      </tp>
      <tp t="s">
        <v>Real Estate</v>
        <stp/>
        <stp>##V3_BDPV12</stp>
        <stp>BBG00N0Q0RS1 FIGI</stp>
        <stp>GICS_SECTOR_NAME</stp>
        <stp>[DIF_Risk_20200430.xlsm]Geneva investment position repo!R50C51</stp>
        <tr r="AY50" s="1"/>
      </tp>
      <tp t="s">
        <v>SPECIAL PURPOSE</v>
        <stp/>
        <stp>##V3_BDPV12</stp>
        <stp>BBG00CNK44T9 FIGI</stp>
        <stp>ISSUER_INDUSTRY</stp>
        <stp>[DIF_Risk_20200430.xlsm]Geneva investment position repo!R45C52</stp>
        <tr r="AZ45" s="1"/>
      </tp>
      <tp t="s">
        <v>4/28/2020</v>
        <stp/>
        <stp>##V3_BDPV12</stp>
        <stp>BBG00QT8QWY7 FIGI</stp>
        <stp>SP_EFF_DT</stp>
        <stp>[DIF_Risk_20200430.xlsm]Geneva investment position repo!R46C71</stp>
        <tr r="BS46" s="1"/>
      </tp>
      <tp t="s">
        <v>HK</v>
        <stp/>
        <stp>##V3_BDPV12</stp>
        <stp>BBG000Q16VR4 FIGI</stp>
        <stp>CNTRY_ISSUE_ISO</stp>
        <stp>[DIF_Risk_20200430.xlsm]Geneva investment position repo!R18C38</stp>
        <tr r="AL18" s="1"/>
      </tp>
      <tp t="s">
        <v>#N/A Field Not Applicable</v>
        <stp/>
        <stp>##V3_BDPV12</stp>
        <stp>BBG00T6LY8D4 FIGI</stp>
        <stp>CAPITAL_TYP_COCO_INITIAL_TRIGGER</stp>
        <stp>[DIF_Risk_20200430.xlsm]Geneva investment position repo!R94C43</stp>
        <tr r="AQ94" s="1"/>
      </tp>
      <tp t="s">
        <v>BOND</v>
        <stp/>
        <stp>##V3_BDPV12</stp>
        <stp>BBG00RB30509 FIGI</stp>
        <stp>MIFID_ASSET_CLASS</stp>
        <stp>[DIF_Risk_20200430.xlsm]Geneva investment position repo!R159C19</stp>
        <tr r="S159" s="1"/>
      </tp>
      <tp t="s">
        <v>#N/A Field Not Applicable</v>
        <stp/>
        <stp>##V3_BDPV12</stp>
        <stp>BBG00MKJ4690 FIGI</stp>
        <stp>CAPITAL_TYP_COCO_INITIAL_TRIGGER</stp>
        <stp>[DIF_Risk_20200430.xlsm]Geneva investment position repo!R54C43</stp>
        <tr r="AQ54" s="1"/>
      </tp>
      <tp t="s">
        <v>5/10/2018</v>
        <stp/>
        <stp>##V3_BDPV12</stp>
        <stp>BBG00L07ZBX8 FIGI</stp>
        <stp>SP_EFF_DT</stp>
        <stp>[DIF_Risk_20200430.xlsm]Geneva investment position repo!R66C71</stp>
        <tr r="BS66" s="1"/>
      </tp>
      <tp t="s">
        <v>#N/A Field Not Applicable</v>
        <stp/>
        <stp>##V3_BDPV12</stp>
        <stp>BBG00PGHK257 FIGI</stp>
        <stp>CAPITAL_TYP_COCO_INITIAL_TRIGGER</stp>
        <stp>[DIF_Risk_20200430.xlsm]Geneva investment position repo!R87C43</stp>
        <tr r="AQ87" s="1"/>
      </tp>
      <tp t="s">
        <v>MAYMK 3.905 10/29/26</v>
        <stp/>
        <stp>##V3_BDPV12</stp>
        <stp>BBG00CP5W6B3 FIGI</stp>
        <stp>SECURITY_NAME</stp>
        <stp>[DIF_Risk_20200430.xlsm]SFC Report!R136C8</stp>
        <tr r="H136" s="6"/>
      </tp>
      <tp t="s">
        <v>B+</v>
        <stp/>
        <stp>##V3_BDPV12</stp>
        <stp>BBG00PQ3QH67 FIGI</stp>
        <stp>RTG_FITCH</stp>
        <stp>[DIF_Risk_20200430.xlsm]Geneva investment position repo!R73C33</stp>
        <tr r="AG73" s="1"/>
        <tr r="AG73" s="1"/>
      </tp>
      <tp t="s">
        <v>#N/A Field Not Applicable</v>
        <stp/>
        <stp>##V3_BDPV12</stp>
        <stp>BBG00N14WRV0 FIGI</stp>
        <stp>CAPITAL_TYP_COCO_INITIAL_TRIGGER</stp>
        <stp>[DIF_Risk_20200430.xlsm]Geneva investment position repo!R142C43</stp>
        <tr r="AQ142" s="1"/>
      </tp>
      <tp t="s">
        <v>B- *-</v>
        <stp/>
        <stp>##V3_BDPV12</stp>
        <stp>BBG00GDDS1Y1 FIGI</stp>
        <stp>RTG_SP</stp>
        <stp>[DIF_Risk_20200430.xlsm]Geneva investment position repo!R109C31</stp>
        <tr r="AE109" s="1"/>
        <tr r="AE109" s="1"/>
      </tp>
      <tp t="s">
        <v>#N/A Field Not Applicable</v>
        <stp/>
        <stp>##V3_BDPV12</stp>
        <stp>BBG00N14RT60 FIGI</stp>
        <stp>CAPITAL_TYP_COCO_INITIAL_TRIGGER</stp>
        <stp>[DIF_Risk_20200430.xlsm]Geneva investment position repo!R153C43</stp>
        <tr r="AQ153" s="1"/>
      </tp>
      <tp t="s">
        <v>#N/A Field Not Applicable</v>
        <stp/>
        <stp>##V3_BDPV12</stp>
        <stp>BBG00T21B8F5 FIGI</stp>
        <stp>CAPITAL_TYP_COCO_INITIAL_TRIGGER</stp>
        <stp>[DIF_Risk_20200430.xlsm]Geneva investment position repo!R133C43</stp>
        <tr r="AQ133" s="1"/>
      </tp>
      <tp t="s">
        <v>#N/A Field Not Applicable</v>
        <stp/>
        <stp>##V3_BDPV12</stp>
        <stp>BBG00NB0B2N4 FIGI</stp>
        <stp>CAPITAL_TYP_COCO_INITIAL_TRIGGER</stp>
        <stp>[DIF_Risk_20200430.xlsm]Geneva investment position repo!R150C43</stp>
        <tr r="AQ150" s="1"/>
      </tp>
      <tp t="s">
        <v>XS1976766045</v>
        <stp/>
        <stp>##V3_BDPV12</stp>
        <stp>BBG00NV0G541 FIGI</stp>
        <stp>ID_ISIN</stp>
        <stp>[DIF_Risk_20200430.xlsm]Geneva investment position repo!R165C63</stp>
        <tr r="BK165" s="1"/>
      </tp>
      <tp t="s">
        <v>Oil&amp;Gas</v>
        <stp/>
        <stp>##V3_BDPV12</stp>
        <stp>BBG00T5WB7F6 FIGI</stp>
        <stp>INDUSTRY_GROUP</stp>
        <stp>[DIF_Risk_20200430.xlsm]Geneva investment position repo!R123C40</stp>
        <tr r="AN123" s="1"/>
      </tp>
      <tp t="s">
        <v>B</v>
        <stp/>
        <stp>##V3_BDPV12</stp>
        <stp>BBG00NQF0SC2 FIGI</stp>
        <stp>RTG_FITCH</stp>
        <stp>[DIF_Risk_20200430.xlsm]Geneva investment position repo!R160C33</stp>
        <tr r="AG160" s="1"/>
        <tr r="AG160" s="1"/>
      </tp>
      <tp t="s">
        <v>MDLNIJ 6.95 04/13/24</v>
        <stp/>
        <stp>##V3_BDPV12</stp>
        <stp>BBG00GDDS1Y1 FIGI</stp>
        <stp>SECURITY_NAME</stp>
        <stp>[DIF_Risk_20200430.xlsm]SFC Report!R198C1</stp>
        <tr r="A198" s="6"/>
      </tp>
      <tp t="s">
        <v>STESP 1 1/2 04/29/25</v>
        <stp/>
        <stp>##V3_BDPV12</stp>
        <stp>BBG00TDCM2R7 FIGI</stp>
        <stp>SECURITY_NAME</stp>
        <stp>[DIF_Risk_20200430.xlsm]SFC Report!R133C8</stp>
        <tr r="H133" s="6"/>
      </tp>
      <tp t="s">
        <v>BOND</v>
        <stp/>
        <stp>##V3_BDPV12</stp>
        <stp>BBG00T8645P1 FIGI</stp>
        <stp>MIFID_ASSET_CLASS</stp>
        <stp>[DIF_Risk_20200430.xlsm]Geneva investment position repo!R70C19</stp>
        <tr r="S70" s="1"/>
      </tp>
      <tp t="s">
        <v>#N/A N/A</v>
        <stp/>
        <stp>##V3_BDPV12</stp>
        <stp>BBG00RB35JZ6 FIGI</stp>
        <stp>RTG_FITCH</stp>
        <stp>[DIF_Risk_20200430.xlsm]Geneva investment position repo!R48C33</stp>
        <tr r="AG48" s="1"/>
      </tp>
      <tp t="s">
        <v>COGARD 7 1/4 04/04/21</v>
        <stp/>
        <stp>##V3_BDPV12</stp>
        <stp>BBG005BTJ9P5 FIGI</stp>
        <stp>SECURITY_NAME</stp>
        <stp>[DIF_Risk_20200430.xlsm]SFC Report!R137C8</stp>
        <tr r="H137" s="6"/>
      </tp>
      <tp t="s">
        <v>BOND</v>
        <stp/>
        <stp>##V3_BDPV12</stp>
        <stp>BBG00L1B1VB5 FIGI</stp>
        <stp>MIFID_ASSET_CLASS</stp>
        <stp>[DIF_Risk_20200430.xlsm]Geneva investment position repo!R163C19</stp>
        <tr r="S163" s="1"/>
      </tp>
      <tp t="s">
        <v>BOND</v>
        <stp/>
        <stp>##V3_BDPV12</stp>
        <stp>BBG00F2W1SP3 FIGI</stp>
        <stp>MIFID_ASSET_CLASS</stp>
        <stp>[DIF_Risk_20200430.xlsm]Geneva investment position repo!R105C19</stp>
        <tr r="S105" s="1"/>
      </tp>
      <tp t="s">
        <v>#N/A Field Not Applicable</v>
        <stp/>
        <stp>##V3_BDPV12</stp>
        <stp>BBG000GD4N44 FIGI</stp>
        <stp>CAPITAL_TYP_COCO_INITIAL_TRIGGER</stp>
        <stp>[DIF_Risk_20200430.xlsm]Geneva investment position repo!R23C43</stp>
        <tr r="AQ23" s="1"/>
      </tp>
      <tp t="s">
        <v>#N/A Field Not Applicable</v>
        <stp/>
        <stp>##V3_BDPV12</stp>
        <stp>BBG00M5BYXF5 FIGI</stp>
        <stp>CAPITAL_TYP_COCO_INITIAL_TRIGGER</stp>
        <stp>[DIF_Risk_20200430.xlsm]Geneva investment position repo!R32C43</stp>
        <tr r="AQ32" s="1"/>
      </tp>
      <tp t="s">
        <v>Financials</v>
        <stp/>
        <stp>##V3_BDPV12</stp>
        <stp>BBG00BWQ0R57 FIGI</stp>
        <stp>GICS_SECTOR_NAME</stp>
        <stp>[DIF_Risk_20200430.xlsm]Geneva investment position repo!R62C51</stp>
        <tr r="AY62" s="1"/>
      </tp>
      <tp t="s">
        <v>#N/A Field Not Applicable</v>
        <stp/>
        <stp>##V3_BDPV12</stp>
        <stp>BBG00RCY5V08 FIGI</stp>
        <stp>CAPITAL_TYP_COCO_INITIAL_TRIGGER</stp>
        <stp>[DIF_Risk_20200430.xlsm]Geneva investment position repo!R39C43</stp>
        <tr r="AQ39" s="1"/>
      </tp>
      <tp t="s">
        <v>#N/A Field Not Applicable</v>
        <stp/>
        <stp>##V3_BDPV12</stp>
        <stp>BBG000P9D267 FIGI</stp>
        <stp>SP_EFF_DT</stp>
        <stp>[DIF_Risk_20200430.xlsm]Geneva investment position repo!R20C71</stp>
        <tr r="BS20" s="1"/>
      </tp>
      <tp t="s">
        <v>EQUI</v>
        <stp/>
        <stp>##V3_BDPV12</stp>
        <stp>BBG00LD1QR26 FIGI</stp>
        <stp>MIFID_ASSET_CLASS</stp>
        <stp>[DIF_Risk_20200430.xlsm]Geneva investment position repo!R12C19</stp>
        <tr r="S12" s="1"/>
      </tp>
      <tp t="s">
        <v>XS1982124239</v>
        <stp/>
        <stp>##V3_BDPV12</stp>
        <stp>BBG00NV886P8 FIGI</stp>
        <stp>ID_ISIN</stp>
        <stp>[DIF_Risk_20200430.xlsm]Geneva investment position repo!R72C63</stp>
        <tr r="BK72" s="1"/>
      </tp>
      <tp t="s">
        <v>#N/A Field Not Applicable</v>
        <stp/>
        <stp>##V3_BDPV12</stp>
        <stp>BBG000QWR4M8 FIGI</stp>
        <stp>CAPITAL_TYP_COCO_INITIAL_TRIGGER</stp>
        <stp>[DIF_Risk_20200430.xlsm]Geneva investment position repo!R8C43</stp>
        <tr r="AQ8" s="1"/>
      </tp>
      <tp t="s">
        <v>B</v>
        <stp/>
        <stp>##V3_BDPV12</stp>
        <stp>BBG00RB30509 FIGI</stp>
        <stp>RTG_FITCH</stp>
        <stp>[DIF_Risk_20200430.xlsm]Geneva investment position repo!R159C33</stp>
        <tr r="AG159" s="1"/>
        <tr r="AG159" s="1"/>
      </tp>
      <tp t="s">
        <v>Real Estate Oper/Develop</v>
        <stp/>
        <stp>##V3_BDPV12</stp>
        <stp>BBG00RH7GJ34 FIGI</stp>
        <stp>INDUSTRY_SUBGROUP</stp>
        <stp>[DIF_Risk_20200430.xlsm]Geneva investment position repo!R67C41</stp>
        <tr r="AO67" s="1"/>
      </tp>
      <tp t="s">
        <v>Coal</v>
        <stp/>
        <stp>##V3_BDPV12</stp>
        <stp>BBG00QN3F2R0 FIGI</stp>
        <stp>INDUSTRY_SUBGROUP</stp>
        <stp>[DIF_Risk_20200430.xlsm]Geneva investment position repo!R28C41</stp>
        <tr r="AO28" s="1"/>
      </tp>
      <tp t="s">
        <v>Ba1</v>
        <stp/>
        <stp>##V3_BDPV12</stp>
        <stp>BBG00QN3F2R0 FIGI</stp>
        <stp>RTG_MOODY</stp>
        <stp>[DIF_Risk_20200430.xlsm]Geneva investment position repo!R28C32</stp>
        <tr r="AF28" s="1"/>
        <tr r="AF28" s="1"/>
      </tp>
      <tp t="s">
        <v>Ba3</v>
        <stp/>
        <stp>##V3_BDPV12</stp>
        <stp>BBG00RH7GJ34 FIGI</stp>
        <stp>RTG_MOODY</stp>
        <stp>[DIF_Risk_20200430.xlsm]Geneva investment position repo!R67C32</stp>
        <tr r="AF67" s="1"/>
        <tr r="AF67" s="1"/>
      </tp>
      <tp t="s">
        <v>INDUSTRIAL</v>
        <stp/>
        <stp>##V3_BDPV12</stp>
        <stp>BBG00SXGDG60 FIGI</stp>
        <stp>ISSUER_INDUSTRY</stp>
        <stp>[DIF_Risk_20200430.xlsm]Geneva investment position repo!R120C52</stp>
        <tr r="AZ120" s="1"/>
      </tp>
      <tp t="s">
        <v>#N/A Field Not Applicable</v>
        <stp/>
        <stp>##V3_BDPV12</stp>
        <stp>BBG00RD4VH41 FIGI</stp>
        <stp>CAPITAL_TYP_COCO_INITIAL_TRIGGER</stp>
        <stp>[DIF_Risk_20200430.xlsm]Geneva investment position repo!R106C43</stp>
        <tr r="AQ106" s="1"/>
      </tp>
      <tp t="s">
        <v>Oil&amp;Gas</v>
        <stp/>
        <stp>##V3_BDPV12</stp>
        <stp>BBG00T5WB757 FIGI</stp>
        <stp>INDUSTRY_GROUP</stp>
        <stp>[DIF_Risk_20200430.xlsm]Geneva investment position repo!R124C40</stp>
        <tr r="AN124" s="1"/>
      </tp>
      <tp t="s">
        <v>XS1506085114</v>
        <stp/>
        <stp>##V3_BDPV12</stp>
        <stp>BBG00F2W1SP3 FIGI</stp>
        <stp>ID_ISIN</stp>
        <stp>[DIF_Risk_20200430.xlsm]Geneva investment position repo!R105C63</stp>
        <tr r="BK105" s="1"/>
      </tp>
      <tp t="s">
        <v>#N/A Field Not Applicable</v>
        <stp/>
        <stp>##V3_BDPV12</stp>
        <stp>BBG00RZ2MZZ7 FIGI</stp>
        <stp>CAPITAL_TYP_COCO_INITIAL_TRIGGER</stp>
        <stp>[DIF_Risk_20200430.xlsm]Geneva investment position repo!R113C43</stp>
        <tr r="AQ113" s="1"/>
      </tp>
      <tp t="s">
        <v>#N/A Field Not Applicable</v>
        <stp/>
        <stp>##V3_BDPV12</stp>
        <stp>BBG00RT2L457 FIGI</stp>
        <stp>CAPITAL_TYP_COCO_INITIAL_TRIGGER</stp>
        <stp>[DIF_Risk_20200430.xlsm]Geneva investment position repo!R177C43</stp>
        <tr r="AQ177" s="1"/>
      </tp>
      <tp t="s">
        <v>#N/A N/A</v>
        <stp/>
        <stp>##V3_BDPV12</stp>
        <stp>BBG00NV899R9 FIGI</stp>
        <stp>RTG_SP</stp>
        <stp>[DIF_Risk_20200430.xlsm]Geneva investment position repo!R168C31</stp>
        <tr r="AE168" s="1"/>
      </tp>
      <tp t="s">
        <v>Common Stock</v>
        <stp/>
        <stp>##V3_BDPV12</stp>
        <stp>BBG00QV37ZP9 FIGI</stp>
        <stp>SECURITY_TYP2</stp>
        <stp>[DIF_Risk_20200430.xlsm]Geneva investment position repo!R7C21</stp>
        <tr r="U7" s="1"/>
      </tp>
      <tp t="s">
        <v>FINANCIAL</v>
        <stp/>
        <stp>##V3_BDPV12</stp>
        <stp>BBG00N9X3LW2 FIGI</stp>
        <stp>ISSUER_INDUSTRY</stp>
        <stp>[DIF_Risk_20200430.xlsm]Geneva investment position repo!R180C52</stp>
        <tr r="AZ180" s="1"/>
      </tp>
      <tp t="s">
        <v>#N/A Field Not Applicable</v>
        <stp/>
        <stp>##V3_BDPV12</stp>
        <stp>BBG00RD35MV1 FIGI</stp>
        <stp>CAPITAL_TYP_COCO_INITIAL_TRIGGER</stp>
        <stp>[DIF_Risk_20200430.xlsm]Geneva investment position repo!R118C43</stp>
        <tr r="AQ118" s="1"/>
      </tp>
      <tp t="s">
        <v>STESP 1 1/2 04/29/25</v>
        <stp/>
        <stp>##V3_BDPV12</stp>
        <stp>BBG00TDCM2R7 FIGI</stp>
        <stp>SECURITY_NAME</stp>
        <stp>[DIF_Risk_20200430.xlsm]SFC Report!R174C1</stp>
        <tr r="A174" s="6"/>
      </tp>
      <tp t="s">
        <v>#N/A Field Not Applicable</v>
        <stp/>
        <stp>##V3_BDPV12</stp>
        <stp>BBG00PQ3QH67 FIGI</stp>
        <stp>BOND_CLASSIFICATION_NAME</stp>
        <stp>[DIF_Risk_20200430.xlsm]Geneva investment position repo!R73C53</stp>
        <tr r="BA73" s="1"/>
      </tp>
      <tp t="s">
        <v>BB</v>
        <stp/>
        <stp>##V3_BDPV12</stp>
        <stp>BBG00NDM7WZ0 FIGI</stp>
        <stp>RTG_FITCH</stp>
        <stp>[DIF_Risk_20200430.xlsm]Geneva investment position repo!R103C33</stp>
        <tr r="AG103" s="1"/>
        <tr r="AG103" s="1"/>
      </tp>
      <tp t="s">
        <v>BOND</v>
        <stp/>
        <stp>##V3_BDPV12</stp>
        <stp>BBG00LNF6KZ5 FIGI</stp>
        <stp>MIFID_ASSET_CLASS</stp>
        <stp>[DIF_Risk_20200430.xlsm]Geneva investment position repo!R144C19</stp>
        <tr r="S144" s="1"/>
      </tp>
      <tp t="s">
        <v>Ba2 *-</v>
        <stp/>
        <stp>##V3_BDPV12</stp>
        <stp>BBG00T8646V2 FIGI</stp>
        <stp>RTG_MOODY</stp>
        <stp>[DIF_Risk_20200430.xlsm]Geneva investment position repo!R71C32</stp>
        <tr r="AF71" s="1"/>
        <tr r="AF71" s="1"/>
      </tp>
      <tp t="s">
        <v>B1</v>
        <stp/>
        <stp>##V3_BDPV12</stp>
        <stp>BBG00GQ752P3 FIGI</stp>
        <stp>RTG_MOODY</stp>
        <stp>[DIF_Risk_20200430.xlsm]Geneva investment position repo!R99C32</stp>
        <tr r="AF99" s="1"/>
        <tr r="AF99" s="1"/>
      </tp>
      <tp t="s">
        <v>Real Estate Oper/Develop</v>
        <stp/>
        <stp>##V3_BDPV12</stp>
        <stp>BBG00GQ752P3 FIGI</stp>
        <stp>INDUSTRY_SUBGROUP</stp>
        <stp>[DIF_Risk_20200430.xlsm]Geneva investment position repo!R99C41</stp>
        <tr r="AO99" s="1"/>
      </tp>
      <tp t="s">
        <v>Auto-Cars/Light Trucks</v>
        <stp/>
        <stp>##V3_BDPV12</stp>
        <stp>BBG00T8646V2 FIGI</stp>
        <stp>INDUSTRY_SUBGROUP</stp>
        <stp>[DIF_Risk_20200430.xlsm]Geneva investment position repo!R71C41</stp>
        <tr r="AO71" s="1"/>
      </tp>
      <tp t="s">
        <v>BOND</v>
        <stp/>
        <stp>##V3_BDPV12</stp>
        <stp>BBG00NV886P8 FIGI</stp>
        <stp>MIFID_ASSET_CLASS</stp>
        <stp>[DIF_Risk_20200430.xlsm]Geneva investment position repo!R72C19</stp>
        <tr r="S72" s="1"/>
      </tp>
      <tp t="s">
        <v>#N/A Field Not Applicable</v>
        <stp/>
        <stp>##V3_BDPV12</stp>
        <stp>BBG000BDV566 FIGI</stp>
        <stp>CAPITAL_TYP_COCO_INITIAL_TRIGGER</stp>
        <stp>[DIF_Risk_20200430.xlsm]Geneva investment position repo!R13C43</stp>
        <tr r="AQ13" s="1"/>
      </tp>
      <tp t="s">
        <v>HK</v>
        <stp/>
        <stp>##V3_BDPV12</stp>
        <stp>BBG000DVPPK1 FIGI</stp>
        <stp>CNTRY_ISSUE_ISO</stp>
        <stp>[DIF_Risk_20200430.xlsm]Geneva investment position repo!R10C38</stp>
        <tr r="AL10" s="1"/>
      </tp>
      <tp t="s">
        <v>B3</v>
        <stp/>
        <stp>##V3_BDPV12</stp>
        <stp>BBG00PQ3QH67 FIGI</stp>
        <stp>RTG_MOODY</stp>
        <stp>[DIF_Risk_20200430.xlsm]Geneva investment position repo!R73C32</stp>
        <tr r="AF73" s="1"/>
        <tr r="AF73" s="1"/>
      </tp>
      <tp t="s">
        <v>Real Estate Oper/Develop</v>
        <stp/>
        <stp>##V3_BDPV12</stp>
        <stp>BBG00PQ3QH67 FIGI</stp>
        <stp>INDUSTRY_SUBGROUP</stp>
        <stp>[DIF_Risk_20200430.xlsm]Geneva investment position repo!R73C41</stp>
        <tr r="AO73" s="1"/>
      </tp>
      <tp t="s">
        <v>Communications</v>
        <stp/>
        <stp>##V3_BDPV12</stp>
        <stp>BBG00QV37ZP9 FIGI</stp>
        <stp>INDUSTRY_SECTOR</stp>
        <stp>[DIF_Risk_20200430.xlsm]Geneva investment position repo!R7C39</stp>
        <tr r="AM7" s="1"/>
      </tp>
      <tp t="s">
        <v>BOND</v>
        <stp/>
        <stp>##V3_BDPV12</stp>
        <stp>BBG00PQ3PWZ3 FIGI</stp>
        <stp>MIFID_ASSET_CLASS</stp>
        <stp>[DIF_Risk_20200430.xlsm]Geneva investment position repo!R84C19</stp>
        <tr r="S84" s="1"/>
      </tp>
      <tp t="s">
        <v>#N/A Field Not Applicable</v>
        <stp/>
        <stp>##V3_BDPV12</stp>
        <stp>BBG00SBW5S62 FIGI</stp>
        <stp>CAPITAL_TYP_COCO_INITIAL_TRIGGER</stp>
        <stp>[DIF_Risk_20200430.xlsm]Geneva investment position repo!R88C43</stp>
        <tr r="AQ88" s="1"/>
      </tp>
      <tp t="s">
        <v>#N/A N/A</v>
        <stp/>
        <stp>##V3_BDPV12</stp>
        <stp>BBG00PF578H3 FIGI</stp>
        <stp>RTG_FITCH</stp>
        <stp>[DIF_Risk_20200430.xlsm]Geneva investment position repo!R181C33</stp>
        <tr r="AG181" s="1"/>
      </tp>
      <tp t="s">
        <v>XS1819966687</v>
        <stp/>
        <stp>##V3_BDPV12</stp>
        <stp>BBG00KVGG4W4 FIGI</stp>
        <stp>ID_ISIN</stp>
        <stp>[DIF_Risk_20200430.xlsm]Geneva investment position repo!R83C63</stp>
        <tr r="BK83" s="1"/>
      </tp>
      <tp t="s">
        <v>HK Electric Investments &amp; HK E</v>
        <stp/>
        <stp>##V3_BDPV12</stp>
        <stp>BBG005Q0XWK0 FIGI</stp>
        <stp>SECURITY_NAME</stp>
        <stp>[DIF_Risk_20200430.xlsm]SFC Report!R178C8</stp>
        <tr r="H178" s="6"/>
      </tp>
      <tp t="s">
        <v>EQUI</v>
        <stp/>
        <stp>##V3_BDPV12</stp>
        <stp>BBG005Q0XWK0 FIGI</stp>
        <stp>MIFID_ASSET_CLASS</stp>
        <stp>[DIF_Risk_20200430.xlsm]Geneva investment position repo!R15C19</stp>
        <tr r="S15" s="1"/>
      </tp>
      <tp t="s">
        <v>Real Estate</v>
        <stp/>
        <stp>##V3_BDPV12</stp>
        <stp>BBG00RRMFK74 FIGI</stp>
        <stp>GICS_SECTOR_NAME</stp>
        <stp>[DIF_Risk_20200430.xlsm]Geneva investment position repo!R41C51</stp>
        <tr r="AY41" s="1"/>
      </tp>
      <tp t="s">
        <v>Communication Services</v>
        <stp/>
        <stp>##V3_BDPV12</stp>
        <stp>BBG00RPJBQ56 FIGI</stp>
        <stp>GICS_SECTOR_NAME</stp>
        <stp>[DIF_Risk_20200430.xlsm]Geneva investment position repo!R27C51</stp>
        <tr r="AY27" s="1"/>
      </tp>
      <tp t="s">
        <v>Financial</v>
        <stp/>
        <stp>##V3_BDPV12</stp>
        <stp>BBG00N9X3LW2 FIGI</stp>
        <stp>INDUSTRY_SECTOR</stp>
        <stp>[DIF_Risk_20200430.xlsm]Geneva investment position repo!R180C39</stp>
        <tr r="AM180" s="1"/>
      </tp>
      <tp t="s">
        <v>Technology</v>
        <stp/>
        <stp>##V3_BDPV12</stp>
        <stp>BBG00SXGDG60 FIGI</stp>
        <stp>INDUSTRY_SECTOR</stp>
        <stp>[DIF_Risk_20200430.xlsm]Geneva investment position repo!R120C39</stp>
        <tr r="AM120" s="1"/>
      </tp>
      <tp t="s">
        <v>XS2075937297</v>
        <stp/>
        <stp>##V3_BDPV12</stp>
        <stp>BBG00QQ1W050 FIGI</stp>
        <stp>ID_ISIN</stp>
        <stp>[DIF_Risk_20200430.xlsm]Geneva investment position repo!R149C63</stp>
        <tr r="BK149" s="1"/>
      </tp>
      <tp t="s">
        <v>XS1940394502</v>
        <stp/>
        <stp>##V3_BDPV12</stp>
        <stp>BBG00N6M20C8 FIGI</stp>
        <stp>ID_ISIN</stp>
        <stp>[DIF_Risk_20200430.xlsm]Geneva investment position repo!R79C63</stp>
        <tr r="BK79" s="1"/>
      </tp>
      <tp t="s">
        <v>#N/A Field Not Applicable</v>
        <stp/>
        <stp>##V3_BDPV12</stp>
        <stp>BBG00226B1T3 FIGI</stp>
        <stp>BOND_CLASSIFICATION_NAME</stp>
        <stp>[DIF_Risk_20200430.xlsm]Geneva investment position repo!R16C53</stp>
        <tr r="BA16" s="1"/>
      </tp>
      <tp t="s">
        <v>CNE1000003X6</v>
        <stp/>
        <stp>##V3_BDPV12</stp>
        <stp>BBG000GD4N44 FIGI</stp>
        <stp>ID_ISIN</stp>
        <stp>[DIF_Risk_20200430.xlsm]Geneva investment position repo!R23C63</stp>
        <tr r="BK23" s="1"/>
      </tp>
      <tp t="s">
        <v>#N/A Field Not Applicable</v>
        <stp/>
        <stp>##V3_BDPV12</stp>
        <stp>BBG000P9D267 FIGI</stp>
        <stp>BOND_CLASSIFICATION_NAME</stp>
        <stp>[DIF_Risk_20200430.xlsm]Geneva investment position repo!R20C53</stp>
        <tr r="BA20" s="1"/>
      </tp>
      <tp t="s">
        <v>Ba3</v>
        <stp/>
        <stp>##V3_BDPV12</stp>
        <stp>BBG00RB35JZ6 FIGI</stp>
        <stp>RTG_MOODY</stp>
        <stp>[DIF_Risk_20200430.xlsm]Geneva investment position repo!R48C32</stp>
        <tr r="AF48" s="1"/>
        <tr r="AF48" s="1"/>
      </tp>
      <tp t="s">
        <v>Commer Banks Non-US</v>
        <stp/>
        <stp>##V3_BDPV12</stp>
        <stp>BBG000Q16VR4 FIGI</stp>
        <stp>INDUSTRY_SUBGROUP</stp>
        <stp>[DIF_Risk_20200430.xlsm]Geneva investment position repo!R18C41</stp>
        <tr r="AO18" s="1"/>
      </tp>
      <tp t="s">
        <v>Real Estate Oper/Develop</v>
        <stp/>
        <stp>##V3_BDPV12</stp>
        <stp>BBG00RB35JZ6 FIGI</stp>
        <stp>INDUSTRY_SUBGROUP</stp>
        <stp>[DIF_Risk_20200430.xlsm]Geneva investment position repo!R48C41</stp>
        <tr r="AO48" s="1"/>
      </tp>
      <tp t="s">
        <v>XS1784286327</v>
        <stp/>
        <stp>##V3_BDPV12</stp>
        <stp>BBG00K7D75S0 FIGI</stp>
        <stp>ID_ISIN</stp>
        <stp>[DIF_Risk_20200430.xlsm]Geneva investment position repo!R75C63</stp>
        <tr r="BK75" s="1"/>
      </tp>
      <tp t="s">
        <v>BOND</v>
        <stp/>
        <stp>##V3_BDPV12</stp>
        <stp>BBG00NDM7WZ0 FIGI</stp>
        <stp>MIFID_ASSET_CLASS</stp>
        <stp>[DIF_Risk_20200430.xlsm]Geneva investment position repo!R103C19</stp>
        <tr r="S103" s="1"/>
      </tp>
      <tp t="s">
        <v>#N/A N/A</v>
        <stp/>
        <stp>##V3_BDPV12</stp>
        <stp>BBG00LNF6KZ5 FIGI</stp>
        <stp>RTG_FITCH</stp>
        <stp>[DIF_Risk_20200430.xlsm]Geneva investment position repo!R144C33</stp>
        <tr r="AG144" s="1"/>
      </tp>
      <tp t="s">
        <v>HK0941009539</v>
        <stp/>
        <stp>##V3_BDPV12</stp>
        <stp>BBG000BZWNT2 FIGI</stp>
        <stp>ID_ISIN</stp>
        <stp>[DIF_Risk_20200430.xlsm]Geneva investment position repo!R11C63</stp>
        <tr r="BK11" s="1"/>
      </tp>
      <tp t="s">
        <v>#N/A Field Not Applicable</v>
        <stp/>
        <stp>##V3_BDPV12</stp>
        <stp>BBG00N6M20C8 FIGI</stp>
        <stp>CAPITAL_TYP_COCO_INITIAL_TRIGGER</stp>
        <stp>[DIF_Risk_20200430.xlsm]Geneva investment position repo!R79C43</stp>
        <tr r="AQ79" s="1"/>
      </tp>
      <tp t="s">
        <v>BB+</v>
        <stp/>
        <stp>##V3_BDPV12</stp>
        <stp>BBG00RH7GJ34 FIGI</stp>
        <stp>RTG_FITCH</stp>
        <stp>[DIF_Risk_20200430.xlsm]Geneva investment position repo!R67C33</stp>
        <tr r="AG67" s="1"/>
        <tr r="AG67" s="1"/>
      </tp>
      <tp t="s">
        <v>4/1/2020</v>
        <stp/>
        <stp>##V3_BDPV12</stp>
        <stp>BBG00SY1QXH9 FIGI</stp>
        <stp>SP_EFF_DT</stp>
        <stp>[DIF_Risk_20200430.xlsm]Geneva investment position repo!R31C71</stp>
        <tr r="BS31" s="1"/>
      </tp>
      <tp t="s">
        <v>BOND</v>
        <stp/>
        <stp>##V3_BDPV12</stp>
        <stp>BBG00PF578H3 FIGI</stp>
        <stp>MIFID_ASSET_CLASS</stp>
        <stp>[DIF_Risk_20200430.xlsm]Geneva investment position repo!R181C19</stp>
        <tr r="S181" s="1"/>
      </tp>
      <tp t="s">
        <v>BBB-</v>
        <stp/>
        <stp>##V3_BDPV12</stp>
        <stp>BBG00QN3F2R0 FIGI</stp>
        <stp>RTG_FITCH</stp>
        <stp>[DIF_Risk_20200430.xlsm]Geneva investment position repo!R28C33</stp>
        <tr r="AG28" s="1"/>
        <tr r="AG28" s="1"/>
      </tp>
      <tp t="s">
        <v>BOND</v>
        <stp/>
        <stp>##V3_BDPV12</stp>
        <stp>BBG00QJ3FR72 FIGI</stp>
        <stp>MIFID_ASSET_CLASS</stp>
        <stp>[DIF_Risk_20200430.xlsm]Geneva investment position repo!R37C19</stp>
        <tr r="S37" s="1"/>
      </tp>
      <tp t="s">
        <v>EQUI</v>
        <stp/>
        <stp>##V3_BDPV12</stp>
        <stp>BBG000P9FRH8 FIGI</stp>
        <stp>MIFID_ASSET_CLASS</stp>
        <stp>[DIF_Risk_20200430.xlsm]Geneva investment position repo!R19C19</stp>
        <tr r="S19" s="1"/>
      </tp>
      <tp t="s">
        <v>Consumer, Non-cyclical</v>
        <stp/>
        <stp>##V3_BDPV12</stp>
        <stp>BBG00GTY47H0 FIGI</stp>
        <stp>INDUSTRY_SECTOR</stp>
        <stp>[DIF_Risk_20200430.xlsm]Geneva investment position repo!R26C39</stp>
        <tr r="AM26" s="1"/>
      </tp>
      <tp t="s">
        <v>Medical Labs&amp;Testing Srv</v>
        <stp/>
        <stp>##V3_BDPV12</stp>
        <stp>BBG00GTY47H0 FIGI</stp>
        <stp>ISSUER_INDUSTRY</stp>
        <stp>[DIF_Risk_20200430.xlsm]Geneva investment position repo!R26C52</stp>
        <tr r="AZ26" s="1"/>
      </tp>
      <tp t="s">
        <v>#N/A Field Not Applicable</v>
        <stp/>
        <stp>##V3_BDPV12</stp>
        <stp>BBG00N2K8LG0 FIGI</stp>
        <stp>CAPITAL_TYP_COCO_INITIAL_TRIGGER</stp>
        <stp>[DIF_Risk_20200430.xlsm]Geneva investment position repo!R43C43</stp>
        <tr r="AQ43" s="1"/>
      </tp>
      <tp t="s">
        <v>E-Commerce/Products</v>
        <stp/>
        <stp>##V3_BDPV12</stp>
        <stp>BBG00QV37ZP9 FIGI</stp>
        <stp>ISSUER_INDUSTRY</stp>
        <stp>[DIF_Risk_20200430.xlsm]Geneva investment position repo!R7C52</stp>
        <tr r="AZ7" s="1"/>
      </tp>
      <tp t="s">
        <v>5/17/2017</v>
        <stp/>
        <stp>##V3_BDPV12</stp>
        <stp>BBG00FP0FP88 FIGI</stp>
        <stp>SP_EFF_DT</stp>
        <stp>[DIF_Risk_20200430.xlsm]Geneva investment position repo!R96C71</stp>
        <tr r="BS96" s="1"/>
      </tp>
      <tp t="s">
        <v>#N/A Field Not Applicable</v>
        <stp/>
        <stp>##V3_BDPV12</stp>
        <stp>BBG00NGWHP25 FIGI</stp>
        <stp>CAPITAL_TYP_COCO_INITIAL_TRIGGER</stp>
        <stp>[DIF_Risk_20200430.xlsm]Geneva investment position repo!R29C43</stp>
        <tr r="AQ29" s="1"/>
      </tp>
      <tp t="s">
        <v>Real Estate</v>
        <stp/>
        <stp>##V3_BDPV12</stp>
        <stp>BBG00K7D75S0 FIGI</stp>
        <stp>GICS_SECTOR_NAME</stp>
        <stp>[DIF_Risk_20200430.xlsm]Geneva investment position repo!R75C51</stp>
        <tr r="AY75" s="1"/>
      </tp>
      <tp t="s">
        <v>#N/A N/A</v>
        <stp/>
        <stp>##V3_BDPV12</stp>
        <stp>BBG00PV1L0V9 FIGI</stp>
        <stp>SP_EFF_DT</stp>
        <stp>[DIF_Risk_20200430.xlsm]Geneva investment position repo!R86C71</stp>
        <tr r="BS86" s="1"/>
      </tp>
      <tp t="s">
        <v>Telecom Services</v>
        <stp/>
        <stp>##V3_BDPV12</stp>
        <stp>BBG00226B1T3 FIGI</stp>
        <stp>INDUSTRY_SUBGROUP</stp>
        <stp>[DIF_Risk_20200430.xlsm]Geneva investment position repo!R16C41</stp>
        <tr r="AO16" s="1"/>
      </tp>
      <tp t="s">
        <v>HK0006000050</v>
        <stp/>
        <stp>##V3_BDPV12</stp>
        <stp>BBG000BDWNL9 FIGI</stp>
        <stp>ID_ISIN</stp>
        <stp>[DIF_Risk_20200430.xlsm]Geneva investment position repo!R24C63</stp>
        <tr r="BK24" s="1"/>
      </tp>
      <tp t="s">
        <v>XS1870205819</v>
        <stp/>
        <stp>##V3_BDPV12</stp>
        <stp>BBG00LSRS878 FIGI</stp>
        <stp>ID_ISIN</stp>
        <stp>[DIF_Risk_20200430.xlsm]Geneva investment position repo!R104C63</stp>
        <tr r="BK104" s="1"/>
      </tp>
      <tp t="s">
        <v>Real Estate</v>
        <stp/>
        <stp>##V3_BDPV12</stp>
        <stp>BBG00RT2L457 FIGI</stp>
        <stp>INDUSTRY_GROUP</stp>
        <stp>[DIF_Risk_20200430.xlsm]Geneva investment position repo!R177C40</stp>
        <tr r="AN177" s="1"/>
      </tp>
      <tp t="s">
        <v>XS1892105823</v>
        <stp/>
        <stp>##V3_BDPV12</stp>
        <stp>BBG00N14WRV0 FIGI</stp>
        <stp>ID_ISIN</stp>
        <stp>[DIF_Risk_20200430.xlsm]Geneva investment position repo!R142C63</stp>
        <tr r="BK142" s="1"/>
      </tp>
      <tp t="s">
        <v>#N/A N/A</v>
        <stp/>
        <stp>##V3_BDPV12</stp>
        <stp>BBG00RD35MV1 FIGI</stp>
        <stp>RTG_FITCH</stp>
        <stp>[DIF_Risk_20200430.xlsm]Geneva investment position repo!R118C33</stp>
        <tr r="AG118" s="1"/>
      </tp>
      <tp t="s">
        <v>CHOHIN 5.7 PERP</v>
        <stp/>
        <stp>##V3_BDPV12</stp>
        <stp>BBG00PMFP1T5 FIGI</stp>
        <stp>SECURITY_NAME</stp>
        <stp>[DIF_Risk_20200430.xlsm]SFC Report!R139C1</stp>
        <tr r="A139" s="6"/>
      </tp>
      <tp t="s">
        <v>Real Estate</v>
        <stp/>
        <stp>##V3_BDPV12</stp>
        <stp>BBG00PQ3QH67 FIGI</stp>
        <stp>GICS_SECTOR_NAME</stp>
        <stp>[DIF_Risk_20200430.xlsm]Geneva investment position repo!R73C51</stp>
        <tr r="AY73" s="1"/>
      </tp>
      <tp t="s">
        <v>PEMEX 5.95 01/28/31</v>
        <stp/>
        <stp>##V3_BDPV12</stp>
        <stp>BBG00RHHSFZ2 FIGI</stp>
        <stp>SECURITY_NAME</stp>
        <stp>[DIF_Risk_20200430.xlsm]SFC Report!R192C1</stp>
        <tr r="A192" s="6"/>
      </tp>
      <tp t="s">
        <v>#N/A Field Not Applicable</v>
        <stp/>
        <stp>##V3_BDPV12</stp>
        <stp>BBG00LD1QR26 FIGI</stp>
        <stp>CAPITAL_TYP_COCO_INITIAL_TRIGGER</stp>
        <stp>[DIF_Risk_20200430.xlsm]Geneva investment position repo!R12C43</stp>
        <tr r="AQ12" s="1"/>
      </tp>
      <tp t="s">
        <v>SUNAC 8 5/8 07/27/20</v>
        <stp/>
        <stp>##V3_BDPV12</stp>
        <stp>BBG00LJTVJR4 FIGI</stp>
        <stp>SECURITY_NAME</stp>
        <stp>[DIF_Risk_20200430.xlsm]SFC Report!R198C8</stp>
        <tr r="H198" s="6"/>
      </tp>
      <tp t="s">
        <v>#N/A N/A</v>
        <stp/>
        <stp>##V3_BDPV12</stp>
        <stp>BBG00NV886P8 FIGI</stp>
        <stp>RTG_FITCH</stp>
        <stp>[DIF_Risk_20200430.xlsm]Geneva investment position repo!R72C33</stp>
        <tr r="AG72" s="1"/>
      </tp>
      <tp t="s">
        <v>BOND</v>
        <stp/>
        <stp>##V3_BDPV12</stp>
        <stp>BBG00PKD4F69 FIGI</stp>
        <stp>MIFID_ASSET_CLASS</stp>
        <stp>[DIF_Risk_20200430.xlsm]Geneva investment position repo!R145C19</stp>
        <tr r="S145" s="1"/>
      </tp>
      <tp t="s">
        <v>HK</v>
        <stp/>
        <stp>##V3_BDPV12</stp>
        <stp>BBG005Q0XWK0 FIGI</stp>
        <stp>CNTRY_ISSUE_ISO</stp>
        <stp>[DIF_Risk_20200430.xlsm]Geneva investment position repo!R15C38</stp>
        <tr r="AL15" s="1"/>
      </tp>
      <tp t="s">
        <v>HK</v>
        <stp/>
        <stp>##V3_BDPV12</stp>
        <stp>BBG000P9FRH8 FIGI</stp>
        <stp>CNTRY_ISSUE_ISO</stp>
        <stp>[DIF_Risk_20200430.xlsm]Geneva investment position repo!R19C38</stp>
        <tr r="AL19" s="1"/>
      </tp>
      <tp t="s">
        <v>BB-</v>
        <stp/>
        <stp>##V3_BDPV12</stp>
        <stp>BBG00PQ3PWZ3 FIGI</stp>
        <stp>RTG_FITCH</stp>
        <stp>[DIF_Risk_20200430.xlsm]Geneva investment position repo!R84C33</stp>
        <tr r="AG84" s="1"/>
        <tr r="AG84" s="1"/>
      </tp>
      <tp t="s">
        <v>BOND</v>
        <stp/>
        <stp>##V3_BDPV12</stp>
        <stp>BBG00MNS44N6 FIGI</stp>
        <stp>MIFID_ASSET_CLASS</stp>
        <stp>[DIF_Risk_20200430.xlsm]Geneva investment position repo!R129C19</stp>
        <tr r="S129" s="1"/>
      </tp>
      <tp t="s">
        <v>#N/A Field Not Applicable</v>
        <stp/>
        <stp>##V3_BDPV12</stp>
        <stp>BBG00RPJBQ56 FIGI</stp>
        <stp>BOND_CLASSIFICATION_NAME</stp>
        <stp>[DIF_Risk_20200430.xlsm]Geneva investment position repo!R27C53</stp>
        <tr r="BA27" s="1"/>
      </tp>
      <tp t="s">
        <v>#N/A Field Not Applicable</v>
        <stp/>
        <stp>##V3_BDPV12</stp>
        <stp>BBG00RRMFK74 FIGI</stp>
        <stp>BOND_CLASSIFICATION_NAME</stp>
        <stp>[DIF_Risk_20200430.xlsm]Geneva investment position repo!R41C53</stp>
        <tr r="BA41" s="1"/>
      </tp>
      <tp t="s">
        <v>XS1871087133</v>
        <stp/>
        <stp>##V3_BDPV12</stp>
        <stp>BBG00LSR9049 FIGI</stp>
        <stp>ID_ISIN</stp>
        <stp>[DIF_Risk_20200430.xlsm]Geneva investment position repo!R108C63</stp>
        <tr r="BK108" s="1"/>
      </tp>
      <tp t="s">
        <v>Financial</v>
        <stp/>
        <stp>##V3_BDPV12</stp>
        <stp>BBG00NTXM180 FIGI</stp>
        <stp>INDUSTRY_SECTOR</stp>
        <stp>[DIF_Risk_20200430.xlsm]Geneva investment position repo!R136C39</stp>
        <tr r="AM136" s="1"/>
      </tp>
      <tp t="s">
        <v>Aerospace/Defense</v>
        <stp/>
        <stp>##V3_BDPV12</stp>
        <stp>BBG00TDCM2R7 FIGI</stp>
        <stp>INDUSTRY_GROUP</stp>
        <stp>[DIF_Risk_20200430.xlsm]Geneva investment position repo!R147C40</stp>
        <tr r="AN147" s="1"/>
      </tp>
      <tp t="s">
        <v>#N/A Field Not Applicable</v>
        <stp/>
        <stp>##V3_BDPV12</stp>
        <stp>BBG00NG9J699 FIGI</stp>
        <stp>CAPITAL_TYP_COCO_INITIAL_TRIGGER</stp>
        <stp>[DIF_Risk_20200430.xlsm]Geneva investment position repo!R139C43</stp>
        <tr r="AQ139" s="1"/>
      </tp>
      <tp t="s">
        <v>#N/A Field Not Applicable</v>
        <stp/>
        <stp>##V3_BDPV12</stp>
        <stp>BBG00NV899R9 FIGI</stp>
        <stp>CAPITAL_TYP_COCO_INITIAL_TRIGGER</stp>
        <stp>[DIF_Risk_20200430.xlsm]Geneva investment position repo!R168C43</stp>
        <tr r="AQ168" s="1"/>
      </tp>
      <tp t="s">
        <v>Real Estate</v>
        <stp/>
        <stp>##V3_BDPV12</stp>
        <stp>BBG00RB30509 FIGI</stp>
        <stp>INDUSTRY_GROUP</stp>
        <stp>[DIF_Risk_20200430.xlsm]Geneva investment position repo!R159C40</stp>
        <tr r="AN159" s="1"/>
      </tp>
      <tp t="s">
        <v>#N/A Field Not Applicable</v>
        <stp/>
        <stp>##V3_BDPV12</stp>
        <stp>BBG0016XR1Q8 FIGI</stp>
        <stp>CAPITAL_TYP_COCO_INITIAL_TRIGGER</stp>
        <stp>[DIF_Risk_20200430.xlsm]Geneva investment position repo!R6C43</stp>
        <tr r="AQ6" s="1"/>
      </tp>
      <tp t="s">
        <v>Communication Services</v>
        <stp/>
        <stp>##V3_BDPV12</stp>
        <stp>BBG00226B1T3 FIGI</stp>
        <stp>GICS_SECTOR_NAME</stp>
        <stp>[DIF_Risk_20200430.xlsm]Geneva investment position repo!R16C51</stp>
        <tr r="AY16" s="1"/>
      </tp>
      <tp t="s">
        <v>#N/A N/A</v>
        <stp/>
        <stp>##V3_BDPV12</stp>
        <stp>BBG00PKD4F69 FIGI</stp>
        <stp>RTG_FITCH</stp>
        <stp>[DIF_Risk_20200430.xlsm]Geneva investment position repo!R145C33</stp>
        <tr r="AG145" s="1"/>
      </tp>
      <tp t="s">
        <v>Ba2 *-</v>
        <stp/>
        <stp>##V3_BDPV12</stp>
        <stp>BBG00T8645P1 FIGI</stp>
        <stp>RTG_MOODY</stp>
        <stp>[DIF_Risk_20200430.xlsm]Geneva investment position repo!R70C32</stp>
        <tr r="AF70" s="1"/>
        <tr r="AF70" s="1"/>
      </tp>
      <tp t="s">
        <v>PEMEX 5.95 01/28/31</v>
        <stp/>
        <stp>##V3_BDPV12</stp>
        <stp>BBG00RHHSFZ2 FIGI</stp>
        <stp>SECURITY_NAME</stp>
        <stp>[DIF_Risk_20200430.xlsm]SFC Report!R133C1</stp>
        <tr r="A133" s="6"/>
      </tp>
      <tp t="s">
        <v>Auto-Cars/Light Trucks</v>
        <stp/>
        <stp>##V3_BDPV12</stp>
        <stp>BBG00T8645P1 FIGI</stp>
        <stp>INDUSTRY_SUBGROUP</stp>
        <stp>[DIF_Risk_20200430.xlsm]Geneva investment position repo!R70C41</stp>
        <tr r="AO70" s="1"/>
      </tp>
      <tp t="s">
        <v>Real Estate</v>
        <stp/>
        <stp>##V3_BDPV12</stp>
        <stp>BBG000P9D267 FIGI</stp>
        <stp>GICS_SECTOR_NAME</stp>
        <stp>[DIF_Risk_20200430.xlsm]Geneva investment position repo!R20C51</stp>
        <tr r="AY20" s="1"/>
      </tp>
      <tp t="s">
        <v>BOND</v>
        <stp/>
        <stp>##V3_BDPV12</stp>
        <stp>BBG00RD35MV1 FIGI</stp>
        <stp>MIFID_ASSET_CLASS</stp>
        <stp>[DIF_Risk_20200430.xlsm]Geneva investment position repo!R118C19</stp>
        <tr r="S118" s="1"/>
      </tp>
      <tp t="s">
        <v>XS1852561031</v>
        <stp/>
        <stp>##V3_BDPV12</stp>
        <stp>BBG00M0MD1Z7 FIGI</stp>
        <stp>ID_ISIN</stp>
        <stp>[DIF_Risk_20200430.xlsm]Geneva investment position repo!R55C63</stp>
        <tr r="BK55" s="1"/>
      </tp>
      <tp t="s">
        <v>#N/A Field Not Applicable</v>
        <stp/>
        <stp>##V3_BDPV12</stp>
        <stp>BBG000BGW354 FIGI</stp>
        <stp>CAPITAL_TYP_COCO_INITIAL_TRIGGER</stp>
        <stp>[DIF_Risk_20200430.xlsm]Geneva investment position repo!R17C43</stp>
        <tr r="AQ17" s="1"/>
      </tp>
      <tp t="s">
        <v>BBB+</v>
        <stp/>
        <stp>##V3_BDPV12</stp>
        <stp>BBG00MNS44N6 FIGI</stp>
        <stp>RTG_FITCH</stp>
        <stp>[DIF_Risk_20200430.xlsm]Geneva investment position repo!R129C33</stp>
        <tr r="AG129" s="1"/>
        <tr r="AG129" s="1"/>
      </tp>
      <tp t="s">
        <v>BB</v>
        <stp/>
        <stp>##V3_BDPV12</stp>
        <stp>BBG00QJ3FR72 FIGI</stp>
        <stp>RTG_FITCH</stp>
        <stp>[DIF_Risk_20200430.xlsm]Geneva investment position repo!R37C33</stp>
        <tr r="AG37" s="1"/>
        <tr r="AG37" s="1"/>
      </tp>
      <tp t="s">
        <v>BOND</v>
        <stp/>
        <stp>##V3_BDPV12</stp>
        <stp>BBG00QN3F2R0 FIGI</stp>
        <stp>MIFID_ASSET_CLASS</stp>
        <stp>[DIF_Risk_20200430.xlsm]Geneva investment position repo!R28C19</stp>
        <tr r="S28" s="1"/>
      </tp>
      <tp t="s">
        <v>BOND</v>
        <stp/>
        <stp>##V3_BDPV12</stp>
        <stp>BBG00RH7GJ34 FIGI</stp>
        <stp>MIFID_ASSET_CLASS</stp>
        <stp>[DIF_Risk_20200430.xlsm]Geneva investment position repo!R67C19</stp>
        <tr r="S67" s="1"/>
      </tp>
      <tp t="s">
        <v>Building-Heavy Construct</v>
        <stp/>
        <stp>##V3_BDPV12</stp>
        <stp>BBG00LD1QR26 FIGI</stp>
        <stp>INDUSTRY_SUBGROUP</stp>
        <stp>[DIF_Risk_20200430.xlsm]Geneva investment position repo!R12C41</stp>
        <tr r="AO12" s="1"/>
      </tp>
      <tp t="s">
        <v>#N/A Field Not Applicable</v>
        <stp/>
        <stp>##V3_BDPV12</stp>
        <stp>BBG00JCQ6Y42 FIGI</stp>
        <stp>CAPITAL_TYP_COCO_INITIAL_TRIGGER</stp>
        <stp>[DIF_Risk_20200430.xlsm]Geneva investment position repo!R33C43</stp>
        <tr r="AQ33" s="1"/>
      </tp>
      <tp t="s">
        <v>#N/A Field Not Applicable</v>
        <stp/>
        <stp>##V3_BDPV12</stp>
        <stp>BBG00K7D75S0 FIGI</stp>
        <stp>BOND_CLASSIFICATION_NAME</stp>
        <stp>[DIF_Risk_20200430.xlsm]Geneva investment position repo!R75C53</stp>
        <tr r="BA75" s="1"/>
      </tp>
      <tp t="s">
        <v>Real Estate</v>
        <stp/>
        <stp>##V3_BDPV12</stp>
        <stp>BBG00QRVV6Z8 FIGI</stp>
        <stp>INDUSTRY_GROUP</stp>
        <stp>[DIF_Risk_20200430.xlsm]Geneva investment position repo!R155C40</stp>
        <tr r="AN155" s="1"/>
      </tp>
      <tp t="s">
        <v>#N/A Field Not Applicable</v>
        <stp/>
        <stp>##V3_BDPV12</stp>
        <stp>BBG00QQ1W050 FIGI</stp>
        <stp>CAPITAL_TYP_COCO_INITIAL_TRIGGER</stp>
        <stp>[DIF_Risk_20200430.xlsm]Geneva investment position repo!R149C43</stp>
        <tr r="AQ149" s="1"/>
      </tp>
      <tp t="s">
        <v>#N/A N/A</v>
        <stp/>
        <stp>##V3_BDPV12</stp>
        <stp>BBG00GSCY4N6 FIGI</stp>
        <stp>RTG_SP</stp>
        <stp>[DIF_Risk_20200430.xlsm]Geneva investment position repo!R116C31</stp>
        <tr r="AE116" s="1"/>
      </tp>
      <tp t="s">
        <v>#N/A Field Not Applicable</v>
        <stp/>
        <stp>##V3_BDPV12</stp>
        <stp>BBG00NV0G541 FIGI</stp>
        <stp>CAPITAL_TYP_COCO_INITIAL_TRIGGER</stp>
        <stp>[DIF_Risk_20200430.xlsm]Geneva investment position repo!R165C43</stp>
        <tr r="AQ165" s="1"/>
      </tp>
      <tp t="s">
        <v>#N/A Field Not Applicable</v>
        <stp/>
        <stp>##V3_BDPV12</stp>
        <stp>BBG00RB0MG61 FIGI</stp>
        <stp>CAPITAL_TYP_COCO_INITIAL_TRIGGER</stp>
        <stp>[DIF_Risk_20200430.xlsm]Geneva investment position repo!R100C43</stp>
        <tr r="AQ100" s="1"/>
      </tp>
      <tp t="s">
        <v>#N/A Field Not Applicable</v>
        <stp/>
        <stp>##V3_BDPV12</stp>
        <stp>BBG00NG9L0S8 FIGI</stp>
        <stp>CAPITAL_TYP_COCO_INITIAL_TRIGGER</stp>
        <stp>[DIF_Risk_20200430.xlsm]Geneva investment position repo!R134C43</stp>
        <tr r="AQ134" s="1"/>
      </tp>
      <tp t="s">
        <v>Communications</v>
        <stp/>
        <stp>##V3_BDPV12</stp>
        <stp>BBG00NV0G541 FIGI</stp>
        <stp>INDUSTRY_SECTOR</stp>
        <stp>[DIF_Risk_20200430.xlsm]Geneva investment position repo!R165C39</stp>
        <tr r="AM165" s="1"/>
      </tp>
      <tp t="s">
        <v>Real Estate</v>
        <stp/>
        <stp>##V3_BDPV12</stp>
        <stp>BBG00P7N38J5 FIGI</stp>
        <stp>INDUSTRY_GROUP</stp>
        <stp>[DIF_Risk_20200430.xlsm]Geneva investment position repo!R175C40</stp>
        <tr r="AN175" s="1"/>
      </tp>
      <tp t="s">
        <v>B- *-</v>
        <stp/>
        <stp>##V3_BDPV12</stp>
        <stp>BBG00LSR9049 FIGI</stp>
        <stp>RTG_SP</stp>
        <stp>[DIF_Risk_20200430.xlsm]Geneva investment position repo!R108C31</stp>
        <tr r="AE108" s="1"/>
        <tr r="AE108" s="1"/>
      </tp>
      <tp t="s">
        <v>#N/A N/A</v>
        <stp/>
        <stp>##V3_BDPV12</stp>
        <stp>BBG00RB35JZ6 FIGI</stp>
        <stp>SP_EFF_DT</stp>
        <stp>[DIF_Risk_20200430.xlsm]Geneva investment position repo!R48C71</stp>
        <tr r="BS48" s="1"/>
      </tp>
      <tp t="s">
        <v>#N/A Field Not Applicable</v>
        <stp/>
        <stp>##V3_BDPV12</stp>
        <stp>BBG000Q16VR4 FIGI</stp>
        <stp>SP_EFF_DT</stp>
        <stp>[DIF_Risk_20200430.xlsm]Geneva investment position repo!R18C71</stp>
        <tr r="BS18" s="1"/>
      </tp>
      <tp t="s">
        <v>STESP 1 1/2 04/29/25</v>
        <stp/>
        <stp>##V3_BDPV12</stp>
        <stp>BBG00TDCM2R7 FIGI</stp>
        <stp>SECURITY_NAME</stp>
        <stp>[DIF_Risk_20200430.xlsm]SFC Report!R118C1</stp>
        <tr r="A118" s="6"/>
      </tp>
      <tp t="s">
        <v>CHOHIN 5.7 PERP</v>
        <stp/>
        <stp>##V3_BDPV12</stp>
        <stp>BBG00PMFP1T5 FIGI</stp>
        <stp>SECURITY_NAME</stp>
        <stp>[DIF_Risk_20200430.xlsm]SFC Report!R197C1</stp>
        <tr r="A197" s="6"/>
      </tp>
      <tp t="s">
        <v>CERCG 5.55 04/14/21</v>
        <stp/>
        <stp>##V3_BDPV12</stp>
        <stp>BBG00CNK44T9 FIGI</stp>
        <stp>SECURITY_NAME</stp>
        <stp>[DIF_Risk_20200430.xlsm]SFC Report!R174C8</stp>
        <tr r="H174" s="6"/>
      </tp>
      <tp t="s">
        <v>Meituan Dianping</v>
        <stp/>
        <stp>##V3_BDPV12</stp>
        <stp>BBG00LLV9WW6 FIGI</stp>
        <stp>SECURITY_NAME</stp>
        <stp>[DIF_Risk_20200430.xlsm]SFC Report!R175C1</stp>
        <tr r="A175" s="6"/>
      </tp>
      <tp t="s">
        <v>ICBCAS 1.77 05/20/20</v>
        <stp/>
        <stp>##V3_BDPV12</stp>
        <stp>BBG00RPXTZN6 FIGI</stp>
        <stp>SECURITY_NAME</stp>
        <stp>[DIF_Risk_20200430.xlsm]SFC Report!R190C8</stp>
        <tr r="H190" s="6"/>
      </tp>
      <tp t="s">
        <v>A2</v>
        <stp/>
        <stp>##V3_BDPV12</stp>
        <stp>BBG00SY1QXH9 FIGI</stp>
        <stp>RTG_MOODY</stp>
        <stp>[DIF_Risk_20200430.xlsm]Geneva investment position repo!R31C32</stp>
        <tr r="AF31" s="1"/>
        <tr r="AF31" s="1"/>
      </tp>
      <tp t="s">
        <v>Life/Health Insurance</v>
        <stp/>
        <stp>##V3_BDPV12</stp>
        <stp>BBG00SY1QXH9 FIGI</stp>
        <stp>INDUSTRY_SUBGROUP</stp>
        <stp>[DIF_Risk_20200430.xlsm]Geneva investment position repo!R31C41</stp>
        <tr r="AO31" s="1"/>
      </tp>
      <tp t="s">
        <v>B1</v>
        <stp/>
        <stp>##V3_BDPV12</stp>
        <stp>BBG00PV1L0V9 FIGI</stp>
        <stp>RTG_MOODY</stp>
        <stp>[DIF_Risk_20200430.xlsm]Geneva investment position repo!R86C32</stp>
        <tr r="AF86" s="1"/>
        <tr r="AF86" s="1"/>
      </tp>
      <tp t="s">
        <v>#N/A Field Not Applicable</v>
        <stp/>
        <stp>##V3_BDPV12</stp>
        <stp>BBG00226B1T3 FIGI</stp>
        <stp>SP_EFF_DT</stp>
        <stp>[DIF_Risk_20200430.xlsm]Geneva investment position repo!R16C71</stp>
        <tr r="BS16" s="1"/>
      </tp>
      <tp t="s">
        <v>Oil-Field Services</v>
        <stp/>
        <stp>##V3_BDPV12</stp>
        <stp>BBG00PV1L0V9 FIGI</stp>
        <stp>INDUSTRY_SUBGROUP</stp>
        <stp>[DIF_Risk_20200430.xlsm]Geneva investment position repo!R86C41</stp>
        <tr r="AO86" s="1"/>
      </tp>
      <tp t="s">
        <v>#N/A Field Not Applicable</v>
        <stp/>
        <stp>##V3_BDPV12</stp>
        <stp>BBG00RYDWX24 FIGI</stp>
        <stp>BOND_CLASSIFICATION_NAME</stp>
        <stp>[DIF_Risk_20200430.xlsm]Geneva investment position repo!R85C53</stp>
        <tr r="BA85" s="1"/>
      </tp>
      <tp t="s">
        <v>YGCZCH 4 3/4 11/30/20</v>
        <stp/>
        <stp>##V3_BDPV12</stp>
        <stp>BBG00JC8V4T3 FIGI</stp>
        <stp>SECURITY_NAME</stp>
        <stp>[DIF_Risk_20200430.xlsm]SFC Report!R199C8</stp>
        <tr r="H199" s="6"/>
      </tp>
      <tp t="s">
        <v>Real Estate Oper/Develop</v>
        <stp/>
        <stp>##V3_BDPV12</stp>
        <stp>BBG00FP0FP88 FIGI</stp>
        <stp>INDUSTRY_SUBGROUP</stp>
        <stp>[DIF_Risk_20200430.xlsm]Geneva investment position repo!R96C41</stp>
        <tr r="AO96" s="1"/>
      </tp>
      <tp t="s">
        <v>#N/A N/A</v>
        <stp/>
        <stp>##V3_BDPV12</stp>
        <stp>BBG00FP0FP88 FIGI</stp>
        <stp>RTG_MOODY</stp>
        <stp>[DIF_Risk_20200430.xlsm]Geneva investment position repo!R96C32</stp>
        <tr r="AF96" s="1"/>
      </tp>
      <tp t="s">
        <v>Financial</v>
        <stp/>
        <stp>##V3_BDPV12</stp>
        <stp>BBG00F2W1SP3 FIGI</stp>
        <stp>INDUSTRY_SECTOR</stp>
        <stp>[DIF_Risk_20200430.xlsm]Geneva investment position repo!R105C39</stp>
        <tr r="AM105" s="1"/>
      </tp>
      <tp t="s">
        <v>Real Estate</v>
        <stp/>
        <stp>##V3_BDPV12</stp>
        <stp>BBG00PF578H3 FIGI</stp>
        <stp>INDUSTRY_GROUP</stp>
        <stp>[DIF_Risk_20200430.xlsm]Geneva investment position repo!R181C40</stp>
        <tr r="AN181" s="1"/>
      </tp>
      <tp t="s">
        <v>B+</v>
        <stp/>
        <stp>##V3_BDPV12</stp>
        <stp>BBG00NB0B2N4 FIGI</stp>
        <stp>RTG_SP</stp>
        <stp>[DIF_Risk_20200430.xlsm]Geneva investment position repo!R150C31</stp>
        <tr r="AE150" s="1"/>
        <tr r="AE150" s="1"/>
      </tp>
      <tp t="s">
        <v>#N/A Field Not Applicable</v>
        <stp/>
        <stp>##V3_BDPV12</stp>
        <stp>BBG00NB7K829 FIGI</stp>
        <stp>CAPITAL_TYP_COCO_INITIAL_TRIGGER</stp>
        <stp>[DIF_Risk_20200430.xlsm]Geneva investment position repo!R162C43</stp>
        <tr r="AQ162" s="1"/>
      </tp>
      <tp t="s">
        <v>#N/A N/A</v>
        <stp/>
        <stp>##V3_BDPV12</stp>
        <stp>BBG00NDFM319 FIGI</stp>
        <stp>RTG_SP</stp>
        <stp>[DIF_Risk_20200430.xlsm]Geneva investment position repo!R140C31</stp>
        <tr r="AE140" s="1"/>
      </tp>
      <tp t="s">
        <v>FINANCIAL</v>
        <stp/>
        <stp>##V3_BDPV12</stp>
        <stp>BBG00QQ1W050 FIGI</stp>
        <stp>ISSUER_INDUSTRY</stp>
        <stp>[DIF_Risk_20200430.xlsm]Geneva investment position repo!R149C52</stp>
        <tr r="AZ149" s="1"/>
      </tp>
      <tp t="s">
        <v>4/17/2020</v>
        <stp/>
        <stp>##V3_BDPV12</stp>
        <stp>BBG00T8646V2 FIGI</stp>
        <stp>SP_EFF_DT</stp>
        <stp>[DIF_Risk_20200430.xlsm]Geneva investment position repo!R71C71</stp>
        <tr r="BS71" s="1"/>
      </tp>
      <tp t="s">
        <v>#N/A N/A</v>
        <stp/>
        <stp>##V3_BDPV12</stp>
        <stp>BBG00GQ752P3 FIGI</stp>
        <stp>SP_EFF_DT</stp>
        <stp>[DIF_Risk_20200430.xlsm]Geneva investment position repo!R99C71</stp>
        <tr r="BS99" s="1"/>
      </tp>
      <tp t="s">
        <v>MDLNIJ 6.95 04/13/24</v>
        <stp/>
        <stp>##V3_BDPV12</stp>
        <stp>BBG00GDDS1Y1 FIGI</stp>
        <stp>SECURITY_NAME</stp>
        <stp>[DIF_Risk_20200430.xlsm]SFC Report!R182C8</stp>
        <tr r="H182" s="6"/>
      </tp>
      <tp t="s">
        <v>Consumer Discretionary</v>
        <stp/>
        <stp>##V3_BDPV12</stp>
        <stp>BBG00T8645P1 FIGI</stp>
        <stp>GICS_SECTOR_NAME</stp>
        <stp>[DIF_Risk_20200430.xlsm]Geneva investment position repo!R70C51</stp>
        <tr r="AY70" s="1"/>
      </tp>
      <tp t="s">
        <v>Real Estate</v>
        <stp/>
        <stp>##V3_BDPV12</stp>
        <stp>BBG00FP0FP88 FIGI</stp>
        <stp>GICS_SECTOR_NAME</stp>
        <stp>[DIF_Risk_20200430.xlsm]Geneva investment position repo!R96C51</stp>
        <tr r="AY96" s="1"/>
      </tp>
      <tp t="s">
        <v>MEDCIJ 6 3/4 01/30/25</v>
        <stp/>
        <stp>##V3_BDPV12</stp>
        <stp>BBG00JVKTCJ1 FIGI</stp>
        <stp>SECURITY_NAME</stp>
        <stp>[DIF_Risk_20200430.xlsm]SFC Report!R193C1</stp>
        <tr r="A193" s="6"/>
      </tp>
      <tp t="s">
        <v>#N/A Field Not Applicable</v>
        <stp/>
        <stp>##V3_BDPV12</stp>
        <stp>BBG00L07ZBX8 FIGI</stp>
        <stp>GICS_SECTOR_NAME</stp>
        <stp>[DIF_Risk_20200430.xlsm]Geneva investment position repo!R66C51</stp>
        <tr r="AY66" s="1"/>
      </tp>
      <tp t="s">
        <v>Financial</v>
        <stp/>
        <stp>##V3_BDPV12</stp>
        <stp>BBG00M0MD1Z7 FIGI</stp>
        <stp>INDUSTRY_SECTOR</stp>
        <stp>[DIF_Risk_20200430.xlsm]Geneva investment position repo!R55C39</stp>
        <tr r="AM55" s="1"/>
      </tp>
      <tp t="s">
        <v>FINANCIAL</v>
        <stp/>
        <stp>##V3_BDPV12</stp>
        <stp>BBG00M0MD1Z7 FIGI</stp>
        <stp>ISSUER_INDUSTRY</stp>
        <stp>[DIF_Risk_20200430.xlsm]Geneva investment position repo!R55C52</stp>
        <tr r="AZ55" s="1"/>
      </tp>
      <tp t="s">
        <v>Meituan Dianping</v>
        <stp/>
        <stp>##V3_BDPV12</stp>
        <stp>BBG00LLV9WW6 FIGI</stp>
        <stp>SECURITY_NAME</stp>
        <stp>[DIF_Risk_20200430.xlsm]SFC Report!R124C1</stp>
        <tr r="A124" s="6"/>
      </tp>
      <tp t="s">
        <v>#N/A N/A</v>
        <stp/>
        <stp>##V3_BDPV12</stp>
        <stp>BBG00PQ3QH67 FIGI</stp>
        <stp>SP_EFF_DT</stp>
        <stp>[DIF_Risk_20200430.xlsm]Geneva investment position repo!R73C71</stp>
        <tr r="BS73" s="1"/>
      </tp>
      <tp t="s">
        <v>#N/A N/A</v>
        <stp/>
        <stp>##V3_BDPV12</stp>
        <stp>BBG00QT8QWY7 FIGI</stp>
        <stp>RTG_FITCH</stp>
        <stp>[DIF_Risk_20200430.xlsm]Geneva investment position repo!R46C33</stp>
        <tr r="AG46" s="1"/>
      </tp>
      <tp t="s">
        <v>#N/A Field Not Applicable</v>
        <stp/>
        <stp>##V3_BDPV12</stp>
        <stp>BBG00QNT5B76 FIGI</stp>
        <stp>CAPITAL_TYP_COCO_INITIAL_TRIGGER</stp>
        <stp>[DIF_Risk_20200430.xlsm]Geneva investment position repo!R30C43</stp>
        <tr r="AQ30" s="1"/>
      </tp>
      <tp t="s">
        <v>BBB</v>
        <stp/>
        <stp>##V3_BDPV12</stp>
        <stp>BBG00L07ZBX8 FIGI</stp>
        <stp>RTG_FITCH</stp>
        <stp>[DIF_Risk_20200430.xlsm]Geneva investment position repo!R66C33</stp>
        <tr r="AG66" s="1"/>
        <tr r="AG66" s="1"/>
      </tp>
      <tp t="s">
        <v>Chengtou Bond</v>
        <stp/>
        <stp>##V3_BDPV12</stp>
        <stp>BBG00M0MD1Z7 FIGI</stp>
        <stp>BOND_CLASSIFICATION_NAME</stp>
        <stp>[DIF_Risk_20200430.xlsm]Geneva investment position repo!R55C53</stp>
        <tr r="BA55" s="1"/>
      </tp>
      <tp t="s">
        <v>B+</v>
        <stp/>
        <stp>##V3_BDPV12</stp>
        <stp>BBG00HDTX5P9 FIGI</stp>
        <stp>RTG_SP</stp>
        <stp>[DIF_Risk_20200430.xlsm]Geneva investment position repo!R111C31</stp>
        <tr r="AE111" s="1"/>
        <tr r="AE111" s="1"/>
      </tp>
      <tp t="s">
        <v>Real Estate</v>
        <stp/>
        <stp>##V3_BDPV12</stp>
        <stp>BBG00QRVV8P5 FIGI</stp>
        <stp>INDUSTRY_GROUP</stp>
        <stp>[DIF_Risk_20200430.xlsm]Geneva investment position repo!R131C40</stp>
        <tr r="AN131" s="1"/>
      </tp>
      <tp t="s">
        <v>FINANCIAL</v>
        <stp/>
        <stp>##V3_BDPV12</stp>
        <stp>BBG00LSRS878 FIGI</stp>
        <stp>ISSUER_INDUSTRY</stp>
        <stp>[DIF_Risk_20200430.xlsm]Geneva investment position repo!R104C52</stp>
        <tr r="AZ104" s="1"/>
      </tp>
      <tp t="s">
        <v>#N/A Field Not Applicable</v>
        <stp/>
        <stp>##V3_BDPV12</stp>
        <stp>BBG00NL43H88 FIGI</stp>
        <stp>CAPITAL_TYP_COCO_INITIAL_TRIGGER</stp>
        <stp>[DIF_Risk_20200430.xlsm]Geneva investment position repo!R121C43</stp>
        <tr r="AQ121" s="1"/>
      </tp>
      <tp t="s">
        <v>BBG000MKLJD1</v>
        <stp/>
        <stp>##V3_BDPV12</stp>
        <stp>66 HK Equity</stp>
        <stp>ID_BB_GLOBAL</stp>
        <stp>[DIF_Risk_20200430.xlsm]Geneva investment position repo!R22C18</stp>
        <tr r="R22" s="1"/>
      </tp>
      <tp t="s">
        <v>BANK</v>
        <stp/>
        <stp>##V3_BDPV12</stp>
        <stp>BBG00N14WRV0 FIGI</stp>
        <stp>ISSUER_INDUSTRY</stp>
        <stp>[DIF_Risk_20200430.xlsm]Geneva investment position repo!R142C52</stp>
        <tr r="AZ142" s="1"/>
      </tp>
      <tp t="s">
        <v>4/17/2020</v>
        <stp/>
        <stp>##V3_BDPV12</stp>
        <stp>BBG00T8645P1 FIGI</stp>
        <stp>SP_EFF_DT</stp>
        <stp>[DIF_Risk_20200430.xlsm]Geneva investment position repo!R70C71</stp>
        <tr r="BS70" s="1"/>
      </tp>
      <tp t="s">
        <v>#N/A N/A</v>
        <stp/>
        <stp>##V3_BDPV12</stp>
        <stp>BBG00MTS9QX5 FIGI</stp>
        <stp>RTG_FITCH</stp>
        <stp>[DIF_Risk_20200430.xlsm]Geneva investment position repo!R157C33</stp>
        <tr r="AG157" s="1"/>
      </tp>
      <tp t="s">
        <v>MDLNIJ 6.95 04/13/24</v>
        <stp/>
        <stp>##V3_BDPV12</stp>
        <stp>BBG00GDDS1Y1 FIGI</stp>
        <stp>SECURITY_NAME</stp>
        <stp>[DIF_Risk_20200430.xlsm]SFC Report!R141C1</stp>
        <tr r="A141" s="6"/>
      </tp>
      <tp t="s">
        <v>#N/A N/A</v>
        <stp/>
        <stp>##V3_BDPV12</stp>
        <stp>BBG00N0J9QB8 FIGI</stp>
        <stp>RTG_FITCH</stp>
        <stp>[DIF_Risk_20200430.xlsm]Geneva investment position repo!R132C33</stp>
        <tr r="AG132" s="1"/>
      </tp>
      <tp t="s">
        <v>CERCG 5.55 04/14/21</v>
        <stp/>
        <stp>##V3_BDPV12</stp>
        <stp>BBG00CNK44T9 FIGI</stp>
        <stp>SECURITY_NAME</stp>
        <stp>[DIF_Risk_20200430.xlsm]SFC Report!R116C8</stp>
        <tr r="H116" s="6"/>
      </tp>
      <tp t="s">
        <v>BOND</v>
        <stp/>
        <stp>##V3_BDPV12</stp>
        <stp>BBG00Q2B8JR6 FIGI</stp>
        <stp>MIFID_ASSET_CLASS</stp>
        <stp>[DIF_Risk_20200430.xlsm]Geneva investment position repo!R170C19</stp>
        <tr r="S170" s="1"/>
      </tp>
      <tp t="s">
        <v>ICBCAS 1.77 05/20/20</v>
        <stp/>
        <stp>##V3_BDPV12</stp>
        <stp>BBG00RPXTZN6 FIGI</stp>
        <stp>SECURITY_NAME</stp>
        <stp>[DIF_Risk_20200430.xlsm]SFC Report!R132C8</stp>
        <tr r="H132" s="6"/>
      </tp>
      <tp t="s">
        <v>MEDCIJ 8 1/2 08/17/22</v>
        <stp/>
        <stp>##V3_BDPV12</stp>
        <stp>BBG00HDTX5P9 FIGI</stp>
        <stp>SECURITY_NAME</stp>
        <stp>[DIF_Risk_20200430.xlsm]SFC Report!R118C8</stp>
        <tr r="H118" s="6"/>
      </tp>
      <tp t="s">
        <v>#N/A N/A</v>
        <stp/>
        <stp>##V3_BDPV12</stp>
        <stp>BBG00QDN9PZ4 FIGI</stp>
        <stp>RTG_FITCH</stp>
        <stp>[DIF_Risk_20200430.xlsm]Geneva investment position repo!R138C33</stp>
        <tr r="AG138" s="1"/>
      </tp>
      <tp t="s">
        <v>B *-</v>
        <stp/>
        <stp>##V3_BDPV12</stp>
        <stp>BBG00LSR9049 FIGI</stp>
        <stp>RTG_FITCH</stp>
        <stp>[DIF_Risk_20200430.xlsm]Geneva investment position repo!R108C33</stp>
        <tr r="AG108" s="1"/>
        <tr r="AG108" s="1"/>
      </tp>
      <tp t="s">
        <v>EQUI</v>
        <stp/>
        <stp>##V3_BDPV12</stp>
        <stp>BBG000P9D267 FIGI</stp>
        <stp>MIFID_ASSET_CLASS</stp>
        <stp>[DIF_Risk_20200430.xlsm]Geneva investment position repo!R20C19</stp>
        <tr r="S20" s="1"/>
      </tp>
      <tp t="s">
        <v>#N/A Field Not Applicable</v>
        <stp/>
        <stp>##V3_BDPV12</stp>
        <stp>BBG00LD1QR26 FIGI</stp>
        <stp>SP_EFF_DT</stp>
        <stp>[DIF_Risk_20200430.xlsm]Geneva investment position repo!R12C71</stp>
        <tr r="BS12" s="1"/>
      </tp>
      <tp t="s">
        <v>BBB+</v>
        <stp/>
        <stp>##V3_BDPV12</stp>
        <stp>BBG00NV899R9 FIGI</stp>
        <stp>RTG_FITCH</stp>
        <stp>[DIF_Risk_20200430.xlsm]Geneva investment position repo!R168C33</stp>
        <tr r="AG168" s="1"/>
        <tr r="AG168" s="1"/>
      </tp>
      <tp t="s">
        <v>#N/A Field Not Applicable</v>
        <stp/>
        <stp>##V3_BDPV12</stp>
        <stp>BBG00RYDWX24 FIGI</stp>
        <stp>GICS_SECTOR_NAME</stp>
        <stp>[DIF_Risk_20200430.xlsm]Geneva investment position repo!R85C51</stp>
        <tr r="AY85" s="1"/>
      </tp>
      <tp t="s">
        <v>SPECIAL PURPOSE</v>
        <stp/>
        <stp>##V3_BDPV12</stp>
        <stp>BBG00KVGG4W4 FIGI</stp>
        <stp>ISSUER_INDUSTRY</stp>
        <stp>[DIF_Risk_20200430.xlsm]Geneva investment position repo!R83C52</stp>
        <tr r="AZ83" s="1"/>
      </tp>
      <tp t="s">
        <v>Financial</v>
        <stp/>
        <stp>##V3_BDPV12</stp>
        <stp>BBG00KVGG4W4 FIGI</stp>
        <stp>INDUSTRY_SECTOR</stp>
        <stp>[DIF_Risk_20200430.xlsm]Geneva investment position repo!R83C39</stp>
        <tr r="AM83" s="1"/>
      </tp>
      <tp t="s">
        <v>Financial</v>
        <stp/>
        <stp>##V3_BDPV12</stp>
        <stp>BBG00B6SDBV4 FIGI</stp>
        <stp>INDUSTRY_SECTOR</stp>
        <stp>[DIF_Risk_20200430.xlsm]Geneva investment position repo!R115C39</stp>
        <tr r="AM115" s="1"/>
      </tp>
      <tp t="s">
        <v>#N/A N/A</v>
        <stp/>
        <stp>##V3_BDPV12</stp>
        <stp>BBG00JC8V4T3 FIGI</stp>
        <stp>RTG_SP</stp>
        <stp>[DIF_Risk_20200430.xlsm]Geneva investment position repo!R176C31</stp>
        <tr r="AE176" s="1"/>
      </tp>
      <tp t="s">
        <v>#N/A N/A</v>
        <stp/>
        <stp>##V3_BDPV12</stp>
        <stp>BBG00NG9L0S8 FIGI</stp>
        <stp>RTG_SP</stp>
        <stp>[DIF_Risk_20200430.xlsm]Geneva investment position repo!R134C31</stp>
        <tr r="AE134" s="1"/>
      </tp>
      <tp t="s">
        <v>Financial</v>
        <stp/>
        <stp>##V3_BDPV12</stp>
        <stp>BBG00Q2B8JR6 FIGI</stp>
        <stp>INDUSTRY_SECTOR</stp>
        <stp>[DIF_Risk_20200430.xlsm]Geneva investment position repo!R170C39</stp>
        <tr r="AM170" s="1"/>
      </tp>
      <tp t="s">
        <v>SPECIAL PURPOSE</v>
        <stp/>
        <stp>##V3_BDPV12</stp>
        <stp>BBG00LSR9049 FIGI</stp>
        <stp>ISSUER_INDUSTRY</stp>
        <stp>[DIF_Risk_20200430.xlsm]Geneva investment position repo!R108C52</stp>
        <tr r="AZ108" s="1"/>
      </tp>
      <tp t="s">
        <v>Financial</v>
        <stp/>
        <stp>##V3_BDPV12</stp>
        <stp>BBG00HVHMY65 FIGI</stp>
        <stp>INDUSTRY_SECTOR</stp>
        <stp>[DIF_Risk_20200430.xlsm]Geneva investment position repo!R119C39</stp>
        <tr r="AM119" s="1"/>
      </tp>
      <tp t="s">
        <v>Financial</v>
        <stp/>
        <stp>##V3_BDPV12</stp>
        <stp>BBG00RT2L457 FIGI</stp>
        <stp>INDUSTRY_SECTOR</stp>
        <stp>[DIF_Risk_20200430.xlsm]Geneva investment position repo!R177C39</stp>
        <tr r="AM177" s="1"/>
      </tp>
      <tp t="s">
        <v>#N/A N/A</v>
        <stp/>
        <stp>##V3_BDPV12</stp>
        <stp>BBG00NTXM180 FIGI</stp>
        <stp>RTG_SP</stp>
        <stp>[DIF_Risk_20200430.xlsm]Geneva investment position repo!R136C31</stp>
        <tr r="AE136" s="1"/>
      </tp>
      <tp t="s">
        <v>#N/A Field Not Applicable</v>
        <stp/>
        <stp>##V3_BDPV12</stp>
        <stp>BBG00T8645P1 FIGI</stp>
        <stp>BOND_CLASSIFICATION_NAME</stp>
        <stp>[DIF_Risk_20200430.xlsm]Geneva investment position repo!R70C53</stp>
        <tr r="BA70" s="1"/>
      </tp>
      <tp t="s">
        <v>#N/A N/A</v>
        <stp/>
        <stp>##V3_BDPV12</stp>
        <stp>BBG00Q2B8JR6 FIGI</stp>
        <stp>RTG_FITCH</stp>
        <stp>[DIF_Risk_20200430.xlsm]Geneva investment position repo!R170C33</stp>
        <tr r="AG170" s="1"/>
      </tp>
      <tp t="s">
        <v>Multi-line Insurance</v>
        <stp/>
        <stp>##V3_BDPV12</stp>
        <stp>BBG000GD4N44 FIGI</stp>
        <stp>ISSUER_INDUSTRY</stp>
        <stp>[DIF_Risk_20200430.xlsm]Geneva investment position repo!R23C52</stp>
        <tr r="AZ23" s="1"/>
      </tp>
      <tp t="s">
        <v>#N/A Field Not Applicable</v>
        <stp/>
        <stp>##V3_BDPV12</stp>
        <stp>BBG00L07ZBX8 FIGI</stp>
        <stp>BOND_CLASSIFICATION_NAME</stp>
        <stp>[DIF_Risk_20200430.xlsm]Geneva investment position repo!R66C53</stp>
        <tr r="BA66" s="1"/>
      </tp>
      <tp t="s">
        <v>Financial</v>
        <stp/>
        <stp>##V3_BDPV12</stp>
        <stp>BBG000GD4N44 FIGI</stp>
        <stp>INDUSTRY_SECTOR</stp>
        <stp>[DIF_Risk_20200430.xlsm]Geneva investment position repo!R23C39</stp>
        <tr r="AM23" s="1"/>
      </tp>
      <tp t="s">
        <v>BOND</v>
        <stp/>
        <stp>##V3_BDPV12</stp>
        <stp>BBG00QDN9PZ4 FIGI</stp>
        <stp>MIFID_ASSET_CLASS</stp>
        <stp>[DIF_Risk_20200430.xlsm]Geneva investment position repo!R138C19</stp>
        <tr r="S138" s="1"/>
      </tp>
      <tp t="s">
        <v>SPECIAL PURPOSE</v>
        <stp/>
        <stp>##V3_BDPV12</stp>
        <stp>BBG00N6M20C8 FIGI</stp>
        <stp>ISSUER_INDUSTRY</stp>
        <stp>[DIF_Risk_20200430.xlsm]Geneva investment position repo!R79C52</stp>
        <tr r="AZ79" s="1"/>
      </tp>
      <tp t="s">
        <v>#N/A Field Not Applicable</v>
        <stp/>
        <stp>##V3_BDPV12</stp>
        <stp>BBG00FP0FP88 FIGI</stp>
        <stp>BOND_CLASSIFICATION_NAME</stp>
        <stp>[DIF_Risk_20200430.xlsm]Geneva investment position repo!R96C53</stp>
        <tr r="BA96" s="1"/>
      </tp>
      <tp t="s">
        <v>Financial</v>
        <stp/>
        <stp>##V3_BDPV12</stp>
        <stp>BBG00N6M20C8 FIGI</stp>
        <stp>INDUSTRY_SECTOR</stp>
        <stp>[DIF_Risk_20200430.xlsm]Geneva investment position repo!R79C39</stp>
        <tr r="AM79" s="1"/>
      </tp>
      <tp t="s">
        <v>BOND</v>
        <stp/>
        <stp>##V3_BDPV12</stp>
        <stp>BBG00MTS9QX5 FIGI</stp>
        <stp>MIFID_ASSET_CLASS</stp>
        <stp>[DIF_Risk_20200430.xlsm]Geneva investment position repo!R157C19</stp>
        <tr r="S157" s="1"/>
      </tp>
      <tp t="s">
        <v>BOND</v>
        <stp/>
        <stp>##V3_BDPV12</stp>
        <stp>BBG00N0J9QB8 FIGI</stp>
        <stp>MIFID_ASSET_CLASS</stp>
        <stp>[DIF_Risk_20200430.xlsm]Geneva investment position repo!R132C19</stp>
        <tr r="S132" s="1"/>
      </tp>
      <tp t="s">
        <v>#N/A Field Not Applicable</v>
        <stp/>
        <stp>##V3_BDPV12</stp>
        <stp>BBG00RH7GJ34 FIGI</stp>
        <stp>CAPITAL_TYP_COCO_INITIAL_TRIGGER</stp>
        <stp>[DIF_Risk_20200430.xlsm]Geneva investment position repo!R67C43</stp>
        <tr r="AQ67" s="1"/>
      </tp>
      <tp t="s">
        <v>ICBCAS 1.77 05/20/20</v>
        <stp/>
        <stp>##V3_BDPV12</stp>
        <stp>BBG00RPXTZN6 FIGI</stp>
        <stp>SECURITY_NAME</stp>
        <stp>[DIF_Risk_20200430.xlsm]SFC Report!R123C8</stp>
        <tr r="H123" s="6"/>
      </tp>
      <tp t="s">
        <v>MEDCIJ 8 1/2 08/17/22</v>
        <stp/>
        <stp>##V3_BDPV12</stp>
        <stp>BBG00HDTX5P9 FIGI</stp>
        <stp>SECURITY_NAME</stp>
        <stp>[DIF_Risk_20200430.xlsm]SFC Report!R179C8</stp>
        <tr r="H179" s="6"/>
      </tp>
      <tp t="s">
        <v>Financial</v>
        <stp/>
        <stp>##V3_BDPV12</stp>
        <stp>BBG00K7D75S0 FIGI</stp>
        <stp>INDUSTRY_SECTOR</stp>
        <stp>[DIF_Risk_20200430.xlsm]Geneva investment position repo!R75C39</stp>
        <tr r="AM75" s="1"/>
      </tp>
      <tp t="s">
        <v>FINANCIAL</v>
        <stp/>
        <stp>##V3_BDPV12</stp>
        <stp>BBG00K7D75S0 FIGI</stp>
        <stp>ISSUER_INDUSTRY</stp>
        <stp>[DIF_Risk_20200430.xlsm]Geneva investment position repo!R75C52</stp>
        <tr r="AZ75" s="1"/>
      </tp>
      <tp t="s">
        <v>KYG970081090</v>
        <stp/>
        <stp>##V3_BDPV12</stp>
        <stp>BBG00GTY47H0 FIGI</stp>
        <stp>ID_ISIN</stp>
        <stp>[DIF_Risk_20200430.xlsm]Geneva investment position repo!R26C63</stp>
        <tr r="BK26" s="1"/>
      </tp>
      <tp t="s">
        <v>Communications</v>
        <stp/>
        <stp>##V3_BDPV12</stp>
        <stp>BBG000BZWNT2 FIGI</stp>
        <stp>INDUSTRY_SECTOR</stp>
        <stp>[DIF_Risk_20200430.xlsm]Geneva investment position repo!R11C39</stp>
        <tr r="AM11" s="1"/>
      </tp>
      <tp t="s">
        <v>Cellular Telecom</v>
        <stp/>
        <stp>##V3_BDPV12</stp>
        <stp>BBG000BZWNT2 FIGI</stp>
        <stp>ISSUER_INDUSTRY</stp>
        <stp>[DIF_Risk_20200430.xlsm]Geneva investment position repo!R11C52</stp>
        <tr r="AZ11" s="1"/>
      </tp>
      <tp t="s">
        <v>BOND</v>
        <stp/>
        <stp>##V3_BDPV12</stp>
        <stp>BBG00QT8QWY7 FIGI</stp>
        <stp>MIFID_ASSET_CLASS</stp>
        <stp>[DIF_Risk_20200430.xlsm]Geneva investment position repo!R46C19</stp>
        <tr r="S46" s="1"/>
      </tp>
      <tp t="s">
        <v>BOND</v>
        <stp/>
        <stp>##V3_BDPV12</stp>
        <stp>BBG00LSR9049 FIGI</stp>
        <stp>MIFID_ASSET_CLASS</stp>
        <stp>[DIF_Risk_20200430.xlsm]Geneva investment position repo!R108C19</stp>
        <tr r="S108" s="1"/>
      </tp>
      <tp t="s">
        <v>Utilities</v>
        <stp/>
        <stp>##V3_BDPV12</stp>
        <stp>BBG000BDWNL9 FIGI</stp>
        <stp>INDUSTRY_SECTOR</stp>
        <stp>[DIF_Risk_20200430.xlsm]Geneva investment position repo!R24C39</stp>
        <tr r="AM24" s="1"/>
      </tp>
      <tp t="s">
        <v>Electric-Integrated</v>
        <stp/>
        <stp>##V3_BDPV12</stp>
        <stp>BBG000BDWNL9 FIGI</stp>
        <stp>ISSUER_INDUSTRY</stp>
        <stp>[DIF_Risk_20200430.xlsm]Geneva investment position repo!R24C52</stp>
        <tr r="AZ24" s="1"/>
      </tp>
      <tp t="s">
        <v>BOND</v>
        <stp/>
        <stp>##V3_BDPV12</stp>
        <stp>BBG00NV899R9 FIGI</stp>
        <stp>MIFID_ASSET_CLASS</stp>
        <stp>[DIF_Risk_20200430.xlsm]Geneva investment position repo!R168C19</stp>
        <tr r="S168" s="1"/>
      </tp>
      <tp t="s">
        <v>BOND</v>
        <stp/>
        <stp>##V3_BDPV12</stp>
        <stp>BBG00L07ZBX8 FIGI</stp>
        <stp>MIFID_ASSET_CLASS</stp>
        <stp>[DIF_Risk_20200430.xlsm]Geneva investment position repo!R66C19</stp>
        <tr r="S66" s="1"/>
      </tp>
      <tp t="s">
        <v>#N/A Field Not Applicable</v>
        <stp/>
        <stp>##V3_BDPV12</stp>
        <stp>BBG00M0MD1Z7 FIGI</stp>
        <stp>GICS_SECTOR_NAME</stp>
        <stp>[DIF_Risk_20200430.xlsm]Geneva investment position repo!R55C51</stp>
        <tr r="AY55" s="1"/>
      </tp>
      <tp t="s">
        <v>#N/A Field Not Applicable</v>
        <stp/>
        <stp>##V3_BDPV12</stp>
        <stp>BBG00TJ8VS75 FIGI</stp>
        <stp>CAPITAL_TYP_COCO_INITIAL_TRIGGER</stp>
        <stp>[DIF_Risk_20200430.xlsm]Geneva investment position repo!R167C43</stp>
        <tr r="AQ167" s="1"/>
      </tp>
      <tp t="s">
        <v>Financial</v>
        <stp/>
        <stp>##V3_BDPV12</stp>
        <stp>BBG00R9LVRX4 FIGI</stp>
        <stp>INDUSTRY_SECTOR</stp>
        <stp>[DIF_Risk_20200430.xlsm]Geneva investment position repo!R172C39</stp>
        <tr r="AM172" s="1"/>
      </tp>
      <tp t="s">
        <v>#N/A N/A</v>
        <stp/>
        <stp>##V3_BDPV12</stp>
        <stp>BBG00NG9J699 FIGI</stp>
        <stp>RTG_SP</stp>
        <stp>[DIF_Risk_20200430.xlsm]Geneva investment position repo!R139C31</stp>
        <tr r="AE139" s="1"/>
      </tp>
      <tp t="s">
        <v>#N/A Field Not Applicable</v>
        <stp/>
        <stp>##V3_BDPV12</stp>
        <stp>BBG00RB30509 FIGI</stp>
        <stp>CAPITAL_TYP_COCO_INITIAL_TRIGGER</stp>
        <stp>[DIF_Risk_20200430.xlsm]Geneva investment position repo!R159C43</stp>
        <tr r="AQ159" s="1"/>
      </tp>
      <tp t="s">
        <v>FINANCIAL</v>
        <stp/>
        <stp>##V3_BDPV12</stp>
        <stp>BBG00RT2L457 FIGI</stp>
        <stp>ISSUER_INDUSTRY</stp>
        <stp>[DIF_Risk_20200430.xlsm]Geneva investment position repo!R177C52</stp>
        <tr r="AZ177" s="1"/>
      </tp>
      <tp t="s">
        <v>Diversified Finan Serv</v>
        <stp/>
        <stp>##V3_BDPV12</stp>
        <stp>BBG00TFTG847 FIGI</stp>
        <stp>INDUSTRY_GROUP</stp>
        <stp>[DIF_Risk_20200430.xlsm]Geneva investment position repo!R117C40</stp>
        <tr r="AN117" s="1"/>
      </tp>
      <tp t="s">
        <v>Common Stock</v>
        <stp/>
        <stp>##V3_BDPV12</stp>
        <stp>BBG000PXTGY5 FIGI</stp>
        <stp>SECURITY_TYP2</stp>
        <stp>[DIF_Risk_20200430.xlsm]Geneva investment position repo!R9C21</stp>
        <tr r="U9" s="1"/>
      </tp>
      <tp t="s">
        <v>Sovereign</v>
        <stp/>
        <stp>##V3_BDPV12</stp>
        <stp>BBG00T21B8F5 FIGI</stp>
        <stp>INDUSTRY_GROUP</stp>
        <stp>[DIF_Risk_20200430.xlsm]Geneva investment position repo!R133C40</stp>
        <tr r="AN133" s="1"/>
      </tp>
      <tp t="s">
        <v>CERCG 5.55 04/14/21</v>
        <stp/>
        <stp>##V3_BDPV12</stp>
        <stp>BBG00CNK44T9 FIGI</stp>
        <stp>SECURITY_NAME</stp>
        <stp>[DIF_Risk_20200430.xlsm]SFC Report!R190C1</stp>
        <tr r="A190" s="6"/>
      </tp>
      <tp t="s">
        <v>#N/A Field Not Applicable</v>
        <stp/>
        <stp>##V3_BDPV12</stp>
        <stp>BBG00QV37ZP9 FIGI</stp>
        <stp>CAPITAL_TYP_COCO_INITIAL_TRIGGER</stp>
        <stp>[DIF_Risk_20200430.xlsm]Geneva investment position repo!R7C43</stp>
        <tr r="AQ7" s="1"/>
      </tp>
      <tp t="s">
        <v>BOND</v>
        <stp/>
        <stp>##V3_BDPV12</stp>
        <stp>BBG00FP0FP88 FIGI</stp>
        <stp>MIFID_ASSET_CLASS</stp>
        <stp>[DIF_Risk_20200430.xlsm]Geneva investment position repo!R96C19</stp>
        <tr r="S96" s="1"/>
      </tp>
      <tp t="s">
        <v>BOND</v>
        <stp/>
        <stp>##V3_BDPV12</stp>
        <stp>BBG00PV1L0V9 FIGI</stp>
        <stp>MIFID_ASSET_CLASS</stp>
        <stp>[DIF_Risk_20200430.xlsm]Geneva investment position repo!R86C19</stp>
        <tr r="S86" s="1"/>
      </tp>
      <tp t="s">
        <v>XS1376566714</v>
        <stp/>
        <stp>##V3_BDPV12</stp>
        <stp>BBG00CNK44T9 FIGI</stp>
        <stp>ID_ISIN</stp>
        <stp>[DIF_Risk_20200430.xlsm]Geneva investment position repo!R45C63</stp>
        <tr r="BK45" s="1"/>
      </tp>
      <tp t="s">
        <v>BOND</v>
        <stp/>
        <stp>##V3_BDPV12</stp>
        <stp>BBG00SY1QXH9 FIGI</stp>
        <stp>MIFID_ASSET_CLASS</stp>
        <stp>[DIF_Risk_20200430.xlsm]Geneva investment position repo!R31C19</stp>
        <tr r="S31" s="1"/>
      </tp>
      <tp t="s">
        <v>4/6/2020</v>
        <stp/>
        <stp>##V3_BDPV12</stp>
        <stp>BBG00QJ3FR72 FIGI</stp>
        <stp>SP_EFF_DT</stp>
        <stp>[DIF_Risk_20200430.xlsm]Geneva investment position repo!R37C71</stp>
        <tr r="BS37" s="1"/>
      </tp>
      <tp t="s">
        <v>#N/A Field Not Applicable</v>
        <stp/>
        <stp>##V3_BDPV12</stp>
        <stp>BBG000P9FRH8 FIGI</stp>
        <stp>SP_EFF_DT</stp>
        <stp>[DIF_Risk_20200430.xlsm]Geneva investment position repo!R19C71</stp>
        <tr r="BS19" s="1"/>
      </tp>
      <tp t="s">
        <v>#N/A Field Not Applicable</v>
        <stp/>
        <stp>##V3_BDPV12</stp>
        <stp>BBG00H5KNJZ7 FIGI</stp>
        <stp>BOND_CLASSIFICATION_NAME</stp>
        <stp>[DIF_Risk_20200430.xlsm]Geneva investment position repo!R80C53</stp>
        <tr r="BA80" s="1"/>
      </tp>
      <tp t="s">
        <v>Real Estate</v>
        <stp/>
        <stp>##V3_BDPV12</stp>
        <stp>BBG00MTKPX96 FIGI</stp>
        <stp>GICS_SECTOR_NAME</stp>
        <stp>[DIF_Risk_20200430.xlsm]Geneva investment position repo!R57C51</stp>
        <tr r="AY57" s="1"/>
      </tp>
      <tp t="s">
        <v>FINANCIAL</v>
        <stp/>
        <stp>##V3_BDPV12</stp>
        <stp>BBG00R9LVRX4 FIGI</stp>
        <stp>ISSUER_INDUSTRY</stp>
        <stp>[DIF_Risk_20200430.xlsm]Geneva investment position repo!R172C52</stp>
        <tr r="AZ172" s="1"/>
      </tp>
      <tp t="s">
        <v>Financial</v>
        <stp/>
        <stp>##V3_BDPV12</stp>
        <stp>BBG00N14WRV0 FIGI</stp>
        <stp>INDUSTRY_SECTOR</stp>
        <stp>[DIF_Risk_20200430.xlsm]Geneva investment position repo!R142C39</stp>
        <tr r="AM142" s="1"/>
      </tp>
      <tp t="s">
        <v>#N/A Field Not Applicable</v>
        <stp/>
        <stp>##V3_BDPV12</stp>
        <stp>BBG00T8646V2 FIGI</stp>
        <stp>BOND_CLASSIFICATION_NAME</stp>
        <stp>[DIF_Risk_20200430.xlsm]Geneva investment position repo!R71C53</stp>
        <tr r="BA71" s="1"/>
      </tp>
      <tp t="s">
        <v>4/9/2019</v>
        <stp/>
        <stp>##V3_BDPV12</stp>
        <stp>BBG00NV886P8 FIGI</stp>
        <stp>SP_EFF_DT</stp>
        <stp>[DIF_Risk_20200430.xlsm]Geneva investment position repo!R72C71</stp>
        <tr r="BS72" s="1"/>
      </tp>
      <tp t="s">
        <v>#N/A Field Not Applicable</v>
        <stp/>
        <stp>##V3_BDPV12</stp>
        <stp>BBG00QJ3FR72 FIGI</stp>
        <stp>CAPITAL_TYP_COCO_INITIAL_TRIGGER</stp>
        <stp>[DIF_Risk_20200430.xlsm]Geneva investment position repo!R37C43</stp>
        <tr r="AQ37" s="1"/>
      </tp>
      <tp t="s">
        <v>Wuxi Biologics Cayman Inc</v>
        <stp/>
        <stp>##V3_BDPV12</stp>
        <stp>BBG00GTY47H0 FIGI</stp>
        <stp>SECURITY_NAME</stp>
        <stp>[DIF_Risk_20200430.xlsm]SFC Report!R177C1</stp>
        <tr r="A177" s="6"/>
      </tp>
      <tp t="s">
        <v>#N/A N/A</v>
        <stp/>
        <stp>##V3_BDPV12</stp>
        <stp>BBG00PQ3PWZ3 FIGI</stp>
        <stp>SP_EFF_DT</stp>
        <stp>[DIF_Risk_20200430.xlsm]Geneva investment position repo!R84C71</stp>
        <tr r="BS84" s="1"/>
      </tp>
      <tp t="s">
        <v>#N/A Field Not Applicable</v>
        <stp/>
        <stp>##V3_BDPV12</stp>
        <stp>BBG005Q0XWK0 FIGI</stp>
        <stp>SP_EFF_DT</stp>
        <stp>[DIF_Risk_20200430.xlsm]Geneva investment position repo!R15C71</stp>
        <tr r="BS15" s="1"/>
      </tp>
      <tp t="s">
        <v>HK Electric Investments &amp; HK E</v>
        <stp/>
        <stp>##V3_BDPV12</stp>
        <stp>BBG005Q0XWK0 FIGI</stp>
        <stp>SECURITY_NAME</stp>
        <stp>[DIF_Risk_20200430.xlsm]SFC Report!R121C8</stp>
        <tr r="H121" s="6"/>
      </tp>
      <tp t="s">
        <v>Financial</v>
        <stp/>
        <stp>##V3_BDPV12</stp>
        <stp>BBG00NV886P8 FIGI</stp>
        <stp>INDUSTRY_SECTOR</stp>
        <stp>[DIF_Risk_20200430.xlsm]Geneva investment position repo!R72C39</stp>
        <tr r="AM72" s="1"/>
      </tp>
      <tp t="s">
        <v>#N/A Field Not Applicable</v>
        <stp/>
        <stp>##V3_BDPV12</stp>
        <stp>BBG00SYNG075 FIGI</stp>
        <stp>BOND_CLASSIFICATION_NAME</stp>
        <stp>[DIF_Risk_20200430.xlsm]Geneva investment position repo!R40C53</stp>
        <tr r="BA40" s="1"/>
      </tp>
      <tp t="s">
        <v>FINANCIAL</v>
        <stp/>
        <stp>##V3_BDPV12</stp>
        <stp>BBG00NV886P8 FIGI</stp>
        <stp>ISSUER_INDUSTRY</stp>
        <stp>[DIF_Risk_20200430.xlsm]Geneva investment position repo!R72C52</stp>
        <tr r="AZ72" s="1"/>
      </tp>
      <tp t="s">
        <v>FINANCIAL</v>
        <stp/>
        <stp>##V3_BDPV12</stp>
        <stp>BBG00Q2B8JR6 FIGI</stp>
        <stp>ISSUER_INDUSTRY</stp>
        <stp>[DIF_Risk_20200430.xlsm]Geneva investment position repo!R170C52</stp>
        <tr r="AZ170" s="1"/>
      </tp>
      <tp t="s">
        <v>#N/A Field Not Applicable</v>
        <stp/>
        <stp>##V3_BDPV12</stp>
        <stp>BBG00JC8V4T3 FIGI</stp>
        <stp>CAPITAL_TYP_COCO_INITIAL_TRIGGER</stp>
        <stp>[DIF_Risk_20200430.xlsm]Geneva investment position repo!R176C43</stp>
        <tr r="AQ176" s="1"/>
      </tp>
      <tp t="s">
        <v>XS1976473618</v>
        <stp/>
        <stp>##V3_BDPV12</stp>
        <stp>BBG00NTXM180 FIGI</stp>
        <stp>ID_ISIN</stp>
        <stp>[DIF_Risk_20200430.xlsm]Geneva investment position repo!R136C63</stp>
        <tr r="BK136" s="1"/>
      </tp>
      <tp t="s">
        <v>INDUSTRIAL</v>
        <stp/>
        <stp>##V3_BDPV12</stp>
        <stp>BBG00HVHMY65 FIGI</stp>
        <stp>ISSUER_INDUSTRY</stp>
        <stp>[DIF_Risk_20200430.xlsm]Geneva investment position repo!R119C52</stp>
        <tr r="AZ119" s="1"/>
      </tp>
      <tp t="s">
        <v>Financial</v>
        <stp/>
        <stp>##V3_BDPV12</stp>
        <stp>BBG00LSR9049 FIGI</stp>
        <stp>INDUSTRY_SECTOR</stp>
        <stp>[DIF_Risk_20200430.xlsm]Geneva investment position repo!R108C39</stp>
        <tr r="AM108" s="1"/>
      </tp>
      <tp t="s">
        <v>#N/A Field Not Applicable</v>
        <stp/>
        <stp>##V3_BDPV12</stp>
        <stp>BBG00HC2ZDQ9 FIGI</stp>
        <stp>CAPITAL_TYP_COCO_INITIAL_TRIGGER</stp>
        <stp>[DIF_Risk_20200430.xlsm]Geneva investment position repo!R151C43</stp>
        <tr r="AQ151" s="1"/>
      </tp>
      <tp t="s">
        <v>FINANCIAL</v>
        <stp/>
        <stp>##V3_BDPV12</stp>
        <stp>BBG00B6SDBV4 FIGI</stp>
        <stp>ISSUER_INDUSTRY</stp>
        <stp>[DIF_Risk_20200430.xlsm]Geneva investment position repo!R115C52</stp>
        <tr r="AZ115" s="1"/>
      </tp>
      <tp t="s">
        <v>A-</v>
        <stp/>
        <stp>##V3_BDPV12</stp>
        <stp>BBG00NGF27D6 FIGI</stp>
        <stp>RTG_SP</stp>
        <stp>[DIF_Risk_20200430.xlsm]Geneva investment position repo!R114C31</stp>
        <tr r="AE114" s="1"/>
        <tr r="AE114" s="1"/>
      </tp>
      <tp t="s">
        <v>#N/A N/A</v>
        <stp/>
        <stp>##V3_BDPV12</stp>
        <stp>BBG00MNS44N6 FIGI</stp>
        <stp>RTG_SP</stp>
        <stp>[DIF_Risk_20200430.xlsm]Geneva investment position repo!R129C31</stp>
        <tr r="AE129" s="1"/>
      </tp>
      <tp t="s">
        <v>Financial</v>
        <stp/>
        <stp>##V3_BDPV12</stp>
        <stp>BBG00QQ1W050 FIGI</stp>
        <stp>INDUSTRY_SECTOR</stp>
        <stp>[DIF_Risk_20200430.xlsm]Geneva investment position repo!R149C39</stp>
        <tr r="AM149" s="1"/>
      </tp>
      <tp t="s">
        <v>B+</v>
        <stp/>
        <stp>##V3_BDPV12</stp>
        <stp>BBG00K67R1J1 FIGI</stp>
        <stp>RTG_SP</stp>
        <stp>[DIF_Risk_20200430.xlsm]Geneva investment position repo!R171C31</stp>
        <tr r="AE171" s="1"/>
        <tr r="AE171" s="1"/>
      </tp>
      <tp t="s">
        <v>CERCG 5.55 04/14/21</v>
        <stp/>
        <stp>##V3_BDPV12</stp>
        <stp>BBG00CNK44T9 FIGI</stp>
        <stp>SECURITY_NAME</stp>
        <stp>[DIF_Risk_20200430.xlsm]SFC Report!R132C1</stp>
        <tr r="A132" s="6"/>
      </tp>
      <tp t="s">
        <v>Industrial</v>
        <stp/>
        <stp>##V3_BDPV12</stp>
        <stp>BBG00MKJ4690 FIGI</stp>
        <stp>INDUSTRY_SECTOR</stp>
        <stp>[DIF_Risk_20200430.xlsm]Geneva investment position repo!R54C39</stp>
        <tr r="AM54" s="1"/>
      </tp>
      <tp t="s">
        <v>SPECIAL PURPOSE</v>
        <stp/>
        <stp>##V3_BDPV12</stp>
        <stp>BBG00MKJ4690 FIGI</stp>
        <stp>ISSUER_INDUSTRY</stp>
        <stp>[DIF_Risk_20200430.xlsm]Geneva investment position repo!R54C52</stp>
        <tr r="AZ54" s="1"/>
      </tp>
      <tp t="e">
        <v>#N/A</v>
        <stp/>
        <stp>##V3_BDHV12</stp>
        <stp>USDHKD Curncy</stp>
        <stp>PX_Last</stp>
        <stp>4/30/2020</stp>
        <stp>4/30/2020</stp>
        <stp>[DIF_Risk_20200430.xlsm]FX Rates!R5C3</stp>
        <tr r="C5" s="4"/>
      </tp>
      <tp t="s">
        <v>SUNAC 8 5/8 07/27/20</v>
        <stp/>
        <stp>##V3_BDPV12</stp>
        <stp>BBG00LJTVJR4 FIGI</stp>
        <stp>SECURITY_NAME</stp>
        <stp>[DIF_Risk_20200430.xlsm]SFC Report!R140C8</stp>
        <tr r="H140" s="6"/>
      </tp>
      <tp t="s">
        <v>BB-</v>
        <stp/>
        <stp>##V3_BDPV12</stp>
        <stp>BBG00FP0FP88 FIGI</stp>
        <stp>RTG_FITCH</stp>
        <stp>[DIF_Risk_20200430.xlsm]Geneva investment position repo!R96C33</stp>
        <tr r="AG96" s="1"/>
        <tr r="AG96" s="1"/>
      </tp>
      <tp t="s">
        <v>B</v>
        <stp/>
        <stp>##V3_BDPV12</stp>
        <stp>BBG00PV1L0V9 FIGI</stp>
        <stp>RTG_FITCH</stp>
        <stp>[DIF_Risk_20200430.xlsm]Geneva investment position repo!R86C33</stp>
        <tr r="AG86" s="1"/>
        <tr r="AG86" s="1"/>
      </tp>
      <tp t="s">
        <v>A+</v>
        <stp/>
        <stp>##V3_BDPV12</stp>
        <stp>BBG00SY1QXH9 FIGI</stp>
        <stp>RTG_FITCH</stp>
        <stp>[DIF_Risk_20200430.xlsm]Geneva investment position repo!R31C33</stp>
        <tr r="AG31" s="1"/>
        <tr r="AG31" s="1"/>
      </tp>
      <tp t="s">
        <v>#N/A N/A</v>
        <stp/>
        <stp>##V3_BDPV12</stp>
        <stp>BBG00QN3F2R0 FIGI</stp>
        <stp>SP_EFF_DT</stp>
        <stp>[DIF_Risk_20200430.xlsm]Geneva investment position repo!R28C71</stp>
        <tr r="BS28" s="1"/>
      </tp>
      <tp t="s">
        <v>#N/A N/A</v>
        <stp/>
        <stp>##V3_BDPV12</stp>
        <stp>BBG00RH7GJ34 FIGI</stp>
        <stp>SP_EFF_DT</stp>
        <stp>[DIF_Risk_20200430.xlsm]Geneva investment position repo!R67C71</stp>
        <tr r="BS67" s="1"/>
      </tp>
      <tp t="s">
        <v>XS1618597535</v>
        <stp/>
        <stp>##V3_BDPV12</stp>
        <stp>BBG00GQ752P3 FIGI</stp>
        <stp>ID_ISIN</stp>
        <stp>[DIF_Risk_20200430.xlsm]Geneva investment position repo!R99C63</stp>
        <tr r="BK99" s="1"/>
      </tp>
      <tp t="s">
        <v>#N/A Field Not Applicable</v>
        <stp/>
        <stp>##V3_BDPV12</stp>
        <stp>BBG00MTKPX96 FIGI</stp>
        <stp>BOND_CLASSIFICATION_NAME</stp>
        <stp>[DIF_Risk_20200430.xlsm]Geneva investment position repo!R57C53</stp>
        <tr r="BA57" s="1"/>
      </tp>
      <tp t="s">
        <v>#N/A Field Not Applicable</v>
        <stp/>
        <stp>##V3_BDPV12</stp>
        <stp>BBG00H5KNJZ7 FIGI</stp>
        <stp>GICS_SECTOR_NAME</stp>
        <stp>[DIF_Risk_20200430.xlsm]Geneva investment position repo!R80C51</stp>
        <tr r="AY80" s="1"/>
      </tp>
      <tp t="s">
        <v>REITS-Shopping Centers</v>
        <stp/>
        <stp>##V3_BDPV12</stp>
        <stp>BBG000P9D267 FIGI</stp>
        <stp>INDUSTRY_SUBGROUP</stp>
        <stp>[DIF_Risk_20200430.xlsm]Geneva investment position repo!R20C41</stp>
        <tr r="AO20" s="1"/>
      </tp>
      <tp t="s">
        <v>Financial</v>
        <stp/>
        <stp>##V3_BDPV12</stp>
        <stp>BBG00LSRS878 FIGI</stp>
        <stp>INDUSTRY_SECTOR</stp>
        <stp>[DIF_Risk_20200430.xlsm]Geneva investment position repo!R104C39</stp>
        <tr r="AM104" s="1"/>
      </tp>
      <tp t="s">
        <v>INDUSTRIAL</v>
        <stp/>
        <stp>##V3_BDPV12</stp>
        <stp>BBG00NV0G541 FIGI</stp>
        <stp>ISSUER_INDUSTRY</stp>
        <stp>[DIF_Risk_20200430.xlsm]Geneva investment position repo!R165C52</stp>
        <tr r="AZ165" s="1"/>
      </tp>
      <tp t="s">
        <v>B+</v>
        <stp/>
        <stp>##V3_BDPV12</stp>
        <stp>BBG00NV0G541 FIGI</stp>
        <stp>RTG_SP</stp>
        <stp>[DIF_Risk_20200430.xlsm]Geneva investment position repo!R165C31</stp>
        <tr r="AE165" s="1"/>
        <tr r="AE165" s="1"/>
      </tp>
      <tp t="s">
        <v>Consumer Discretionary</v>
        <stp/>
        <stp>##V3_BDPV12</stp>
        <stp>BBG00T8646V2 FIGI</stp>
        <stp>GICS_SECTOR_NAME</stp>
        <stp>[DIF_Risk_20200430.xlsm]Geneva investment position repo!R71C51</stp>
        <tr r="AY71" s="1"/>
      </tp>
      <tp t="s">
        <v>MEDCIJ 6 3/4 01/30/25</v>
        <stp/>
        <stp>##V3_BDPV12</stp>
        <stp>BBG00JVKTCJ1 FIGI</stp>
        <stp>SECURITY_NAME</stp>
        <stp>[DIF_Risk_20200430.xlsm]SFC Report!R135C1</stp>
        <tr r="A135" s="6"/>
      </tp>
      <tp t="s">
        <v>Real Estate Oper/Develop</v>
        <stp/>
        <stp>##V3_BDPV12</stp>
        <stp>BBG00L07ZBX8 FIGI</stp>
        <stp>INDUSTRY_SUBGROUP</stp>
        <stp>[DIF_Risk_20200430.xlsm]Geneva investment position repo!R66C41</stp>
        <tr r="AO66" s="1"/>
      </tp>
      <tp t="s">
        <v>#N/A Field Not Applicable</v>
        <stp/>
        <stp>##V3_BDPV12</stp>
        <stp>BBG00KKDSP44 FIGI</stp>
        <stp>CAPITAL_TYP_COCO_INITIAL_TRIGGER</stp>
        <stp>[DIF_Risk_20200430.xlsm]Geneva investment position repo!R56C43</stp>
        <tr r="AQ56" s="1"/>
      </tp>
      <tp t="s">
        <v>Baa2</v>
        <stp/>
        <stp>##V3_BDPV12</stp>
        <stp>BBG00L07ZBX8 FIGI</stp>
        <stp>RTG_MOODY</stp>
        <stp>[DIF_Risk_20200430.xlsm]Geneva investment position repo!R66C32</stp>
        <tr r="AF66" s="1"/>
        <tr r="AF66" s="1"/>
      </tp>
      <tp t="s">
        <v>#N/A N/A</v>
        <stp/>
        <stp>##V3_BDPV12</stp>
        <stp>BBG00QT8QWY7 FIGI</stp>
        <stp>RTG_MOODY</stp>
        <stp>[DIF_Risk_20200430.xlsm]Geneva investment position repo!R46C32</stp>
        <tr r="AF46" s="1"/>
      </tp>
      <tp t="s">
        <v>Engineering/R&amp;D Services</v>
        <stp/>
        <stp>##V3_BDPV12</stp>
        <stp>BBG00QT8QWY7 FIGI</stp>
        <stp>INDUSTRY_SUBGROUP</stp>
        <stp>[DIF_Risk_20200430.xlsm]Geneva investment position repo!R46C41</stp>
        <tr r="AO46" s="1"/>
      </tp>
      <tp t="s">
        <v>Financial</v>
        <stp/>
        <stp>##V3_BDPV12</stp>
        <stp>BBG00MSJ57C5 FIGI</stp>
        <stp>INDUSTRY_SECTOR</stp>
        <stp>[DIF_Risk_20200430.xlsm]Geneva investment position repo!R74C39</stp>
        <tr r="AM74" s="1"/>
      </tp>
      <tp t="s">
        <v>FINANCIAL</v>
        <stp/>
        <stp>##V3_BDPV12</stp>
        <stp>BBG00MSJ57C5 FIGI</stp>
        <stp>ISSUER_INDUSTRY</stp>
        <stp>[DIF_Risk_20200430.xlsm]Geneva investment position repo!R74C52</stp>
        <tr r="AZ74" s="1"/>
      </tp>
      <tp t="s">
        <v>#N/A Field Not Applicable</v>
        <stp/>
        <stp>##V3_BDPV12</stp>
        <stp>BBG00R9SN7F2 FIGI</stp>
        <stp>CAPITAL_TYP_COCO_INITIAL_TRIGGER</stp>
        <stp>[DIF_Risk_20200430.xlsm]Geneva investment position repo!R63C43</stp>
        <tr r="AQ63" s="1"/>
      </tp>
      <tp t="s">
        <v>Transport-Rail</v>
        <stp/>
        <stp>##V3_BDPV12</stp>
        <stp>BBG000MKLJD1 FIGI</stp>
        <stp>ISSUER_INDUSTRY</stp>
        <stp>[DIF_Risk_20200430.xlsm]Geneva investment position repo!R22C52</stp>
        <tr r="AZ22" s="1"/>
      </tp>
      <tp t="s">
        <v>Industrial</v>
        <stp/>
        <stp>##V3_BDPV12</stp>
        <stp>BBG000MKLJD1 FIGI</stp>
        <stp>INDUSTRY_SECTOR</stp>
        <stp>[DIF_Risk_20200430.xlsm]Geneva investment position repo!R22C39</stp>
        <tr r="AM22" s="1"/>
      </tp>
      <tp t="s">
        <v>Financials</v>
        <stp/>
        <stp>##V3_BDPV12</stp>
        <stp>BBG00SYNG075 FIGI</stp>
        <stp>GICS_SECTOR_NAME</stp>
        <stp>[DIF_Risk_20200430.xlsm]Geneva investment position repo!R40C51</stp>
        <tr r="AY40" s="1"/>
      </tp>
      <tp t="s">
        <v>XS1951935847</v>
        <stp/>
        <stp>##V3_BDPV12</stp>
        <stp>BBG00N9X3LW2 FIGI</stp>
        <stp>ID_ISIN</stp>
        <stp>[DIF_Risk_20200430.xlsm]Geneva investment position repo!R180C63</stp>
        <tr r="BK180" s="1"/>
      </tp>
      <tp t="s">
        <v>FINANCIAL</v>
        <stp/>
        <stp>##V3_BDPV12</stp>
        <stp>BBG00F2W1SP3 FIGI</stp>
        <stp>ISSUER_INDUSTRY</stp>
        <stp>[DIF_Risk_20200430.xlsm]Geneva investment position repo!R105C52</stp>
        <tr r="AZ105" s="1"/>
      </tp>
      <tp t="s">
        <v>US68389XBT19</v>
        <stp/>
        <stp>##V3_BDPV12</stp>
        <stp>BBG00SXGDG60 FIGI</stp>
        <stp>ID_ISIN</stp>
        <stp>[DIF_Risk_20200430.xlsm]Geneva investment position repo!R120C63</stp>
        <tr r="BK120" s="1"/>
      </tp>
      <tp t="s">
        <v>Chengtou Bond</v>
        <stp/>
        <stp>##V3_BDPV12</stp>
        <stp>BBG00NV899R9 FIGI</stp>
        <stp>BOND_CLASSIFICATION_NAME</stp>
        <stp>[DIF_Risk_20200430.xlsm]Geneva investment position repo!R168C53</stp>
        <tr r="BA168" s="1"/>
      </tp>
      <tp t="s">
        <v>FINANCIAL</v>
        <stp/>
        <stp>##V3_BDPV12</stp>
        <stp>BBG00TJ8VS75 FIGI</stp>
        <stp>ISSUER_INDUSTRY</stp>
        <stp>[DIF_Risk_20200430.xlsm]Geneva investment position repo!R167C52</stp>
        <tr r="AZ167" s="1"/>
      </tp>
      <tp t="s">
        <v>Ba3</v>
        <stp/>
        <stp>##V3_BDPV12</stp>
        <stp>BBG00Q2B8JR6 FIGI</stp>
        <stp>RTG_MOODY</stp>
        <stp>[DIF_Risk_20200430.xlsm]Geneva investment position repo!R170C32</stp>
        <tr r="AF170" s="1"/>
        <tr r="AF170" s="1"/>
      </tp>
      <tp t="s">
        <v>FINANCIAL</v>
        <stp/>
        <stp>##V3_BDPV12</stp>
        <stp>BBG00R9SN7F2 FIGI</stp>
        <stp>ISSUER_INDUSTRY</stp>
        <stp>[DIF_Risk_20200430.xlsm]Geneva investment position repo!R63C52</stp>
        <tr r="AZ63" s="1"/>
      </tp>
      <tp t="s">
        <v>Financial</v>
        <stp/>
        <stp>##V3_BDPV12</stp>
        <stp>BBG00R9SN7F2 FIGI</stp>
        <stp>INDUSTRY_SECTOR</stp>
        <stp>[DIF_Risk_20200430.xlsm]Geneva investment position repo!R63C39</stp>
        <tr r="AM63" s="1"/>
      </tp>
      <tp t="s">
        <v>#N/A N/A</v>
        <stp/>
        <stp>##V3_BDPV12</stp>
        <stp>BBG00NQF0SC2 FIGI</stp>
        <stp>SP_EFF_DT</stp>
        <stp>[DIF_Risk_20200430.xlsm]Geneva investment position repo!R160C71</stp>
        <tr r="BS160" s="1"/>
      </tp>
      <tp t="s">
        <v>CMHI 4 3/8 08/06/23</v>
        <stp/>
        <stp>##V3_BDPV12</stp>
        <stp>BBG00LJTWWM9 FIGI</stp>
        <stp>SECURITY_NAME</stp>
        <stp>[DIF_Risk_20200430.xlsm]SFC Report!R191C8</stp>
        <tr r="H191" s="6"/>
      </tp>
      <tp t="s">
        <v>CCAMCL 4.45 PERP</v>
        <stp/>
        <stp>##V3_BDPV12</stp>
        <stp>BBG00DVX5HS1 FIGI</stp>
        <stp>SECURITY_NAME</stp>
        <stp>[DIF_Risk_20200430.xlsm]SFC Report!R183C1</stp>
        <tr r="A183" s="6"/>
      </tp>
      <tp t="s">
        <v>#N/A N/A</v>
        <stp/>
        <stp>##V3_BDPV12</stp>
        <stp>BBG00RB30509 FIGI</stp>
        <stp>SP_EFF_DT</stp>
        <stp>[DIF_Risk_20200430.xlsm]Geneva investment position repo!R159C71</stp>
        <tr r="BS159" s="1"/>
      </tp>
      <tp t="s">
        <v>#N/A Field Not Applicable</v>
        <stp/>
        <stp>##V3_BDPV12</stp>
        <stp>BBG00RCY5V08 FIGI</stp>
        <stp>BOND_CLASSIFICATION_NAME</stp>
        <stp>[DIF_Risk_20200430.xlsm]Geneva investment position repo!R39C53</stp>
        <tr r="BA39" s="1"/>
      </tp>
      <tp t="s">
        <v>Chengtou Bond</v>
        <stp/>
        <stp>##V3_BDPV12</stp>
        <stp>BBG00M5BYXF5 FIGI</stp>
        <stp>BOND_CLASSIFICATION_NAME</stp>
        <stp>[DIF_Risk_20200430.xlsm]Geneva investment position repo!R32C53</stp>
        <tr r="BA32" s="1"/>
      </tp>
      <tp t="s">
        <v>#N/A Field Not Applicable</v>
        <stp/>
        <stp>##V3_BDPV12</stp>
        <stp>BBG000GD4N44 FIGI</stp>
        <stp>BOND_CLASSIFICATION_NAME</stp>
        <stp>[DIF_Risk_20200430.xlsm]Geneva investment position repo!R23C53</stp>
        <tr r="BA23" s="1"/>
      </tp>
      <tp t="s">
        <v>#N/A Field Not Applicable</v>
        <stp/>
        <stp>##V3_BDPV12</stp>
        <stp>BBG00PK1ZYS6 FIGI</stp>
        <stp>GICS_SECTOR_NAME</stp>
        <stp>[DIF_Risk_20200430.xlsm]Geneva investment position repo!R146C51</stp>
        <tr r="AY146" s="1"/>
      </tp>
      <tp t="s">
        <v>SPECIAL PURPOSE</v>
        <stp/>
        <stp>##V3_BDPV12</stp>
        <stp>BBG00PKGTF65 FIGI</stp>
        <stp>ISSUER_INDUSTRY</stp>
        <stp>[DIF_Risk_20200430.xlsm]Geneva investment position repo!R164C52</stp>
        <tr r="AZ164" s="1"/>
      </tp>
      <tp t="s">
        <v>#N/A Field Not Applicable</v>
        <stp/>
        <stp>##V3_BDPV12</stp>
        <stp>BBG00NG9L0S8 FIGI</stp>
        <stp>BOND_CLASSIFICATION_NAME</stp>
        <stp>[DIF_Risk_20200430.xlsm]Geneva investment position repo!R134C53</stp>
        <tr r="BA134" s="1"/>
      </tp>
      <tp t="s">
        <v>#N/A Field Not Applicable</v>
        <stp/>
        <stp>##V3_BDPV12</stp>
        <stp>BBG00RB0MG61 FIGI</stp>
        <stp>BOND_CLASSIFICATION_NAME</stp>
        <stp>[DIF_Risk_20200430.xlsm]Geneva investment position repo!R100C53</stp>
        <tr r="BA100" s="1"/>
      </tp>
      <tp t="s">
        <v>Financial</v>
        <stp/>
        <stp>##V3_BDPV12</stp>
        <stp>BBG00KMRGS75 FIGI</stp>
        <stp>INDUSTRY_SECTOR</stp>
        <stp>[DIF_Risk_20200430.xlsm]Geneva investment position repo!R152C39</stp>
        <tr r="AM152" s="1"/>
      </tp>
      <tp t="s">
        <v>SPECIAL PURPOSE</v>
        <stp/>
        <stp>##V3_BDPV12</stp>
        <stp>BBG00PKD4F69 FIGI</stp>
        <stp>ISSUER_INDUSTRY</stp>
        <stp>[DIF_Risk_20200430.xlsm]Geneva investment position repo!R145C52</stp>
        <tr r="AZ145" s="1"/>
      </tp>
      <tp t="s">
        <v>SPECIAL PURPOSE</v>
        <stp/>
        <stp>##V3_BDPV12</stp>
        <stp>BBG00P7N38J5 FIGI</stp>
        <stp>ISSUER_INDUSTRY</stp>
        <stp>[DIF_Risk_20200430.xlsm]Geneva investment position repo!R175C52</stp>
        <tr r="AZ175" s="1"/>
      </tp>
      <tp t="s">
        <v>#N/A Field Not Applicable</v>
        <stp/>
        <stp>##V3_BDPV12</stp>
        <stp>BBG00NV0G541 FIGI</stp>
        <stp>BOND_CLASSIFICATION_NAME</stp>
        <stp>[DIF_Risk_20200430.xlsm]Geneva investment position repo!R165C53</stp>
        <tr r="BA165" s="1"/>
      </tp>
      <tp t="s">
        <v>Real Estate</v>
        <stp/>
        <stp>##V3_BDPV12</stp>
        <stp>BBG00NB7HXS0 FIGI</stp>
        <stp>GICS_SECTOR_NAME</stp>
        <stp>[DIF_Risk_20200430.xlsm]Geneva investment position repo!R143C51</stp>
        <tr r="AY143" s="1"/>
      </tp>
      <tp t="s">
        <v>FINANCIAL</v>
        <stp/>
        <stp>##V3_BDPV12</stp>
        <stp>BBG00KMQKL04 FIGI</stp>
        <stp>ISSUER_INDUSTRY</stp>
        <stp>[DIF_Risk_20200430.xlsm]Geneva investment position repo!R169C52</stp>
        <tr r="AZ169" s="1"/>
      </tp>
      <tp t="s">
        <v>#N/A Field Not Applicable</v>
        <stp/>
        <stp>##V3_BDPV12</stp>
        <stp>BBG00QQ1W050 FIGI</stp>
        <stp>BOND_CLASSIFICATION_NAME</stp>
        <stp>[DIF_Risk_20200430.xlsm]Geneva investment position repo!R149C53</stp>
        <tr r="BA149" s="1"/>
      </tp>
      <tp t="s">
        <v>XS1945401674</v>
        <stp/>
        <stp>##V3_BDPV12</stp>
        <stp>BBG00NB7K829 FIGI</stp>
        <stp>ID_ISIN</stp>
        <stp>[DIF_Risk_20200430.xlsm]Geneva investment position repo!R162C63</stp>
        <tr r="BK162" s="1"/>
      </tp>
      <tp t="s">
        <v>XS2099273737</v>
        <stp/>
        <stp>##V3_BDPV12</stp>
        <stp>BBG00RD4VH41 FIGI</stp>
        <stp>ID_ISIN</stp>
        <stp>[DIF_Risk_20200430.xlsm]Geneva investment position repo!R106C63</stp>
        <tr r="BK106" s="1"/>
      </tp>
      <tp t="s">
        <v>Real Estate</v>
        <stp/>
        <stp>##V3_BDPV12</stp>
        <stp>BBG00PF578H3 FIGI</stp>
        <stp>GICS_SECTOR_NAME</stp>
        <stp>[DIF_Risk_20200430.xlsm]Geneva investment position repo!R181C51</stp>
        <tr r="AY181" s="1"/>
      </tp>
      <tp t="s">
        <v>FINANCIAL</v>
        <stp/>
        <stp>##V3_BDPV12</stp>
        <stp>BBG00K67R1J1 FIGI</stp>
        <stp>ISSUER_INDUSTRY</stp>
        <stp>[DIF_Risk_20200430.xlsm]Geneva investment position repo!R171C52</stp>
        <tr r="AZ171" s="1"/>
      </tp>
      <tp t="s">
        <v>GRWALL 4 3/8 05/25/23</v>
        <stp/>
        <stp>##V3_BDPV12</stp>
        <stp>BBG00KVGG4W4 FIGI</stp>
        <stp>SECURITY_NAME</stp>
        <stp>[DIF_Risk_20200430.xlsm]SFC Report!R196C8</stp>
        <tr r="H196" s="6"/>
      </tp>
      <tp t="s">
        <v>B2</v>
        <stp/>
        <stp>##V3_BDPV12</stp>
        <stp>BBG00N0J9QB8 FIGI</stp>
        <stp>RTG_MOODY</stp>
        <stp>[DIF_Risk_20200430.xlsm]Geneva investment position repo!R132C32</stp>
        <tr r="AF132" s="1"/>
        <tr r="AF132" s="1"/>
      </tp>
      <tp t="s">
        <v>B2</v>
        <stp/>
        <stp>##V3_BDPV12</stp>
        <stp>BBG00MTS9QX5 FIGI</stp>
        <stp>RTG_MOODY</stp>
        <stp>[DIF_Risk_20200430.xlsm]Geneva investment position repo!R157C32</stp>
        <tr r="AF157" s="1"/>
        <tr r="AF157" s="1"/>
      </tp>
      <tp t="s">
        <v>7/18/2019</v>
        <stp/>
        <stp>##V3_BDPV12</stp>
        <stp>BBG00F2W1SP3 FIGI</stp>
        <stp>SP_EFF_DT</stp>
        <stp>[DIF_Risk_20200430.xlsm]Geneva investment position repo!R105C71</stp>
        <tr r="BS105" s="1"/>
      </tp>
      <tp t="s">
        <v>COGARD 5 5/8 01/14/30</v>
        <stp/>
        <stp>##V3_BDPV12</stp>
        <stp>BBG00R9SNB81 FIGI</stp>
        <stp>SECURITY_NAME</stp>
        <stp>[DIF_Risk_20200430.xlsm]SFC Report!R116C1</stp>
        <tr r="A116" s="6"/>
      </tp>
      <tp t="s">
        <v>Ba3</v>
        <stp/>
        <stp>##V3_BDPV12</stp>
        <stp>BBG00QDN9PZ4 FIGI</stp>
        <stp>RTG_MOODY</stp>
        <stp>[DIF_Risk_20200430.xlsm]Geneva investment position repo!R138C32</stp>
        <tr r="AF138" s="1"/>
        <tr r="AF138" s="1"/>
      </tp>
      <tp t="s">
        <v>#N/A N/A</v>
        <stp/>
        <stp>##V3_BDPV12</stp>
        <stp>BBG00L1B1VB5 FIGI</stp>
        <stp>SP_EFF_DT</stp>
        <stp>[DIF_Risk_20200430.xlsm]Geneva investment position repo!R163C71</stp>
        <tr r="BS163" s="1"/>
      </tp>
      <tp t="s">
        <v>B3</v>
        <stp/>
        <stp>##V3_BDPV12</stp>
        <stp>BBG00LSR9049 FIGI</stp>
        <stp>RTG_MOODY</stp>
        <stp>[DIF_Risk_20200430.xlsm]Geneva investment position repo!R108C32</stp>
        <tr r="AF108" s="1"/>
        <tr r="AF108" s="1"/>
      </tp>
      <tp t="s">
        <v>#N/A N/A</v>
        <stp/>
        <stp>##V3_BDPV12</stp>
        <stp>BBG00NV899R9 FIGI</stp>
        <stp>RTG_MOODY</stp>
        <stp>[DIF_Risk_20200430.xlsm]Geneva investment position repo!R168C32</stp>
        <tr r="AF168" s="1"/>
      </tp>
      <tp t="s">
        <v>XS2127887169</v>
        <stp/>
        <stp>##V3_BDPV12</stp>
        <stp>BBG00S0GV953 FIGI</stp>
        <stp>ID_ISIN</stp>
        <stp>[DIF_Risk_20200430.xlsm]Geneva investment position repo!R98C63</stp>
        <tr r="BK98" s="1"/>
      </tp>
      <tp t="s">
        <v>#N/A Field Not Applicable</v>
        <stp/>
        <stp>##V3_BDPV12</stp>
        <stp>BBG00PGHK257 FIGI</stp>
        <stp>BOND_CLASSIFICATION_NAME</stp>
        <stp>[DIF_Risk_20200430.xlsm]Geneva investment position repo!R87C53</stp>
        <tr r="BA87" s="1"/>
      </tp>
      <tp t="s">
        <v>#N/A Field Not Applicable</v>
        <stp/>
        <stp>##V3_BDPV12</stp>
        <stp>BBG00MKJ4690 FIGI</stp>
        <stp>BOND_CLASSIFICATION_NAME</stp>
        <stp>[DIF_Risk_20200430.xlsm]Geneva investment position repo!R54C53</stp>
        <tr r="BA54" s="1"/>
      </tp>
      <tp t="s">
        <v>#N/A Field Not Applicable</v>
        <stp/>
        <stp>##V3_BDPV12</stp>
        <stp>BBG00T6LY8D4 FIGI</stp>
        <stp>BOND_CLASSIFICATION_NAME</stp>
        <stp>[DIF_Risk_20200430.xlsm]Geneva investment position repo!R94C53</stp>
        <tr r="BA94" s="1"/>
      </tp>
      <tp t="s">
        <v>#N/A Field Not Applicable</v>
        <stp/>
        <stp>##V3_BDPV12</stp>
        <stp>BBG00NG9J699 FIGI</stp>
        <stp>BOND_CLASSIFICATION_NAME</stp>
        <stp>[DIF_Risk_20200430.xlsm]Geneva investment position repo!R139C53</stp>
        <tr r="BA139" s="1"/>
      </tp>
      <tp t="s">
        <v>Financial</v>
        <stp/>
        <stp>##V3_BDPV12</stp>
        <stp>BBG00S6SWBM6 FIGI</stp>
        <stp>INDUSTRY_SECTOR</stp>
        <stp>[DIF_Risk_20200430.xlsm]Geneva investment position repo!R158C39</stp>
        <tr r="AM158" s="1"/>
      </tp>
      <tp t="s">
        <v>Real Estate</v>
        <stp/>
        <stp>##V3_BDPV12</stp>
        <stp>BBG00K67R1J1 FIGI</stp>
        <stp>GICS_SECTOR_NAME</stp>
        <stp>[DIF_Risk_20200430.xlsm]Geneva investment position repo!R171C51</stp>
        <tr r="AY171" s="1"/>
      </tp>
      <tp t="s">
        <v>Financials</v>
        <stp/>
        <stp>##V3_BDPV12</stp>
        <stp>BBG00CP5W6B3 FIGI</stp>
        <stp>GICS_SECTOR_NAME</stp>
        <stp>[DIF_Risk_20200430.xlsm]Geneva investment position repo!R107C51</stp>
        <tr r="AY107" s="1"/>
      </tp>
      <tp t="s">
        <v>#N/A Field Not Applicable</v>
        <stp/>
        <stp>##V3_BDPV12</stp>
        <stp>BBG000PXTGY5 FIGI</stp>
        <stp>MOODY_EFF_DT</stp>
        <stp>[DIF_Risk_20200430.xlsm]Geneva investment position repo!R9C72</stp>
        <tr r="BT9" s="1"/>
      </tp>
      <tp t="s">
        <v>#N/A N/A</v>
        <stp/>
        <stp>##V3_BDPV12</stp>
        <stp>BBG00RT2L457 FIGI</stp>
        <stp>RTG_SP</stp>
        <stp>[DIF_Risk_20200430.xlsm]Geneva investment position repo!R177C31</stp>
        <tr r="AE177" s="1"/>
      </tp>
      <tp t="s">
        <v>Energy</v>
        <stp/>
        <stp>##V3_BDPV12</stp>
        <stp>BBG00RCY5V08 FIGI</stp>
        <stp>GICS_SECTOR_NAME</stp>
        <stp>[DIF_Risk_20200430.xlsm]Geneva investment position repo!R39C51</stp>
        <tr r="AY39" s="1"/>
      </tp>
      <tp t="s">
        <v>Financials</v>
        <stp/>
        <stp>##V3_BDPV12</stp>
        <stp>BBG000GD4N44 FIGI</stp>
        <stp>GICS_SECTOR_NAME</stp>
        <stp>[DIF_Risk_20200430.xlsm]Geneva investment position repo!R23C51</stp>
        <tr r="AY23" s="1"/>
      </tp>
      <tp t="s">
        <v>#N/A Field Not Applicable</v>
        <stp/>
        <stp>##V3_BDPV12</stp>
        <stp>BBG00M5BYXF5 FIGI</stp>
        <stp>GICS_SECTOR_NAME</stp>
        <stp>[DIF_Risk_20200430.xlsm]Geneva investment position repo!R32C51</stp>
        <tr r="AY32" s="1"/>
      </tp>
      <tp t="s">
        <v>#N/A Field Not Applicable</v>
        <stp/>
        <stp>##V3_BDPV12</stp>
        <stp>BBG00BWQ0R57 FIGI</stp>
        <stp>CAPITAL_TYP_COCO_INITIAL_TRIGGER</stp>
        <stp>[DIF_Risk_20200430.xlsm]Geneva investment position repo!R62C43</stp>
        <tr r="AQ62" s="1"/>
      </tp>
      <tp t="s">
        <v>HK</v>
        <stp/>
        <stp>##V3_BDPV12</stp>
        <stp>BBG00QV37ZP9 FIGI</stp>
        <stp>CNTRY_ISSUE_ISO</stp>
        <stp>[DIF_Risk_20200430.xlsm]Geneva investment position repo!R7C38</stp>
        <tr r="AL7" s="1"/>
      </tp>
      <tp t="s">
        <v>2/25/2019</v>
        <stp/>
        <stp>##V3_BDPV12</stp>
        <stp>BBG00NGF27D6 FIGI</stp>
        <stp>SP_EFF_DT</stp>
        <stp>[DIF_Risk_20200430.xlsm]Geneva investment position repo!R114C71</stp>
        <tr r="BS114" s="1"/>
      </tp>
      <tp t="s">
        <v>AAA</v>
        <stp/>
        <stp>##V3_BDPV12</stp>
        <stp>BBG00TDCM2R7 FIGI</stp>
        <stp>RTG_SP</stp>
        <stp>[DIF_Risk_20200430.xlsm]Geneva investment position repo!R147C31</stp>
        <tr r="AE147" s="1"/>
        <tr r="AE147" s="1"/>
      </tp>
      <tp t="s">
        <v>#N/A Field Not Applicable</v>
        <stp/>
        <stp>##V3_BDPV12</stp>
        <stp>BBG00RD4VH41 FIGI</stp>
        <stp>GICS_SECTOR_NAME</stp>
        <stp>[DIF_Risk_20200430.xlsm]Geneva investment position repo!R106C51</stp>
        <tr r="AY106" s="1"/>
      </tp>
      <tp t="s">
        <v>USY68856AT38</v>
        <stp/>
        <stp>##V3_BDPV12</stp>
        <stp>BBG00T5WB7F6 FIGI</stp>
        <stp>ID_ISIN</stp>
        <stp>[DIF_Risk_20200430.xlsm]Geneva investment position repo!R123C63</stp>
        <tr r="BK123" s="1"/>
      </tp>
      <tp t="s">
        <v>Financial</v>
        <stp/>
        <stp>##V3_BDPV12</stp>
        <stp>BBG00KNCMN62 FIGI</stp>
        <stp>INDUSTRY_SECTOR</stp>
        <stp>[DIF_Risk_20200430.xlsm]Geneva investment position repo!R102C39</stp>
        <tr r="AM102" s="1"/>
      </tp>
      <tp t="s">
        <v>Real Estate</v>
        <stp/>
        <stp>##V3_BDPV12</stp>
        <stp>BBG00RT2L457 FIGI</stp>
        <stp>GICS_SECTOR_NAME</stp>
        <stp>[DIF_Risk_20200430.xlsm]Geneva investment position repo!R177C51</stp>
        <tr r="AY177" s="1"/>
      </tp>
      <tp t="s">
        <v>#N/A Field Not Applicable</v>
        <stp/>
        <stp>##V3_BDPV12</stp>
        <stp>BBG00RZ2MZZ7 FIGI</stp>
        <stp>GICS_SECTOR_NAME</stp>
        <stp>[DIF_Risk_20200430.xlsm]Geneva investment position repo!R113C51</stp>
        <tr r="AY113" s="1"/>
      </tp>
      <tp t="s">
        <v>XS1831884702</v>
        <stp/>
        <stp>##V3_BDPV12</stp>
        <stp>BBG00L1B1VB5 FIGI</stp>
        <stp>ID_ISIN</stp>
        <stp>[DIF_Risk_20200430.xlsm]Geneva investment position repo!R163C63</stp>
        <tr r="BK163" s="1"/>
      </tp>
      <tp t="s">
        <v>Financial</v>
        <stp/>
        <stp>##V3_BDPV12</stp>
        <stp>BBG00T2MWMJ1 FIGI</stp>
        <stp>INDUSTRY_SECTOR</stp>
        <stp>[DIF_Risk_20200430.xlsm]Geneva investment position repo!R128C39</stp>
        <tr r="AM128" s="1"/>
      </tp>
      <tp t="s">
        <v>XS2100664544</v>
        <stp/>
        <stp>##V3_BDPV12</stp>
        <stp>BBG00RB30509 FIGI</stp>
        <stp>ID_ISIN</stp>
        <stp>[DIF_Risk_20200430.xlsm]Geneva investment position repo!R159C63</stp>
        <tr r="BK159" s="1"/>
      </tp>
      <tp t="s">
        <v>#N/A N/A</v>
        <stp/>
        <stp>##V3_BDPV12</stp>
        <stp>BBG00RB30509 FIGI</stp>
        <stp>RTG_SP</stp>
        <stp>[DIF_Risk_20200430.xlsm]Geneva investment position repo!R159C31</stp>
        <tr r="AE159" s="1"/>
      </tp>
      <tp t="s">
        <v>FINANCIAL</v>
        <stp/>
        <stp>##V3_BDPV12</stp>
        <stp>BBG00NG9J699 FIGI</stp>
        <stp>ISSUER_INDUSTRY</stp>
        <stp>[DIF_Risk_20200430.xlsm]Geneva investment position repo!R139C52</stp>
        <tr r="AZ139" s="1"/>
      </tp>
      <tp t="s">
        <v>#N/A Field Not Applicable</v>
        <stp/>
        <stp>##V3_BDPV12</stp>
        <stp>BBG00RD35MV1 FIGI</stp>
        <stp>BOND_CLASSIFICATION_NAME</stp>
        <stp>[DIF_Risk_20200430.xlsm]Geneva investment position repo!R118C53</stp>
        <tr r="BA118" s="1"/>
      </tp>
      <tp t="e">
        <v>#N/A</v>
        <stp/>
        <stp>##V3_BDHV12</stp>
        <stp>USDEUR Curncy</stp>
        <stp>PX_Last</stp>
        <stp>4/30/2020</stp>
        <stp>4/30/2020</stp>
        <stp>[DIF_Risk_20200430.xlsm]FX Rates!R6C3</stp>
        <tr r="C6" s="4"/>
      </tp>
      <tp t="s">
        <v>3/12/2019</v>
        <stp/>
        <stp>##V3_BDPV12</stp>
        <stp>BBG00NL43H88 FIGI</stp>
        <stp>SP_EFF_DT</stp>
        <stp>[DIF_Risk_20200430.xlsm]Geneva investment position repo!R121C71</stp>
        <tr r="BS121" s="1"/>
      </tp>
      <tp t="s">
        <v>2/11/2019</v>
        <stp/>
        <stp>##V3_BDPV12</stp>
        <stp>BBG00N9X3LW2 FIGI</stp>
        <stp>SP_EFF_DT</stp>
        <stp>[DIF_Risk_20200430.xlsm]Geneva investment position repo!R180C71</stp>
        <tr r="BS180" s="1"/>
      </tp>
      <tp t="s">
        <v>PWCNPG 4 1/2 12/06/21</v>
        <stp/>
        <stp>##V3_BDPV12</stp>
        <stp>BBG00MNS44N6 FIGI</stp>
        <stp>SECURITY_NAME</stp>
        <stp>[DIF_Risk_20200430.xlsm]SFC Report!R125C8</stp>
        <tr r="H125" s="6"/>
      </tp>
      <tp t="s">
        <v>#N/A N/A</v>
        <stp/>
        <stp>##V3_BDPV12</stp>
        <stp>BBG00P7N38J5 FIGI</stp>
        <stp>SP_EFF_DT</stp>
        <stp>[DIF_Risk_20200430.xlsm]Geneva investment position repo!R175C71</stp>
        <tr r="BS175" s="1"/>
      </tp>
      <tp t="s">
        <v>#N/A Field Not Applicable</v>
        <stp/>
        <stp>##V3_BDPV12</stp>
        <stp>BBG00N0Q0RS1 FIGI</stp>
        <stp>CAPITAL_TYP_COCO_INITIAL_TRIGGER</stp>
        <stp>[DIF_Risk_20200430.xlsm]Geneva investment position repo!R50C43</stp>
        <tr r="AQ50" s="1"/>
      </tp>
      <tp t="s">
        <v>Commer Banks Non-US</v>
        <stp/>
        <stp>##V3_BDPV12</stp>
        <stp>BBG000Q16VR4 FIGI</stp>
        <stp>ISSUER_INDUSTRY</stp>
        <stp>[DIF_Risk_20200430.xlsm]Geneva investment position repo!R18C52</stp>
        <tr r="AZ18" s="1"/>
      </tp>
      <tp t="s">
        <v>Financial</v>
        <stp/>
        <stp>##V3_BDPV12</stp>
        <stp>BBG000Q16VR4 FIGI</stp>
        <stp>INDUSTRY_SECTOR</stp>
        <stp>[DIF_Risk_20200430.xlsm]Geneva investment position repo!R18C39</stp>
        <tr r="AM18" s="1"/>
      </tp>
      <tp t="s">
        <v>#N/A Field Not Applicable</v>
        <stp/>
        <stp>##V3_BDPV12</stp>
        <stp>BBG00T6LY8D4 FIGI</stp>
        <stp>GICS_SECTOR_NAME</stp>
        <stp>[DIF_Risk_20200430.xlsm]Geneva investment position repo!R94C51</stp>
        <tr r="AY94" s="1"/>
      </tp>
      <tp t="s">
        <v>#N/A Field Not Applicable</v>
        <stp/>
        <stp>##V3_BDPV12</stp>
        <stp>BBG00MKJ4690 FIGI</stp>
        <stp>GICS_SECTOR_NAME</stp>
        <stp>[DIF_Risk_20200430.xlsm]Geneva investment position repo!R54C51</stp>
        <tr r="AY54" s="1"/>
      </tp>
      <tp t="s">
        <v>Real Estate</v>
        <stp/>
        <stp>##V3_BDPV12</stp>
        <stp>BBG00PGHK257 FIGI</stp>
        <stp>GICS_SECTOR_NAME</stp>
        <stp>[DIF_Risk_20200430.xlsm]Geneva investment position repo!R87C51</stp>
        <tr r="AY87" s="1"/>
      </tp>
      <tp t="s">
        <v>XS2100444772</v>
        <stp/>
        <stp>##V3_BDPV12</stp>
        <stp>BBG00R9SLKK9 FIGI</stp>
        <stp>ID_ISIN</stp>
        <stp>[DIF_Risk_20200430.xlsm]Geneva investment position repo!R148C63</stp>
        <tr r="BK148" s="1"/>
      </tp>
      <tp t="s">
        <v>Real Estate</v>
        <stp/>
        <stp>##V3_BDPV12</stp>
        <stp>BBG00N14RT60 FIGI</stp>
        <stp>GICS_SECTOR_NAME</stp>
        <stp>[DIF_Risk_20200430.xlsm]Geneva investment position repo!R153C51</stp>
        <tr r="AY153" s="1"/>
      </tp>
      <tp t="s">
        <v>#N/A Field Not Applicable</v>
        <stp/>
        <stp>##V3_BDPV12</stp>
        <stp>BBG00N14WRV0 FIGI</stp>
        <stp>GICS_SECTOR_NAME</stp>
        <stp>[DIF_Risk_20200430.xlsm]Geneva investment position repo!R142C51</stp>
        <tr r="AY142" s="1"/>
      </tp>
      <tp t="s">
        <v>US63111XAB73</v>
        <stp/>
        <stp>##V3_BDPV12</stp>
        <stp>BBG00TFTG847 FIGI</stp>
        <stp>ID_ISIN</stp>
        <stp>[DIF_Risk_20200430.xlsm]Geneva investment position repo!R117C63</stp>
        <tr r="BK117" s="1"/>
      </tp>
      <tp t="s">
        <v>Banks</v>
        <stp/>
        <stp>##V3_BDPV12</stp>
        <stp>BBG00GSCY4N6 FIGI</stp>
        <stp>INDUSTRY_GROUP</stp>
        <stp>[DIF_Risk_20200430.xlsm]Geneva investment position repo!R116C40</stp>
        <tr r="AN116" s="1"/>
      </tp>
      <tp t="s">
        <v>#N/A N/A</v>
        <stp/>
        <stp>##V3_BDPV12</stp>
        <stp>BBG00QRVV6Z8 FIGI</stp>
        <stp>RTG_SP</stp>
        <stp>[DIF_Risk_20200430.xlsm]Geneva investment position repo!R155C31</stp>
        <tr r="AE155" s="1"/>
      </tp>
      <tp t="s">
        <v>#N/A Field Not Applicable</v>
        <stp/>
        <stp>##V3_BDPV12</stp>
        <stp>BBG00T21B8F5 FIGI</stp>
        <stp>GICS_SECTOR_NAME</stp>
        <stp>[DIF_Risk_20200430.xlsm]Geneva investment position repo!R133C51</stp>
        <tr r="AY133" s="1"/>
      </tp>
      <tp t="s">
        <v>Real Estate</v>
        <stp/>
        <stp>##V3_BDPV12</stp>
        <stp>BBG00NB0B2N4 FIGI</stp>
        <stp>GICS_SECTOR_NAME</stp>
        <stp>[DIF_Risk_20200430.xlsm]Geneva investment position repo!R150C51</stp>
        <tr r="AY150" s="1"/>
      </tp>
      <tp t="s">
        <v>USG60744AB87</v>
        <stp/>
        <stp>##V3_BDPV12</stp>
        <stp>BBG00P1GZFC2 FIGI</stp>
        <stp>ID_ISIN</stp>
        <stp>[DIF_Risk_20200430.xlsm]Geneva investment position repo!R112C63</stp>
        <tr r="BK112" s="1"/>
      </tp>
      <tp t="s">
        <v>XS1932406314</v>
        <stp/>
        <stp>##V3_BDPV12</stp>
        <stp>BBG00N0J9QB8 FIGI</stp>
        <stp>ID_ISIN</stp>
        <stp>[DIF_Risk_20200430.xlsm]Geneva investment position repo!R132C63</stp>
        <tr r="BK132" s="1"/>
      </tp>
      <tp t="s">
        <v>XS1645451565</v>
        <stp/>
        <stp>##V3_BDPV12</stp>
        <stp>BBG00H4BZMF0 FIGI</stp>
        <stp>ID_ISIN</stp>
        <stp>[DIF_Risk_20200430.xlsm]Geneva investment position repo!R130C63</stp>
        <tr r="BK130" s="1"/>
      </tp>
      <tp t="s">
        <v>Financial</v>
        <stp/>
        <stp>##V3_BDPV12</stp>
        <stp>BBG00NG9J699 FIGI</stp>
        <stp>INDUSTRY_SECTOR</stp>
        <stp>[DIF_Risk_20200430.xlsm]Geneva investment position repo!R139C39</stp>
        <tr r="AM139" s="1"/>
      </tp>
      <tp t="s">
        <v>Real Estate</v>
        <stp/>
        <stp>##V3_BDPV12</stp>
        <stp>BBG00LSRS878 FIGI</stp>
        <stp>INDUSTRY_GROUP</stp>
        <stp>[DIF_Risk_20200430.xlsm]Geneva investment position repo!R104C40</stp>
        <tr r="AN104" s="1"/>
      </tp>
      <tp t="s">
        <v>Consumer, Cyclical</v>
        <stp/>
        <stp>##V3_BDPV12</stp>
        <stp>BBG00T8645P1 FIGI</stp>
        <stp>INDUSTRY_SECTOR</stp>
        <stp>[DIF_Risk_20200430.xlsm]Geneva investment position repo!R70C39</stp>
        <tr r="AM70" s="1"/>
      </tp>
      <tp t="s">
        <v>#N/A N/A</v>
        <stp/>
        <stp>##V3_BDPV12</stp>
        <stp>BBG00PKD4F69 FIGI</stp>
        <stp>SP_EFF_DT</stp>
        <stp>[DIF_Risk_20200430.xlsm]Geneva investment position repo!R145C71</stp>
        <tr r="BS145" s="1"/>
      </tp>
      <tp t="s">
        <v>INDUSTRIAL</v>
        <stp/>
        <stp>##V3_BDPV12</stp>
        <stp>BBG00T8645P1 FIGI</stp>
        <stp>ISSUER_INDUSTRY</stp>
        <stp>[DIF_Risk_20200430.xlsm]Geneva investment position repo!R70C52</stp>
        <tr r="AZ70" s="1"/>
      </tp>
      <tp t="s">
        <v>Real Estate Oper/Develop</v>
        <stp/>
        <stp>##V3_BDPV12</stp>
        <stp>BBG00Q2B8JR6 FIGI</stp>
        <stp>INDUSTRY_SUBGROUP</stp>
        <stp>[DIF_Risk_20200430.xlsm]Geneva investment position repo!R170C41</stp>
        <tr r="AO170" s="1"/>
      </tp>
      <tp t="s">
        <v>BANK</v>
        <stp/>
        <stp>##V3_BDPV12</stp>
        <stp>BBG00PMFP1T5 FIGI</stp>
        <stp>ISSUER_INDUSTRY</stp>
        <stp>[DIF_Risk_20200430.xlsm]Geneva investment position repo!R52C52</stp>
        <tr r="AZ52" s="1"/>
      </tp>
      <tp t="s">
        <v>Real Estate</v>
        <stp/>
        <stp>##V3_BDPV12</stp>
        <stp>BBG00NGWHP25 FIGI</stp>
        <stp>GICS_SECTOR_NAME</stp>
        <stp>[DIF_Risk_20200430.xlsm]Geneva investment position repo!R29C51</stp>
        <tr r="AY29" s="1"/>
      </tp>
      <tp t="s">
        <v>Financial</v>
        <stp/>
        <stp>##V3_BDPV12</stp>
        <stp>BBG00PMFP1T5 FIGI</stp>
        <stp>INDUSTRY_SECTOR</stp>
        <stp>[DIF_Risk_20200430.xlsm]Geneva investment position repo!R52C39</stp>
        <tr r="AM52" s="1"/>
      </tp>
      <tp t="s">
        <v>#N/A Field Not Applicable</v>
        <stp/>
        <stp>##V3_BDPV12</stp>
        <stp>BBG00JCQ6Y42 FIGI</stp>
        <stp>BOND_CLASSIFICATION_NAME</stp>
        <stp>[DIF_Risk_20200430.xlsm]Geneva investment position repo!R33C53</stp>
        <tr r="BA33" s="1"/>
      </tp>
      <tp t="s">
        <v>#N/A Field Not Applicable</v>
        <stp/>
        <stp>##V3_BDPV12</stp>
        <stp>BBG00K7D75S0 FIGI</stp>
        <stp>CAPITAL_TYP_COCO_INITIAL_TRIGGER</stp>
        <stp>[DIF_Risk_20200430.xlsm]Geneva investment position repo!R75C43</stp>
        <tr r="AQ75" s="1"/>
      </tp>
      <tp t="s">
        <v>KYG017191142</v>
        <stp/>
        <stp>##V3_BDPV12</stp>
        <stp>BBG00QV37ZP9 FIGI</stp>
        <stp>ID_ISIN</stp>
        <stp>[DIF_Risk_20200430.xlsm]Geneva investment position repo!R7C63</stp>
        <tr r="BK7" s="1"/>
      </tp>
      <tp t="s">
        <v>#N/A Field Not Applicable</v>
        <stp/>
        <stp>##V3_BDPV12</stp>
        <stp>BBG00N6M20C8 FIGI</stp>
        <stp>GICS_SECTOR_NAME</stp>
        <stp>[DIF_Risk_20200430.xlsm]Geneva investment position repo!R79C51</stp>
        <tr r="AY79" s="1"/>
      </tp>
      <tp t="s">
        <v>#N/A Field Not Applicable</v>
        <stp/>
        <stp>##V3_BDPV12</stp>
        <stp>BBG000BGW354 FIGI</stp>
        <stp>BOND_CLASSIFICATION_NAME</stp>
        <stp>[DIF_Risk_20200430.xlsm]Geneva investment position repo!R17C53</stp>
        <tr r="BA17" s="1"/>
      </tp>
      <tp t="s">
        <v>HK</v>
        <stp/>
        <stp>##V3_BDPV12</stp>
        <stp>BBG00GTY47H0 FIGI</stp>
        <stp>CNTRY_ISSUE_ISO</stp>
        <stp>[DIF_Risk_20200430.xlsm]Geneva investment position repo!R26C38</stp>
        <tr r="AL26" s="1"/>
      </tp>
      <tp t="s">
        <v>Real Estate</v>
        <stp/>
        <stp>##V3_BDPV12</stp>
        <stp>BBG00N2K8LG0 FIGI</stp>
        <stp>GICS_SECTOR_NAME</stp>
        <stp>[DIF_Risk_20200430.xlsm]Geneva investment position repo!R43C51</stp>
        <tr r="AY43" s="1"/>
      </tp>
      <tp t="s">
        <v>Financial</v>
        <stp/>
        <stp>##V3_BDPV12</stp>
        <stp>BBG00RDBJ3B2 FIGI</stp>
        <stp>INDUSTRY_SECTOR</stp>
        <stp>[DIF_Risk_20200430.xlsm]Geneva investment position repo!R34C39</stp>
        <tr r="AM34" s="1"/>
      </tp>
      <tp t="s">
        <v>#N/A N/A</v>
        <stp/>
        <stp>##V3_BDPV12</stp>
        <stp>BBG00MNS44N6 FIGI</stp>
        <stp>SP_EFF_DT</stp>
        <stp>[DIF_Risk_20200430.xlsm]Geneva investment position repo!R129C71</stp>
        <tr r="BS129" s="1"/>
      </tp>
      <tp t="s">
        <v>BANK</v>
        <stp/>
        <stp>##V3_BDPV12</stp>
        <stp>BBG00RDBJ3B2 FIGI</stp>
        <stp>ISSUER_INDUSTRY</stp>
        <stp>[DIF_Risk_20200430.xlsm]Geneva investment position repo!R34C52</stp>
        <tr r="AZ34" s="1"/>
      </tp>
      <tp t="s">
        <v>#N/A Field Not Applicable</v>
        <stp/>
        <stp>##V3_BDPV12</stp>
        <stp>BBG00RT2L457 FIGI</stp>
        <stp>BOND_CLASSIFICATION_NAME</stp>
        <stp>[DIF_Risk_20200430.xlsm]Geneva investment position repo!R177C53</stp>
        <tr r="BA177" s="1"/>
      </tp>
      <tp t="s">
        <v>#N/A Field Not Applicable</v>
        <stp/>
        <stp>##V3_BDPV12</stp>
        <stp>BBG00RZ2MZZ7 FIGI</stp>
        <stp>BOND_CLASSIFICATION_NAME</stp>
        <stp>[DIF_Risk_20200430.xlsm]Geneva investment position repo!R113C53</stp>
        <tr r="BA113" s="1"/>
      </tp>
      <tp t="s">
        <v>BBB</v>
        <stp/>
        <stp>##V3_BDPV12</stp>
        <stp>BBG00PKGT0Y7 FIGI</stp>
        <stp>RTG_SP</stp>
        <stp>[DIF_Risk_20200430.xlsm]Geneva investment position repo!R166C31</stp>
        <tr r="AE166" s="1"/>
        <tr r="AE166" s="1"/>
      </tp>
      <tp t="s">
        <v>XS1950819729</v>
        <stp/>
        <stp>##V3_BDPV12</stp>
        <stp>BBG00NDFM319 FIGI</stp>
        <stp>ID_ISIN</stp>
        <stp>[DIF_Risk_20200430.xlsm]Geneva investment position repo!R140C63</stp>
        <tr r="BK140" s="1"/>
      </tp>
      <tp t="s">
        <v>#N/A Field Not Applicable</v>
        <stp/>
        <stp>##V3_BDPV12</stp>
        <stp>BBG00RD4VH41 FIGI</stp>
        <stp>BOND_CLASSIFICATION_NAME</stp>
        <stp>[DIF_Risk_20200430.xlsm]Geneva investment position repo!R106C53</stp>
        <tr r="BA106" s="1"/>
      </tp>
      <tp t="s">
        <v>XS1964673435</v>
        <stp/>
        <stp>##V3_BDPV12</stp>
        <stp>BBG00NL43H88 FIGI</stp>
        <stp>ID_ISIN</stp>
        <stp>[DIF_Risk_20200430.xlsm]Geneva investment position repo!R121C63</stp>
        <tr r="BK121" s="1"/>
      </tp>
      <tp t="s">
        <v>XS2155352664</v>
        <stp/>
        <stp>##V3_BDPV12</stp>
        <stp>BBG00T21B8F5 FIGI</stp>
        <stp>ID_ISIN</stp>
        <stp>[DIF_Risk_20200430.xlsm]Geneva investment position repo!R133C63</stp>
        <tr r="BK133" s="1"/>
      </tp>
      <tp t="s">
        <v>#N/A Field Not Applicable</v>
        <stp/>
        <stp>##V3_BDPV12</stp>
        <stp>BBG00RD35MV1 FIGI</stp>
        <stp>GICS_SECTOR_NAME</stp>
        <stp>[DIF_Risk_20200430.xlsm]Geneva investment position repo!R118C51</stp>
        <tr r="AY118" s="1"/>
      </tp>
      <tp t="s">
        <v>XS2099677747</v>
        <stp/>
        <stp>##V3_BDPV12</stp>
        <stp>BBG00RB0MG61 FIGI</stp>
        <stp>ID_ISIN</stp>
        <stp>[DIF_Risk_20200430.xlsm]Geneva investment position repo!R100C63</stp>
        <tr r="BK100" s="1"/>
      </tp>
      <tp t="s">
        <v>#N/A Field Not Applicable</v>
        <stp/>
        <stp>##V3_BDPV12</stp>
        <stp>BBG000PXTGY5 FIGI</stp>
        <stp>FITCH_EFF_DT</stp>
        <stp>[DIF_Risk_20200430.xlsm]Geneva investment position repo!R9C73</stp>
        <tr r="BU9" s="1"/>
      </tp>
      <tp t="s">
        <v>B+</v>
        <stp/>
        <stp>##V3_BDPV12</stp>
        <stp>BBG00QQ1W050 FIGI</stp>
        <stp>RTG_SP</stp>
        <stp>[DIF_Risk_20200430.xlsm]Geneva investment position repo!R149C31</stp>
        <tr r="AE149" s="1"/>
        <tr r="AE149" s="1"/>
      </tp>
      <tp>
        <v>300000000</v>
        <stp/>
        <stp>##V3_BDPV12</stp>
        <stp>BBG00TJ8VS75 FIGI</stp>
        <stp>AMT_OUTSTANDING</stp>
        <stp>[DIF_Risk_20200430.xlsm]Geneva investment position repo!R167C29</stp>
        <tr r="AC167" s="1"/>
      </tp>
      <tp t="s">
        <v>#N/A Field Not Applicable</v>
        <stp/>
        <stp>##V3_BDPV12</stp>
        <stp>BBG00LD1QR26 FIGI</stp>
        <stp>BOND_CLASSIFICATION_NAME</stp>
        <stp>[DIF_Risk_20200430.xlsm]Geneva investment position repo!R12C53</stp>
        <tr r="BA12" s="1"/>
      </tp>
      <tp t="s">
        <v>Real Estate Oper/Develop</v>
        <stp/>
        <stp>##V3_BDPV12</stp>
        <stp>BBG00QDN9PZ4 FIGI</stp>
        <stp>INDUSTRY_SUBGROUP</stp>
        <stp>[DIF_Risk_20200430.xlsm]Geneva investment position repo!R138C41</stp>
        <tr r="AO138" s="1"/>
      </tp>
      <tp t="s">
        <v>Real Estate Oper/Develop</v>
        <stp/>
        <stp>##V3_BDPV12</stp>
        <stp>BBG00MTS9QX5 FIGI</stp>
        <stp>INDUSTRY_SUBGROUP</stp>
        <stp>[DIF_Risk_20200430.xlsm]Geneva investment position repo!R157C41</stp>
        <tr r="AO157" s="1"/>
      </tp>
      <tp t="s">
        <v>CMHI 4 3/8 08/06/23</v>
        <stp/>
        <stp>##V3_BDPV12</stp>
        <stp>BBG00LJTWWM9 FIGI</stp>
        <stp>SECURITY_NAME</stp>
        <stp>[DIF_Risk_20200430.xlsm]SFC Report!R134C8</stp>
        <tr r="H134" s="6"/>
      </tp>
      <tp t="s">
        <v>Real Estate Oper/Develop</v>
        <stp/>
        <stp>##V3_BDPV12</stp>
        <stp>BBG00N0J9QB8 FIGI</stp>
        <stp>INDUSTRY_SUBGROUP</stp>
        <stp>[DIF_Risk_20200430.xlsm]Geneva investment position repo!R132C41</stp>
        <tr r="AO132" s="1"/>
      </tp>
      <tp t="s">
        <v>1/13/2020</v>
        <stp/>
        <stp>##V3_BDPV12</stp>
        <stp>BBG00RD35MV1 FIGI</stp>
        <stp>SP_EFF_DT</stp>
        <stp>[DIF_Risk_20200430.xlsm]Geneva investment position repo!R118C71</stp>
        <tr r="BS118" s="1"/>
      </tp>
      <tp t="s">
        <v>#N/A Field Not Applicable</v>
        <stp/>
        <stp>##V3_BDPV12</stp>
        <stp>BBG00SBW5S62 FIGI</stp>
        <stp>GICS_SECTOR_NAME</stp>
        <stp>[DIF_Risk_20200430.xlsm]Geneva investment position repo!R88C51</stp>
        <tr r="AY88" s="1"/>
      </tp>
      <tp t="s">
        <v>#N/A Field Not Applicable</v>
        <stp/>
        <stp>##V3_BDPV12</stp>
        <stp>BBG00RRMFK74 FIGI</stp>
        <stp>CAPITAL_TYP_COCO_INITIAL_TRIGGER</stp>
        <stp>[DIF_Risk_20200430.xlsm]Geneva investment position repo!R41C43</stp>
        <tr r="AQ41" s="1"/>
      </tp>
      <tp t="s">
        <v>UTILITY - ELEC</v>
        <stp/>
        <stp>##V3_BDPV12</stp>
        <stp>BBG00PSJD0B5 FIGI</stp>
        <stp>ISSUER_INDUSTRY</stp>
        <stp>[DIF_Risk_20200430.xlsm]Geneva investment position repo!R81C52</stp>
        <tr r="AZ81" s="1"/>
      </tp>
      <tp t="s">
        <v>Energy</v>
        <stp/>
        <stp>##V3_BDPV12</stp>
        <stp>BBG00PSJD0B5 FIGI</stp>
        <stp>INDUSTRY_SECTOR</stp>
        <stp>[DIF_Risk_20200430.xlsm]Geneva investment position repo!R81C39</stp>
        <tr r="AM81" s="1"/>
      </tp>
      <tp t="s">
        <v>#N/A Field Not Applicable</v>
        <stp/>
        <stp>##V3_BDPV12</stp>
        <stp>BBG00RPJBQ56 FIGI</stp>
        <stp>CAPITAL_TYP_COCO_INITIAL_TRIGGER</stp>
        <stp>[DIF_Risk_20200430.xlsm]Geneva investment position repo!R27C43</stp>
        <tr r="AQ27" s="1"/>
      </tp>
      <tp t="s">
        <v>Financial</v>
        <stp/>
        <stp>##V3_BDPV12</stp>
        <stp>BBG00PSJ40G0 FIGI</stp>
        <stp>INDUSTRY_SECTOR</stp>
        <stp>[DIF_Risk_20200430.xlsm]Geneva investment position repo!R97C39</stp>
        <tr r="AM97" s="1"/>
      </tp>
      <tp t="s">
        <v>FINANCIAL</v>
        <stp/>
        <stp>##V3_BDPV12</stp>
        <stp>BBG00PSJ40G0 FIGI</stp>
        <stp>ISSUER_INDUSTRY</stp>
        <stp>[DIF_Risk_20200430.xlsm]Geneva investment position repo!R97C52</stp>
        <tr r="AZ97" s="1"/>
      </tp>
      <tp t="s">
        <v>Building-Heavy Construct</v>
        <stp/>
        <stp>##V3_BDPV12</stp>
        <stp>BBG00NV899R9 FIGI</stp>
        <stp>INDUSTRY_SUBGROUP</stp>
        <stp>[DIF_Risk_20200430.xlsm]Geneva investment position repo!R168C41</stp>
        <tr r="AO168" s="1"/>
      </tp>
      <tp t="s">
        <v>Utilities</v>
        <stp/>
        <stp>##V3_BDPV12</stp>
        <stp>BBG000BDV566 FIGI</stp>
        <stp>GICS_SECTOR_NAME</stp>
        <stp>[DIF_Risk_20200430.xlsm]Geneva investment position repo!R13C51</stp>
        <tr r="AY13" s="1"/>
      </tp>
      <tp t="s">
        <v>Commer Banks Non-US</v>
        <stp/>
        <stp>##V3_BDPV12</stp>
        <stp>BBG000DVPPK1 FIGI</stp>
        <stp>ISSUER_INDUSTRY</stp>
        <stp>[DIF_Risk_20200430.xlsm]Geneva investment position repo!R10C52</stp>
        <tr r="AZ10" s="1"/>
      </tp>
      <tp t="s">
        <v>Financial</v>
        <stp/>
        <stp>##V3_BDPV12</stp>
        <stp>BBG000DVPPK1 FIGI</stp>
        <stp>INDUSTRY_SECTOR</stp>
        <stp>[DIF_Risk_20200430.xlsm]Geneva investment position repo!R10C39</stp>
        <tr r="AM10" s="1"/>
      </tp>
      <tp t="s">
        <v>Real Estate Oper/Develop</v>
        <stp/>
        <stp>##V3_BDPV12</stp>
        <stp>BBG00LSR9049 FIGI</stp>
        <stp>INDUSTRY_SUBGROUP</stp>
        <stp>[DIF_Risk_20200430.xlsm]Geneva investment position repo!R108C41</stp>
        <tr r="AO108" s="1"/>
      </tp>
      <tp t="s">
        <v>Energy</v>
        <stp/>
        <stp>##V3_BDPV12</stp>
        <stp>BBG00PV1L0V9 FIGI</stp>
        <stp>INDUSTRY_SECTOR</stp>
        <stp>[DIF_Risk_20200430.xlsm]Geneva investment position repo!R86C39</stp>
        <tr r="AM86" s="1"/>
      </tp>
      <tp t="s">
        <v>INDUSTRIAL</v>
        <stp/>
        <stp>##V3_BDPV12</stp>
        <stp>BBG00PV1L0V9 FIGI</stp>
        <stp>ISSUER_INDUSTRY</stp>
        <stp>[DIF_Risk_20200430.xlsm]Geneva investment position repo!R86C52</stp>
        <tr r="AZ86" s="1"/>
      </tp>
      <tp t="s">
        <v>FINANCIAL</v>
        <stp/>
        <stp>##V3_BDPV12</stp>
        <stp>BBG00KNCMN62 FIGI</stp>
        <stp>ISSUER_INDUSTRY</stp>
        <stp>[DIF_Risk_20200430.xlsm]Geneva investment position repo!R102C52</stp>
        <tr r="AZ102" s="1"/>
      </tp>
      <tp t="s">
        <v>#N/A Field Not Applicable</v>
        <stp/>
        <stp>##V3_BDPV12</stp>
        <stp>BBG00T21B8F5 FIGI</stp>
        <stp>BOND_CLASSIFICATION_NAME</stp>
        <stp>[DIF_Risk_20200430.xlsm]Geneva investment position repo!R133C53</stp>
        <tr r="BA133" s="1"/>
      </tp>
      <tp t="s">
        <v>#N/A Field Not Applicable</v>
        <stp/>
        <stp>##V3_BDPV12</stp>
        <stp>BBG00NB0B2N4 FIGI</stp>
        <stp>BOND_CLASSIFICATION_NAME</stp>
        <stp>[DIF_Risk_20200430.xlsm]Geneva investment position repo!R150C53</stp>
        <tr r="BA150" s="1"/>
      </tp>
      <tp t="s">
        <v>FINANCIAL</v>
        <stp/>
        <stp>##V3_BDPV12</stp>
        <stp>BBG00T2MWMJ1 FIGI</stp>
        <stp>ISSUER_INDUSTRY</stp>
        <stp>[DIF_Risk_20200430.xlsm]Geneva investment position repo!R128C52</stp>
        <tr r="AZ128" s="1"/>
      </tp>
      <tp t="s">
        <v>#N/A Field Not Applicable</v>
        <stp/>
        <stp>##V3_BDPV12</stp>
        <stp>BBG00N14RT60 FIGI</stp>
        <stp>BOND_CLASSIFICATION_NAME</stp>
        <stp>[DIF_Risk_20200430.xlsm]Geneva investment position repo!R153C53</stp>
        <tr r="BA153" s="1"/>
      </tp>
      <tp t="s">
        <v>Banks</v>
        <stp/>
        <stp>##V3_BDPV12</stp>
        <stp>BBG00CP5W6B3 FIGI</stp>
        <stp>INDUSTRY_GROUP</stp>
        <stp>[DIF_Risk_20200430.xlsm]Geneva investment position repo!R107C40</stp>
        <tr r="AN107" s="1"/>
      </tp>
      <tp t="s">
        <v>#N/A Field Not Applicable</v>
        <stp/>
        <stp>##V3_BDPV12</stp>
        <stp>BBG00N14WRV0 FIGI</stp>
        <stp>BOND_CLASSIFICATION_NAME</stp>
        <stp>[DIF_Risk_20200430.xlsm]Geneva investment position repo!R142C53</stp>
        <tr r="BA142" s="1"/>
      </tp>
      <tp t="s">
        <v>ACTV</v>
        <stp/>
        <stp>##V3_BDPV12</stp>
        <stp>BBG00LLV9WW6 FIGI</stp>
        <stp>EXCH_MARKET_STATUS</stp>
        <stp>[DIF_Risk_20200430.xlsm]Geneva investment position repo!R21C44</stp>
        <tr r="AR21" s="1"/>
        <tr r="AR21" s="1"/>
      </tp>
      <tp t="s">
        <v>#N/A Field Not Applicable</v>
        <stp/>
        <stp>##V3_BDPV12</stp>
        <stp>BBG00NV899R9 FIGI</stp>
        <stp>GICS_SECTOR_NAME</stp>
        <stp>[DIF_Risk_20200430.xlsm]Geneva investment position repo!R168C51</stp>
        <tr r="AY168" s="1"/>
      </tp>
      <tp t="s">
        <v>Financial</v>
        <stp/>
        <stp>##V3_BDPV12</stp>
        <stp>BBG00K67R1J1 FIGI</stp>
        <stp>INDUSTRY_SECTOR</stp>
        <stp>[DIF_Risk_20200430.xlsm]Geneva investment position repo!R171C39</stp>
        <tr r="AM171" s="1"/>
      </tp>
      <tp t="s">
        <v>ACTV</v>
        <stp/>
        <stp>##V3_BDPV12</stp>
        <stp>BBG00PDL9DC2 FIGI</stp>
        <stp>EXCH_MARKET_STATUS</stp>
        <stp>[DIF_Risk_20200430.xlsm]Geneva investment position repo!R92C44</stp>
        <tr r="AR92" s="1"/>
        <tr r="AR92" s="1"/>
      </tp>
      <tp t="s">
        <v>ACTV</v>
        <stp/>
        <stp>##V3_BDPV12</stp>
        <stp>BBG00PDL9DV1 FIGI</stp>
        <stp>EXCH_MARKET_STATUS</stp>
        <stp>[DIF_Risk_20200430.xlsm]Geneva investment position repo!R53C44</stp>
        <tr r="AR53" s="1"/>
        <tr r="AR53" s="1"/>
      </tp>
      <tp t="s">
        <v>Real Estate</v>
        <stp/>
        <stp>##V3_BDPV12</stp>
        <stp>BBG00NB7K829 FIGI</stp>
        <stp>INDUSTRY_GROUP</stp>
        <stp>[DIF_Risk_20200430.xlsm]Geneva investment position repo!R162C40</stp>
        <tr r="AN162" s="1"/>
      </tp>
      <tp t="s">
        <v>#N/A N/A</v>
        <stp/>
        <stp>##V3_BDPV12</stp>
        <stp>BBG00LNF6KZ5 FIGI</stp>
        <stp>SP_EFF_DT</stp>
        <stp>[DIF_Risk_20200430.xlsm]Geneva investment position repo!R144C71</stp>
        <tr r="BS144" s="1"/>
      </tp>
      <tp t="s">
        <v>#N/A Field Not Applicable</v>
        <stp/>
        <stp>##V3_BDPV12</stp>
        <stp>BBG00226B1T3 FIGI</stp>
        <stp>CAPITAL_TYP_COCO_INITIAL_TRIGGER</stp>
        <stp>[DIF_Risk_20200430.xlsm]Geneva investment position repo!R16C43</stp>
        <tr r="AQ16" s="1"/>
      </tp>
      <tp t="s">
        <v>Financial</v>
        <stp/>
        <stp>##V3_BDPV12</stp>
        <stp>BBG00SYNG075 FIGI</stp>
        <stp>INDUSTRY_SECTOR</stp>
        <stp>[DIF_Risk_20200430.xlsm]Geneva investment position repo!R40C39</stp>
        <tr r="AM40" s="1"/>
      </tp>
      <tp t="s">
        <v>FINANCIAL</v>
        <stp/>
        <stp>##V3_BDPV12</stp>
        <stp>BBG00SYNG075 FIGI</stp>
        <stp>ISSUER_INDUSTRY</stp>
        <stp>[DIF_Risk_20200430.xlsm]Geneva investment position repo!R40C52</stp>
        <tr r="AZ40" s="1"/>
      </tp>
      <tp t="s">
        <v>#N/A Field Not Applicable</v>
        <stp/>
        <stp>##V3_BDPV12</stp>
        <stp>BBG000P9D267 FIGI</stp>
        <stp>CAPITAL_TYP_COCO_INITIAL_TRIGGER</stp>
        <stp>[DIF_Risk_20200430.xlsm]Geneva investment position repo!R20C43</stp>
        <tr r="AQ20" s="1"/>
      </tp>
      <tp t="s">
        <v>Consumer Discretionary</v>
        <stp/>
        <stp>##V3_BDPV12</stp>
        <stp>BBG00JCQ6Y42 FIGI</stp>
        <stp>GICS_SECTOR_NAME</stp>
        <stp>[DIF_Risk_20200430.xlsm]Geneva investment position repo!R33C51</stp>
        <tr r="AY33" s="1"/>
      </tp>
      <tp t="s">
        <v>#N/A Field Not Applicable</v>
        <stp/>
        <stp>##V3_BDPV12</stp>
        <stp>BBG00NGWHP25 FIGI</stp>
        <stp>BOND_CLASSIFICATION_NAME</stp>
        <stp>[DIF_Risk_20200430.xlsm]Geneva investment position repo!R29C53</stp>
        <tr r="BA29" s="1"/>
      </tp>
      <tp t="s">
        <v>Energy</v>
        <stp/>
        <stp>##V3_BDPV12</stp>
        <stp>BBG00QN3F2R0 FIGI</stp>
        <stp>INDUSTRY_SECTOR</stp>
        <stp>[DIF_Risk_20200430.xlsm]Geneva investment position repo!R28C39</stp>
        <tr r="AM28" s="1"/>
      </tp>
      <tp t="s">
        <v>INDUSTRIAL</v>
        <stp/>
        <stp>##V3_BDPV12</stp>
        <stp>BBG00QN3F2R0 FIGI</stp>
        <stp>ISSUER_INDUSTRY</stp>
        <stp>[DIF_Risk_20200430.xlsm]Geneva investment position repo!R28C52</stp>
        <tr r="AZ28" s="1"/>
      </tp>
      <tp t="s">
        <v>HK</v>
        <stp/>
        <stp>##V3_BDPV12</stp>
        <stp>HKD Curncy</stp>
        <stp>Country</stp>
        <stp>[DIF_Risk_20200430.xlsm]Geneva investment position repo!R190C38</stp>
        <tr r="AL190" s="1"/>
      </tp>
      <tp t="s">
        <v>HK</v>
        <stp/>
        <stp>##V3_BDPV12</stp>
        <stp>HKD Curncy</stp>
        <stp>Country</stp>
        <stp>[DIF_Risk_20200430.xlsm]Geneva investment position repo!R192C38</stp>
        <tr r="AL192" s="1"/>
      </tp>
      <tp t="s">
        <v>HK</v>
        <stp/>
        <stp>##V3_BDPV12</stp>
        <stp>HKD Curncy</stp>
        <stp>Country</stp>
        <stp>[DIF_Risk_20200430.xlsm]Geneva investment position repo!R194C38</stp>
        <tr r="AL194" s="1"/>
      </tp>
      <tp t="s">
        <v>HK</v>
        <stp/>
        <stp>##V3_BDPV12</stp>
        <stp>HKD Curncy</stp>
        <stp>Country</stp>
        <stp>[DIF_Risk_20200430.xlsm]Geneva investment position repo!R183C38</stp>
        <tr r="AL183" s="1"/>
      </tp>
      <tp t="s">
        <v>HK</v>
        <stp/>
        <stp>##V3_BDPV12</stp>
        <stp>HKD Curncy</stp>
        <stp>Country</stp>
        <stp>[DIF_Risk_20200430.xlsm]Geneva investment position repo!R185C38</stp>
        <tr r="AL185" s="1"/>
      </tp>
      <tp t="s">
        <v>HK</v>
        <stp/>
        <stp>##V3_BDPV12</stp>
        <stp>HKD Curncy</stp>
        <stp>Country</stp>
        <stp>[DIF_Risk_20200430.xlsm]Geneva investment position repo!R186C38</stp>
        <tr r="AL186" s="1"/>
      </tp>
      <tp t="s">
        <v>HK</v>
        <stp/>
        <stp>##V3_BDPV12</stp>
        <stp>HKD Curncy</stp>
        <stp>Country</stp>
        <stp>[DIF_Risk_20200430.xlsm]Geneva investment position repo!R187C38</stp>
        <tr r="AL187" s="1"/>
      </tp>
      <tp t="s">
        <v>HK</v>
        <stp/>
        <stp>##V3_BDPV12</stp>
        <stp>HKD Curncy</stp>
        <stp>Country</stp>
        <stp>[DIF_Risk_20200430.xlsm]Geneva investment position repo!R188C38</stp>
        <tr r="AL188" s="1"/>
      </tp>
      <tp t="s">
        <v>#N/A Field Not Applicable</v>
        <stp/>
        <stp>##V3_BDPV12</stp>
        <stp>BBG00N6M20C8 FIGI</stp>
        <stp>BOND_CLASSIFICATION_NAME</stp>
        <stp>[DIF_Risk_20200430.xlsm]Geneva investment position repo!R79C53</stp>
        <tr r="BA79" s="1"/>
      </tp>
      <tp t="s">
        <v>Financials</v>
        <stp/>
        <stp>##V3_BDPV12</stp>
        <stp>BBG000BGW354 FIGI</stp>
        <stp>GICS_SECTOR_NAME</stp>
        <stp>[DIF_Risk_20200430.xlsm]Geneva investment position repo!R17C51</stp>
        <tr r="AY17" s="1"/>
      </tp>
      <tp t="s">
        <v>US</v>
        <stp/>
        <stp>##V3_BDPV12</stp>
        <stp>USD Curncy</stp>
        <stp>Country</stp>
        <stp>[DIF_Risk_20200430.xlsm]Geneva investment position repo!R191C38</stp>
        <tr r="AL191" s="1"/>
      </tp>
      <tp t="s">
        <v>US</v>
        <stp/>
        <stp>##V3_BDPV12</stp>
        <stp>USD Curncy</stp>
        <stp>Country</stp>
        <stp>[DIF_Risk_20200430.xlsm]Geneva investment position repo!R193C38</stp>
        <tr r="AL193" s="1"/>
      </tp>
      <tp t="s">
        <v>US</v>
        <stp/>
        <stp>##V3_BDPV12</stp>
        <stp>USD Curncy</stp>
        <stp>Country</stp>
        <stp>[DIF_Risk_20200430.xlsm]Geneva investment position repo!R182C38</stp>
        <tr r="AL182" s="1"/>
      </tp>
      <tp t="s">
        <v>US</v>
        <stp/>
        <stp>##V3_BDPV12</stp>
        <stp>USD Curncy</stp>
        <stp>Country</stp>
        <stp>[DIF_Risk_20200430.xlsm]Geneva investment position repo!R184C38</stp>
        <tr r="AL184" s="1"/>
      </tp>
      <tp t="s">
        <v>US</v>
        <stp/>
        <stp>##V3_BDPV12</stp>
        <stp>USD Curncy</stp>
        <stp>Country</stp>
        <stp>[DIF_Risk_20200430.xlsm]Geneva investment position repo!R189C38</stp>
        <tr r="AL189" s="1"/>
      </tp>
      <tp t="s">
        <v>#N/A Field Not Applicable</v>
        <stp/>
        <stp>##V3_BDPV12</stp>
        <stp>BBG00N2K8LG0 FIGI</stp>
        <stp>BOND_CLASSIFICATION_NAME</stp>
        <stp>[DIF_Risk_20200430.xlsm]Geneva investment position repo!R43C53</stp>
        <tr r="BA43" s="1"/>
      </tp>
      <tp t="s">
        <v>#N/A Field Not Applicable</v>
        <stp/>
        <stp>##V3_BDPV12</stp>
        <stp>BBG00NB7HXS0 FIGI</stp>
        <stp>BOND_CLASSIFICATION_NAME</stp>
        <stp>[DIF_Risk_20200430.xlsm]Geneva investment position repo!R143C53</stp>
        <tr r="BA143" s="1"/>
      </tp>
      <tp t="s">
        <v>Real Estate</v>
        <stp/>
        <stp>##V3_BDPV12</stp>
        <stp>BBG00QQ1W050 FIGI</stp>
        <stp>GICS_SECTOR_NAME</stp>
        <stp>[DIF_Risk_20200430.xlsm]Geneva investment position repo!R149C51</stp>
        <tr r="AY149" s="1"/>
      </tp>
      <tp t="s">
        <v>#N/A Field Not Applicable</v>
        <stp/>
        <stp>##V3_BDPV12</stp>
        <stp>BBG00PK1ZYS6 FIGI</stp>
        <stp>BOND_CLASSIFICATION_NAME</stp>
        <stp>[DIF_Risk_20200430.xlsm]Geneva investment position repo!R146C53</stp>
        <tr r="BA146" s="1"/>
      </tp>
      <tp t="s">
        <v>SPECIAL PURPOSE</v>
        <stp/>
        <stp>##V3_BDPV12</stp>
        <stp>BBG00S6SWBM6 FIGI</stp>
        <stp>ISSUER_INDUSTRY</stp>
        <stp>[DIF_Risk_20200430.xlsm]Geneva investment position repo!R158C52</stp>
        <tr r="AZ158" s="1"/>
      </tp>
      <tp t="s">
        <v>Real Estate</v>
        <stp/>
        <stp>##V3_BDPV12</stp>
        <stp>BBG00GDDS1Y1 FIGI</stp>
        <stp>INDUSTRY_GROUP</stp>
        <stp>[DIF_Risk_20200430.xlsm]Geneva investment position repo!R109C40</stp>
        <tr r="AN109" s="1"/>
      </tp>
      <tp t="s">
        <v>Real Estate</v>
        <stp/>
        <stp>##V3_BDPV12</stp>
        <stp>BBG00NG9L0S8 FIGI</stp>
        <stp>GICS_SECTOR_NAME</stp>
        <stp>[DIF_Risk_20200430.xlsm]Geneva investment position repo!R134C51</stp>
        <tr r="AY134" s="1"/>
      </tp>
      <tp t="s">
        <v>Real Estate</v>
        <stp/>
        <stp>##V3_BDPV12</stp>
        <stp>BBG00RB0MG61 FIGI</stp>
        <stp>GICS_SECTOR_NAME</stp>
        <stp>[DIF_Risk_20200430.xlsm]Geneva investment position repo!R100C51</stp>
        <tr r="AY100" s="1"/>
      </tp>
      <tp t="s">
        <v>Information Technology</v>
        <stp/>
        <stp>##V3_BDPV12</stp>
        <stp>BBG00NV0G541 FIGI</stp>
        <stp>GICS_SECTOR_NAME</stp>
        <stp>[DIF_Risk_20200430.xlsm]Geneva investment position repo!R165C51</stp>
        <tr r="AY165" s="1"/>
      </tp>
      <tp t="s">
        <v>Internet</v>
        <stp/>
        <stp>##V3_BDPV12</stp>
        <stp>BBG00QV37ZP9 FIGI</stp>
        <stp>INDUSTRY_GROUP</stp>
        <stp>[DIF_Risk_20200430.xlsm]Geneva investment position repo!R7C40</stp>
        <tr r="AN7" s="1"/>
      </tp>
      <tp t="s">
        <v>A-</v>
        <stp/>
        <stp>##V3_BDPV12</stp>
        <stp>BBG00T5WB7F6 FIGI</stp>
        <stp>RTG_SP</stp>
        <stp>[DIF_Risk_20200430.xlsm]Geneva investment position repo!R123C31</stp>
        <tr r="AE123" s="1"/>
        <tr r="AE123" s="1"/>
      </tp>
      <tp t="s">
        <v>Financial</v>
        <stp/>
        <stp>##V3_BDPV12</stp>
        <stp>BBG00TJ8VS75 FIGI</stp>
        <stp>INDUSTRY_SECTOR</stp>
        <stp>[DIF_Risk_20200430.xlsm]Geneva investment position repo!R167C39</stp>
        <tr r="AM167" s="1"/>
      </tp>
      <tp t="s">
        <v>ACTV</v>
        <stp/>
        <stp>##V3_BDPV12</stp>
        <stp>BBG00N2K8LG0 FIGI</stp>
        <stp>EXCH_MARKET_STATUS</stp>
        <stp>[DIF_Risk_20200430.xlsm]Geneva investment position repo!R43C44</stp>
        <tr r="AR43" s="1"/>
        <tr r="AR43" s="1"/>
      </tp>
      <tp t="s">
        <v>#N/A Field Not Applicable</v>
        <stp/>
        <stp>##V3_BDPV12</stp>
        <stp>BBG00PF578H3 FIGI</stp>
        <stp>BOND_CLASSIFICATION_NAME</stp>
        <stp>[DIF_Risk_20200430.xlsm]Geneva investment position repo!R181C53</stp>
        <tr r="BA181" s="1"/>
      </tp>
      <tp t="s">
        <v>ACTV</v>
        <stp/>
        <stp>##V3_BDPV12</stp>
        <stp>BBG00KDP8LC7 FIGI</stp>
        <stp>EXCH_MARKET_STATUS</stp>
        <stp>[DIF_Risk_20200430.xlsm]Geneva investment position repo!R49C44</stp>
        <tr r="AR49" s="1"/>
        <tr r="AR49" s="1"/>
      </tp>
      <tp t="s">
        <v>Communication Services</v>
        <stp/>
        <stp>##V3_BDPV12</stp>
        <stp>BBG00LD1QR26 FIGI</stp>
        <stp>GICS_SECTOR_NAME</stp>
        <stp>[DIF_Risk_20200430.xlsm]Geneva investment position repo!R12C51</stp>
        <tr r="AY12" s="1"/>
      </tp>
      <tp t="s">
        <v>XS2159975700</v>
        <stp/>
        <stp>##V3_BDPV12</stp>
        <stp>BBG00T6LY8D4 FIGI</stp>
        <stp>ID_ISIN</stp>
        <stp>[DIF_Risk_20200430.xlsm]Geneva investment position repo!R94C63</stp>
        <tr r="BK94" s="1"/>
      </tp>
      <tp t="s">
        <v>Financial</v>
        <stp/>
        <stp>##V3_BDPV12</stp>
        <stp>BBG00PGHK257 FIGI</stp>
        <stp>INDUSTRY_SECTOR</stp>
        <stp>[DIF_Risk_20200430.xlsm]Geneva investment position repo!R87C39</stp>
        <tr r="AM87" s="1"/>
      </tp>
      <tp t="s">
        <v>JINKE 8 3/8 06/20/21</v>
        <stp/>
        <stp>##V3_BDPV12</stp>
        <stp>BBG00PDL9DC2 FIGI</stp>
        <stp>SECURITY_NAME</stp>
        <stp>[DIF_Risk_20200430.xlsm]SFC Report!R176C8</stp>
        <tr r="H176" s="6"/>
      </tp>
      <tp t="s">
        <v>FINANCIAL</v>
        <stp/>
        <stp>##V3_BDPV12</stp>
        <stp>BBG00PGHK257 FIGI</stp>
        <stp>ISSUER_INDUSTRY</stp>
        <stp>[DIF_Risk_20200430.xlsm]Geneva investment position repo!R87C52</stp>
        <tr r="AZ87" s="1"/>
      </tp>
      <tp t="s">
        <v>Consumer, Cyclical</v>
        <stp/>
        <stp>##V3_BDPV12</stp>
        <stp>BBG00T8646V2 FIGI</stp>
        <stp>INDUSTRY_SECTOR</stp>
        <stp>[DIF_Risk_20200430.xlsm]Geneva investment position repo!R71C39</stp>
        <tr r="AM71" s="1"/>
      </tp>
      <tp t="s">
        <v>INDUSTRIAL</v>
        <stp/>
        <stp>##V3_BDPV12</stp>
        <stp>BBG00T8646V2 FIGI</stp>
        <stp>ISSUER_INDUSTRY</stp>
        <stp>[DIF_Risk_20200430.xlsm]Geneva investment position repo!R71C52</stp>
        <tr r="AZ71" s="1"/>
      </tp>
      <tp t="s">
        <v>#N/A Field Not Applicable</v>
        <stp/>
        <stp>##V3_BDPV12</stp>
        <stp>BBG00PQ3QH67 FIGI</stp>
        <stp>CAPITAL_TYP_COCO_INITIAL_TRIGGER</stp>
        <stp>[DIF_Risk_20200430.xlsm]Geneva investment position repo!R73C43</stp>
        <tr r="AQ73" s="1"/>
      </tp>
      <tp t="s">
        <v>8/28/2019</v>
        <stp/>
        <stp>##V3_BDPV12</stp>
        <stp>BBG00NDM7WZ0 FIGI</stp>
        <stp>SP_EFF_DT</stp>
        <stp>[DIF_Risk_20200430.xlsm]Geneva investment position repo!R103C71</stp>
        <tr r="BS103" s="1"/>
      </tp>
      <tp t="s">
        <v>Utilities</v>
        <stp/>
        <stp>##V3_BDPV12</stp>
        <stp>BBG005Q0XWK0 FIGI</stp>
        <stp>INDUSTRY_SECTOR</stp>
        <stp>[DIF_Risk_20200430.xlsm]Geneva investment position repo!R15C39</stp>
        <tr r="AM15" s="1"/>
      </tp>
      <tp t="s">
        <v>Electric-Distribution</v>
        <stp/>
        <stp>##V3_BDPV12</stp>
        <stp>BBG005Q0XWK0 FIGI</stp>
        <stp>ISSUER_INDUSTRY</stp>
        <stp>[DIF_Risk_20200430.xlsm]Geneva investment position repo!R15C52</stp>
        <tr r="AZ15" s="1"/>
      </tp>
      <tp t="s">
        <v>Funds</v>
        <stp/>
        <stp>##V3_BDPV12</stp>
        <stp>BBG000P9FRH8 FIGI</stp>
        <stp>INDUSTRY_SECTOR</stp>
        <stp>[DIF_Risk_20200430.xlsm]Geneva investment position repo!R19C39</stp>
        <tr r="AM19" s="1"/>
      </tp>
      <tp t="s">
        <v>#N/A Field Not Applicable</v>
        <stp/>
        <stp>##V3_BDPV12</stp>
        <stp>BBG00SBW5S62 FIGI</stp>
        <stp>BOND_CLASSIFICATION_NAME</stp>
        <stp>[DIF_Risk_20200430.xlsm]Geneva investment position repo!R88C53</stp>
        <tr r="BA88" s="1"/>
      </tp>
      <tp t="s">
        <v>Country Fund-China</v>
        <stp/>
        <stp>##V3_BDPV12</stp>
        <stp>BBG000P9FRH8 FIGI</stp>
        <stp>ISSUER_INDUSTRY</stp>
        <stp>[DIF_Risk_20200430.xlsm]Geneva investment position repo!R19C52</stp>
        <tr r="AZ19" s="1"/>
      </tp>
      <tp t="s">
        <v>#N/A N/A</v>
        <stp/>
        <stp>##V3_BDPV12</stp>
        <stp>BBG00PF578H3 FIGI</stp>
        <stp>SP_EFF_DT</stp>
        <stp>[DIF_Risk_20200430.xlsm]Geneva investment position repo!R181C71</stp>
        <tr r="BS181" s="1"/>
      </tp>
      <tp t="s">
        <v>#N/A Field Not Applicable</v>
        <stp/>
        <stp>##V3_BDPV12</stp>
        <stp>BBG000BDV566 FIGI</stp>
        <stp>BOND_CLASSIFICATION_NAME</stp>
        <stp>[DIF_Risk_20200430.xlsm]Geneva investment position repo!R13C53</stp>
        <tr r="BA13" s="1"/>
      </tp>
      <tp t="s">
        <v>US09681MAM01</v>
        <stp/>
        <stp>##V3_BDPV12</stp>
        <stp>BBG00TDCM8F7 FIGI</stp>
        <stp>ID_ISIN</stp>
        <stp>[DIF_Risk_20200430.xlsm]Geneva investment position repo!R38C63</stp>
        <tr r="BK38" s="1"/>
      </tp>
      <tp t="s">
        <v>ACTV</v>
        <stp/>
        <stp>##V3_BDPV12</stp>
        <stp>BBG00NV886P8 FIGI</stp>
        <stp>EXCH_MARKET_STATUS</stp>
        <stp>[DIF_Risk_20200430.xlsm]Geneva investment position repo!R72C44</stp>
        <tr r="AR72" s="1"/>
        <tr r="AR72" s="1"/>
      </tp>
      <tp t="s">
        <v>XS2008157856</v>
        <stp/>
        <stp>##V3_BDPV12</stp>
        <stp>BBG00PDYXN26 FIGI</stp>
        <stp>ID_ISIN</stp>
        <stp>[DIF_Risk_20200430.xlsm]Geneva investment position repo!R156C63</stp>
        <tr r="BK156" s="1"/>
      </tp>
      <tp t="s">
        <v>Financial</v>
        <stp/>
        <stp>##V3_BDPV12</stp>
        <stp>BBG00KMQKL04 FIGI</stp>
        <stp>INDUSTRY_SECTOR</stp>
        <stp>[DIF_Risk_20200430.xlsm]Geneva investment position repo!R169C39</stp>
        <tr r="AM169" s="1"/>
      </tp>
      <tp t="s">
        <v>Engineering&amp;Construction</v>
        <stp/>
        <stp>##V3_BDPV12</stp>
        <stp>BBG00NV899R9 FIGI</stp>
        <stp>INDUSTRY_GROUP</stp>
        <stp>[DIF_Risk_20200430.xlsm]Geneva investment position repo!R168C40</stp>
        <tr r="AN168" s="1"/>
      </tp>
      <tp t="s">
        <v>Real Estate</v>
        <stp/>
        <stp>##V3_BDPV12</stp>
        <stp>BBG00NG9J699 FIGI</stp>
        <stp>GICS_SECTOR_NAME</stp>
        <stp>[DIF_Risk_20200430.xlsm]Geneva investment position repo!R139C51</stp>
        <tr r="AY139" s="1"/>
      </tp>
      <tp t="s">
        <v>FINANCIAL</v>
        <stp/>
        <stp>##V3_BDPV12</stp>
        <stp>BBG00KMRGS75 FIGI</stp>
        <stp>ISSUER_INDUSTRY</stp>
        <stp>[DIF_Risk_20200430.xlsm]Geneva investment position repo!R152C52</stp>
        <tr r="AZ152" s="1"/>
      </tp>
      <tp t="s">
        <v>Technology</v>
        <stp/>
        <stp>##V3_BDPV12</stp>
        <stp>BBG00PKGTF65 FIGI</stp>
        <stp>INDUSTRY_SECTOR</stp>
        <stp>[DIF_Risk_20200430.xlsm]Geneva investment position repo!R164C39</stp>
        <tr r="AM164" s="1"/>
      </tp>
      <tp t="s">
        <v>#N/A Field Not Applicable</v>
        <stp/>
        <stp>##V3_BDPV12</stp>
        <stp>BBG00K67R1J1 FIGI</stp>
        <stp>BOND_CLASSIFICATION_NAME</stp>
        <stp>[DIF_Risk_20200430.xlsm]Geneva investment position repo!R171C53</stp>
        <tr r="BA171" s="1"/>
      </tp>
      <tp t="s">
        <v>Financial</v>
        <stp/>
        <stp>##V3_BDPV12</stp>
        <stp>BBG00P7N38J5 FIGI</stp>
        <stp>INDUSTRY_SECTOR</stp>
        <stp>[DIF_Risk_20200430.xlsm]Geneva investment position repo!R175C39</stp>
        <tr r="AM175" s="1"/>
      </tp>
      <tp t="s">
        <v>Financial</v>
        <stp/>
        <stp>##V3_BDPV12</stp>
        <stp>BBG00PKD4F69 FIGI</stp>
        <stp>INDUSTRY_SECTOR</stp>
        <stp>[DIF_Risk_20200430.xlsm]Geneva investment position repo!R145C39</stp>
        <tr r="AM145" s="1"/>
      </tp>
      <tp t="s">
        <v>#N/A Field Not Applicable</v>
        <stp/>
        <stp>##V3_BDPV12</stp>
        <stp>BBG00CP5W6B3 FIGI</stp>
        <stp>BOND_CLASSIFICATION_NAME</stp>
        <stp>[DIF_Risk_20200430.xlsm]Geneva investment position repo!R107C53</stp>
        <tr r="BA107" s="1"/>
      </tp>
      <tp t="s">
        <v>A-</v>
        <stp/>
        <stp>##V3_BDPV12</stp>
        <stp>BBG00T5WB757 FIGI</stp>
        <stp>RTG_SP</stp>
        <stp>[DIF_Risk_20200430.xlsm]Geneva investment position repo!R124C31</stp>
        <tr r="AE124" s="1"/>
        <tr r="AE124" s="1"/>
      </tp>
      <tp t="s">
        <v>Financial</v>
        <stp/>
        <stp>##V3_BDPV12</stp>
        <stp>BBG00RB30509 FIGI</stp>
        <stp>INDUSTRY_SECTOR</stp>
        <stp>[DIF_Risk_20200430.xlsm]Geneva investment position repo!R159C39</stp>
        <tr r="AM159" s="1"/>
      </tp>
      <tp t="s">
        <v>AA-</v>
        <stp/>
        <stp>##V3_BDPV12</stp>
        <stp>BBG00T21B8F5 FIGI</stp>
        <stp>RTG_SP</stp>
        <stp>[DIF_Risk_20200430.xlsm]Geneva investment position repo!R133C31</stp>
        <tr r="AE133" s="1"/>
        <tr r="AE133" s="1"/>
      </tp>
      <tp t="s">
        <v>BBB</v>
        <stp/>
        <stp>##V3_BDPV12</stp>
        <stp>BBG00TFTG847 FIGI</stp>
        <stp>RTG_SP</stp>
        <stp>[DIF_Risk_20200430.xlsm]Geneva investment position repo!R117C31</stp>
        <tr r="AE117" s="1"/>
        <tr r="AE117" s="1"/>
      </tp>
      <tp t="s">
        <v>Real Estate</v>
        <stp/>
        <stp>##V3_BDPV12</stp>
        <stp>BBG00NG9J699 FIGI</stp>
        <stp>INDUSTRY_GROUP</stp>
        <stp>[DIF_Risk_20200430.xlsm]Geneva investment position repo!R139C40</stp>
        <tr r="AN139" s="1"/>
      </tp>
      <tp t="s">
        <v>#N/A Field Not Applicable</v>
        <stp/>
        <stp>##V3_BDPV12</stp>
        <stp>BBG00RH7GJ34 FIGI</stp>
        <stp>BOND_CLASSIFICATION_NAME</stp>
        <stp>[DIF_Risk_20200430.xlsm]Geneva investment position repo!R67C53</stp>
        <tr r="BA67" s="1"/>
      </tp>
      <tp t="s">
        <v>#N/A N/A</v>
        <stp/>
        <stp>##V3_BDPV12</stp>
        <stp>BBG00NQF0SC2 FIGI</stp>
        <stp>RTG_MOODY</stp>
        <stp>[DIF_Risk_20200430.xlsm]Geneva investment position repo!R160C32</stp>
        <tr r="AF160" s="1"/>
      </tp>
      <tp t="s">
        <v>JINKE 8 3/8 06/20/21</v>
        <stp/>
        <stp>##V3_BDPV12</stp>
        <stp>BBG00PDL9DC2 FIGI</stp>
        <stp>SECURITY_NAME</stp>
        <stp>[DIF_Risk_20200430.xlsm]SFC Report!R119C8</stp>
        <tr r="H119" s="6"/>
      </tp>
      <tp t="s">
        <v>Commer Banks Non-US</v>
        <stp/>
        <stp>##V3_BDPV12</stp>
        <stp>BBG00PKD4F69 FIGI</stp>
        <stp>INDUSTRY_SUBGROUP</stp>
        <stp>[DIF_Risk_20200430.xlsm]Geneva investment position repo!R145C41</stp>
        <tr r="AO145" s="1"/>
      </tp>
      <tp t="s">
        <v>#N/A Field Not Applicable</v>
        <stp/>
        <stp>##V3_BDPV12</stp>
        <stp>BBG00T8645P1 FIGI</stp>
        <stp>CAPITAL_TYP_COCO_INITIAL_TRIGGER</stp>
        <stp>[DIF_Risk_20200430.xlsm]Geneva investment position repo!R70C43</stp>
        <tr r="AQ70" s="1"/>
      </tp>
      <tp t="s">
        <v>#N/A Field Not Applicable</v>
        <stp/>
        <stp>##V3_BDPV12</stp>
        <stp>BBG00FP0FP88 FIGI</stp>
        <stp>CAPITAL_TYP_COCO_INITIAL_TRIGGER</stp>
        <stp>[DIF_Risk_20200430.xlsm]Geneva investment position repo!R96C43</stp>
        <tr r="AQ96" s="1"/>
      </tp>
      <tp t="s">
        <v>US172967MQ12</v>
        <stp/>
        <stp>##V3_BDPV12</stp>
        <stp>BBG00SYNG075 FIGI</stp>
        <stp>ID_ISIN</stp>
        <stp>[DIF_Risk_20200430.xlsm]Geneva investment position repo!R40C63</stp>
        <tr r="BK40" s="1"/>
      </tp>
      <tp t="s">
        <v>#N/A Field Not Applicable</v>
        <stp/>
        <stp>##V3_BDPV12</stp>
        <stp>BBG00L07ZBX8 FIGI</stp>
        <stp>CAPITAL_TYP_COCO_INITIAL_TRIGGER</stp>
        <stp>[DIF_Risk_20200430.xlsm]Geneva investment position repo!R66C43</stp>
        <tr r="AQ66" s="1"/>
      </tp>
      <tp t="s">
        <v>1/21/2020</v>
        <stp/>
        <stp>##V3_BDPV12</stp>
        <stp>BBG00Q2B8JR6 FIGI</stp>
        <stp>SP_EFF_DT</stp>
        <stp>[DIF_Risk_20200430.xlsm]Geneva investment position repo!R170C71</stp>
        <tr r="BS170" s="1"/>
      </tp>
      <tp t="s">
        <v>Real Estate</v>
        <stp/>
        <stp>##V3_BDPV12</stp>
        <stp>BBG00QNT5B76 FIGI</stp>
        <stp>GICS_SECTOR_NAME</stp>
        <stp>[DIF_Risk_20200430.xlsm]Geneva investment position repo!R30C51</stp>
        <tr r="AY30" s="1"/>
      </tp>
      <tp t="s">
        <v>USY70902AB04</v>
        <stp/>
        <stp>##V3_BDPV12</stp>
        <stp>BBG00QN3F2R0 FIGI</stp>
        <stp>ID_ISIN</stp>
        <stp>[DIF_Risk_20200430.xlsm]Geneva investment position repo!R28C63</stp>
        <tr r="BK28" s="1"/>
      </tp>
      <tp t="s">
        <v>BBG000BDWNL9</v>
        <stp/>
        <stp>##V3_BDPV12</stp>
        <stp>6 HK Equity</stp>
        <stp>ID_BB_GLOBAL</stp>
        <stp>[DIF_Risk_20200430.xlsm]Geneva investment position repo!R24C18</stp>
        <tr r="R24" s="1"/>
      </tp>
      <tp t="s">
        <v>Real Estate Oper/Develop</v>
        <stp/>
        <stp>##V3_BDPV12</stp>
        <stp>BBG00MNS44N6 FIGI</stp>
        <stp>INDUSTRY_SUBGROUP</stp>
        <stp>[DIF_Risk_20200430.xlsm]Geneva investment position repo!R129C41</stp>
        <tr r="AO129" s="1"/>
      </tp>
      <tp t="s">
        <v>#N/A N/A</v>
        <stp/>
        <stp>##V3_BDPV12</stp>
        <stp>BBG00RB30509 FIGI</stp>
        <stp>RTG_MOODY</stp>
        <stp>[DIF_Risk_20200430.xlsm]Geneva investment position repo!R159C32</stp>
        <tr r="AF159" s="1"/>
      </tp>
      <tp t="s">
        <v>Financial</v>
        <stp/>
        <stp>##V3_BDPV12</stp>
        <stp>BBG00TFTG847 FIGI</stp>
        <stp>INDUSTRY_SECTOR</stp>
        <stp>[DIF_Risk_20200430.xlsm]Geneva investment position repo!R117C39</stp>
        <tr r="AM117" s="1"/>
      </tp>
      <tp t="s">
        <v>ACTV</v>
        <stp/>
        <stp>##V3_BDPV12</stp>
        <stp>BBG00K7D75S0 FIGI</stp>
        <stp>EXCH_MARKET_STATUS</stp>
        <stp>[DIF_Risk_20200430.xlsm]Geneva investment position repo!R75C44</stp>
        <tr r="AR75" s="1"/>
        <tr r="AR75" s="1"/>
      </tp>
      <tp t="s">
        <v>FINANCIAL</v>
        <stp/>
        <stp>##V3_BDPV12</stp>
        <stp>BBG00NDFM319 FIGI</stp>
        <stp>ISSUER_INDUSTRY</stp>
        <stp>[DIF_Risk_20200430.xlsm]Geneva investment position repo!R140C52</stp>
        <tr r="AZ140" s="1"/>
      </tp>
      <tp t="s">
        <v>Financial</v>
        <stp/>
        <stp>##V3_BDPV12</stp>
        <stp>BBG00R9SLKK9 FIGI</stp>
        <stp>INDUSTRY_SECTOR</stp>
        <stp>[DIF_Risk_20200430.xlsm]Geneva investment position repo!R148C39</stp>
        <tr r="AM148" s="1"/>
      </tp>
      <tp t="s">
        <v>Financial</v>
        <stp/>
        <stp>##V3_BDPV12</stp>
        <stp>BBG00N0J9QB8 FIGI</stp>
        <stp>INDUSTRY_SECTOR</stp>
        <stp>[DIF_Risk_20200430.xlsm]Geneva investment position repo!R132C39</stp>
        <tr r="AM132" s="1"/>
      </tp>
      <tp t="s">
        <v>Financial</v>
        <stp/>
        <stp>##V3_BDPV12</stp>
        <stp>BBG00H4BZMF0 FIGI</stp>
        <stp>INDUSTRY_SECTOR</stp>
        <stp>[DIF_Risk_20200430.xlsm]Geneva investment position repo!R130C39</stp>
        <tr r="AM130" s="1"/>
      </tp>
      <tp t="s">
        <v>Consumer, Cyclical</v>
        <stp/>
        <stp>##V3_BDPV12</stp>
        <stp>BBG00P1GZFC2 FIGI</stp>
        <stp>INDUSTRY_SECTOR</stp>
        <stp>[DIF_Risk_20200430.xlsm]Geneva investment position repo!R112C39</stp>
        <tr r="AM112" s="1"/>
      </tp>
      <tp t="s">
        <v>ACTV</v>
        <stp/>
        <stp>##V3_BDPV12</stp>
        <stp>BBG00JCQ6Y42 FIGI</stp>
        <stp>EXCH_MARKET_STATUS</stp>
        <stp>[DIF_Risk_20200430.xlsm]Geneva investment position repo!R33C44</stp>
        <tr r="AR33" s="1"/>
        <tr r="AR33" s="1"/>
      </tp>
      <tp t="s">
        <v>GOVT NATIONAL</v>
        <stp/>
        <stp>##V3_BDPV12</stp>
        <stp>BBG00T21B8F5 FIGI</stp>
        <stp>ISSUER_INDUSTRY</stp>
        <stp>[DIF_Risk_20200430.xlsm]Geneva investment position repo!R133C52</stp>
        <tr r="AZ133" s="1"/>
      </tp>
      <tp t="s">
        <v>FINANCIAL</v>
        <stp/>
        <stp>##V3_BDPV12</stp>
        <stp>BBG00RB0MG61 FIGI</stp>
        <stp>ISSUER_INDUSTRY</stp>
        <stp>[DIF_Risk_20200430.xlsm]Geneva investment position repo!R100C52</stp>
        <tr r="AZ100" s="1"/>
      </tp>
      <tp t="s">
        <v>FINANCIAL</v>
        <stp/>
        <stp>##V3_BDPV12</stp>
        <stp>BBG00NL43H88 FIGI</stp>
        <stp>ISSUER_INDUSTRY</stp>
        <stp>[DIF_Risk_20200430.xlsm]Geneva investment position repo!R121C52</stp>
        <tr r="AZ121" s="1"/>
      </tp>
      <tp t="s">
        <v>Common Stock</v>
        <stp/>
        <stp>##V3_BDPV12</stp>
        <stp>BBG000QWR4M8 FIGI</stp>
        <stp>SECURITY_TYP2</stp>
        <stp>[DIF_Risk_20200430.xlsm]Geneva investment position repo!R8C21</stp>
        <tr r="U8" s="1"/>
      </tp>
      <tp t="s">
        <v>B1</v>
        <stp/>
        <stp>##V3_BDPV12</stp>
        <stp>BBG00L1B1VB5 FIGI</stp>
        <stp>RTG_MOODY</stp>
        <stp>[DIF_Risk_20200430.xlsm]Geneva investment position repo!R163C32</stp>
        <tr r="AF163" s="1"/>
        <tr r="AF163" s="1"/>
      </tp>
      <tp t="s">
        <v>9/25/2019</v>
        <stp/>
        <stp>##V3_BDPV12</stp>
        <stp>BBG00QDN9PZ4 FIGI</stp>
        <stp>SP_EFF_DT</stp>
        <stp>[DIF_Risk_20200430.xlsm]Geneva investment position repo!R138C71</stp>
        <tr r="BS138" s="1"/>
      </tp>
      <tp t="s">
        <v>XS1813551584</v>
        <stp/>
        <stp>##V3_BDPV12</stp>
        <stp>BBG00PGHK257 FIGI</stp>
        <stp>ID_ISIN</stp>
        <stp>[DIF_Risk_20200430.xlsm]Geneva investment position repo!R87C63</stp>
        <tr r="BK87" s="1"/>
      </tp>
      <tp t="s">
        <v>Government</v>
        <stp/>
        <stp>##V3_BDPV12</stp>
        <stp>BBG00T6LY8D4 FIGI</stp>
        <stp>INDUSTRY_SECTOR</stp>
        <stp>[DIF_Risk_20200430.xlsm]Geneva investment position repo!R94C39</stp>
        <tr r="AM94" s="1"/>
      </tp>
      <tp t="s">
        <v>GOVT NATIONAL</v>
        <stp/>
        <stp>##V3_BDPV12</stp>
        <stp>BBG00T6LY8D4 FIGI</stp>
        <stp>ISSUER_INDUSTRY</stp>
        <stp>[DIF_Risk_20200430.xlsm]Geneva investment position repo!R94C52</stp>
        <tr r="AZ94" s="1"/>
      </tp>
      <tp t="s">
        <v>BEICAP 2.8 03/18/23</v>
        <stp/>
        <stp>##V3_BDPV12</stp>
        <stp>BBG00S9HKR72 FIGI</stp>
        <stp>SECURITY_NAME</stp>
        <stp>[DIF_Risk_20200430.xlsm]SFC Report!R181C8</stp>
        <tr r="H181" s="6"/>
      </tp>
      <tp t="s">
        <v>B3</v>
        <stp/>
        <stp>##V3_BDPV12</stp>
        <stp>BBG00F2W1SP3 FIGI</stp>
        <stp>RTG_MOODY</stp>
        <stp>[DIF_Risk_20200430.xlsm]Geneva investment position repo!R105C32</stp>
        <tr r="AF105" s="1"/>
        <tr r="AF105" s="1"/>
      </tp>
      <tp t="s">
        <v>#N/A N/A</v>
        <stp/>
        <stp>##V3_BDPV12</stp>
        <stp>BBG00MTS9QX5 FIGI</stp>
        <stp>SP_EFF_DT</stp>
        <stp>[DIF_Risk_20200430.xlsm]Geneva investment position repo!R157C71</stp>
        <tr r="BS157" s="1"/>
      </tp>
      <tp t="s">
        <v>US345370CW84</v>
        <stp/>
        <stp>##V3_BDPV12</stp>
        <stp>BBG00T8646V2 FIGI</stp>
        <stp>ID_ISIN</stp>
        <stp>[DIF_Risk_20200430.xlsm]Geneva investment position repo!R71C63</stp>
        <tr r="BK71" s="1"/>
      </tp>
      <tp t="s">
        <v>Life/Health Insurance</v>
        <stp/>
        <stp>##V3_BDPV12</stp>
        <stp>BBG00RD35MV1 FIGI</stp>
        <stp>INDUSTRY_SUBGROUP</stp>
        <stp>[DIF_Risk_20200430.xlsm]Geneva investment position repo!R118C41</stp>
        <tr r="AO118" s="1"/>
      </tp>
      <tp t="s">
        <v>1/7/2019</v>
        <stp/>
        <stp>##V3_BDPV12</stp>
        <stp>BBG00N0J9QB8 FIGI</stp>
        <stp>SP_EFF_DT</stp>
        <stp>[DIF_Risk_20200430.xlsm]Geneva investment position repo!R132C71</stp>
        <tr r="BS132" s="1"/>
      </tp>
      <tp t="s">
        <v>HK2823028546</v>
        <stp/>
        <stp>##V3_BDPV12</stp>
        <stp>BBG000P9FRH8 FIGI</stp>
        <stp>ID_ISIN</stp>
        <stp>[DIF_Risk_20200430.xlsm]Geneva investment position repo!R19C63</stp>
        <tr r="BK19" s="1"/>
      </tp>
      <tp t="s">
        <v>HK0000179108</v>
        <stp/>
        <stp>##V3_BDPV12</stp>
        <stp>BBG005Q0XWK0 FIGI</stp>
        <stp>ID_ISIN</stp>
        <stp>[DIF_Risk_20200430.xlsm]Geneva investment position repo!R15C63</stp>
        <tr r="BK15" s="1"/>
      </tp>
      <tp t="s">
        <v>#N/A N/A</v>
        <stp/>
        <stp>##V3_BDPV12</stp>
        <stp>BBG00NV899R9 FIGI</stp>
        <stp>SP_EFF_DT</stp>
        <stp>[DIF_Risk_20200430.xlsm]Geneva investment position repo!R168C71</stp>
        <tr r="BS168" s="1"/>
      </tp>
      <tp t="s">
        <v>4/7/2020</v>
        <stp/>
        <stp>##V3_BDPV12</stp>
        <stp>BBG00LSR9049 FIGI</stp>
        <stp>SP_EFF_DT</stp>
        <stp>[DIF_Risk_20200430.xlsm]Geneva investment position repo!R108C71</stp>
        <tr r="BS108" s="1"/>
      </tp>
      <tp t="s">
        <v>Financial</v>
        <stp/>
        <stp>##V3_BDPV12</stp>
        <stp>BBG00TDCM8F7 FIGI</stp>
        <stp>INDUSTRY_SECTOR</stp>
        <stp>[DIF_Risk_20200430.xlsm]Geneva investment position repo!R38C39</stp>
        <tr r="AM38" s="1"/>
      </tp>
      <tp t="s">
        <v>FINANCIAL</v>
        <stp/>
        <stp>##V3_BDPV12</stp>
        <stp>BBG00TDCM8F7 FIGI</stp>
        <stp>ISSUER_INDUSTRY</stp>
        <stp>[DIF_Risk_20200430.xlsm]Geneva investment position repo!R38C52</stp>
        <tr r="AZ38" s="1"/>
      </tp>
      <tp t="s">
        <v>Energy</v>
        <stp/>
        <stp>##V3_BDPV12</stp>
        <stp>BBG00T5WB7F6 FIGI</stp>
        <stp>INDUSTRY_SECTOR</stp>
        <stp>[DIF_Risk_20200430.xlsm]Geneva investment position repo!R123C39</stp>
        <tr r="AM123" s="1"/>
      </tp>
      <tp t="s">
        <v>Real Estate</v>
        <stp/>
        <stp>##V3_BDPV12</stp>
        <stp>BBG00MNS44N6 FIGI</stp>
        <stp>INDUSTRY_GROUP</stp>
        <stp>[DIF_Risk_20200430.xlsm]Geneva investment position repo!R129C40</stp>
        <tr r="AN129" s="1"/>
      </tp>
      <tp t="s">
        <v>Insurance</v>
        <stp/>
        <stp>##V3_BDPV12</stp>
        <stp>BBG00NGF27D6 FIGI</stp>
        <stp>INDUSTRY_GROUP</stp>
        <stp>[DIF_Risk_20200430.xlsm]Geneva investment position repo!R114C40</stp>
        <tr r="AN114" s="1"/>
      </tp>
      <tp t="s">
        <v>Real Estate</v>
        <stp/>
        <stp>##V3_BDPV12</stp>
        <stp>BBG00NB7K829 FIGI</stp>
        <stp>GICS_SECTOR_NAME</stp>
        <stp>[DIF_Risk_20200430.xlsm]Geneva investment position repo!R162C51</stp>
        <tr r="AY162" s="1"/>
      </tp>
      <tp t="s">
        <v>US74435KAA34</v>
        <stp/>
        <stp>##V3_BDPV12</stp>
        <stp>BBG00T2MWMJ1 FIGI</stp>
        <stp>ID_ISIN</stp>
        <stp>[DIF_Risk_20200430.xlsm]Geneva investment position repo!R128C63</stp>
        <tr r="BK128" s="1"/>
      </tp>
      <tp t="s">
        <v>Financial</v>
        <stp/>
        <stp>##V3_BDPV12</stp>
        <stp>BBG00L1B1VB5 FIGI</stp>
        <stp>INDUSTRY_SECTOR</stp>
        <stp>[DIF_Risk_20200430.xlsm]Geneva investment position repo!R163C39</stp>
        <tr r="AM163" s="1"/>
      </tp>
      <tp t="s">
        <v>ACTV</v>
        <stp/>
        <stp>##V3_BDPV12</stp>
        <stp>BBG000Q16VR4 FIGI</stp>
        <stp>EXCH_MARKET_STATUS</stp>
        <stp>[DIF_Risk_20200430.xlsm]Geneva investment position repo!R18C44</stp>
        <tr r="AR18" s="1"/>
        <tr r="AR18" s="1"/>
      </tp>
      <tp t="s">
        <v>XS1808311424</v>
        <stp/>
        <stp>##V3_BDPV12</stp>
        <stp>BBG00KNCMN62 FIGI</stp>
        <stp>ID_ISIN</stp>
        <stp>[DIF_Risk_20200430.xlsm]Geneva investment position repo!R102C63</stp>
        <tr r="BK102" s="1"/>
      </tp>
      <tp t="s">
        <v>ACTV</v>
        <stp/>
        <stp>##V3_BDPV12</stp>
        <stp>BBG00RB35JZ6 FIGI</stp>
        <stp>EXCH_MARKET_STATUS</stp>
        <stp>[DIF_Risk_20200430.xlsm]Geneva investment position repo!R48C44</stp>
        <tr r="AR48" s="1"/>
        <tr r="AR48" s="1"/>
      </tp>
      <tp t="s">
        <v>Financial</v>
        <stp/>
        <stp>##V3_BDPV12</stp>
        <stp>BBG00RD4VH41 FIGI</stp>
        <stp>INDUSTRY_SECTOR</stp>
        <stp>[DIF_Risk_20200430.xlsm]Geneva investment position repo!R106C39</stp>
        <tr r="AM106" s="1"/>
      </tp>
      <tp t="s">
        <v>ACTV</v>
        <stp/>
        <stp>##V3_BDPV12</stp>
        <stp>BBG00RYF5CJ7 FIGI</stp>
        <stp>EXCH_MARKET_STATUS</stp>
        <stp>[DIF_Risk_20200430.xlsm]Geneva investment position repo!R35C44</stp>
        <tr r="AR35" s="1"/>
        <tr r="AR35" s="1"/>
      </tp>
      <tp t="s">
        <v>ACTV</v>
        <stp/>
        <stp>##V3_BDPV12</stp>
        <stp>BBG00QNT5B76 FIGI</stp>
        <stp>EXCH_MARKET_STATUS</stp>
        <stp>[DIF_Risk_20200430.xlsm]Geneva investment position repo!R30C44</stp>
        <tr r="AR30" s="1"/>
        <tr r="AR30" s="1"/>
      </tp>
      <tp t="s">
        <v>Financial</v>
        <stp/>
        <stp>##V3_BDPV12</stp>
        <stp>BBG00NB7K829 FIGI</stp>
        <stp>INDUSTRY_SECTOR</stp>
        <stp>[DIF_Risk_20200430.xlsm]Geneva investment position repo!R162C39</stp>
        <tr r="AM162" s="1"/>
      </tp>
      <tp t="s">
        <v>Real Estate</v>
        <stp/>
        <stp>##V3_BDPV12</stp>
        <stp>BBG00K67R1J1 FIGI</stp>
        <stp>INDUSTRY_GROUP</stp>
        <stp>[DIF_Risk_20200430.xlsm]Geneva investment position repo!R171C40</stp>
        <tr r="AN171" s="1"/>
      </tp>
      <tp t="s">
        <v>ACTV</v>
        <stp/>
        <stp>##V3_BDPV12</stp>
        <stp>BBG00DVX5HS1 FIGI</stp>
        <stp>EXCH_MARKET_STATUS</stp>
        <stp>[DIF_Risk_20200430.xlsm]Geneva investment position repo!R44C44</stp>
        <tr r="AR44" s="1"/>
        <tr r="AR44" s="1"/>
      </tp>
      <tp t="s">
        <v>ACTV</v>
        <stp/>
        <stp>##V3_BDPV12</stp>
        <stp>BBG00SBW5S62 FIGI</stp>
        <stp>EXCH_MARKET_STATUS</stp>
        <stp>[DIF_Risk_20200430.xlsm]Geneva investment position repo!R88C44</stp>
        <tr r="AR88" s="1"/>
        <tr r="AR88" s="1"/>
      </tp>
      <tp t="s">
        <v>ACTV</v>
        <stp/>
        <stp>##V3_BDPV12</stp>
        <stp>BBG00RCY5V08 FIGI</stp>
        <stp>EXCH_MARKET_STATUS</stp>
        <stp>[DIF_Risk_20200430.xlsm]Geneva investment position repo!R39C44</stp>
        <tr r="AR39" s="1"/>
        <tr r="AR39" s="1"/>
      </tp>
      <tp t="s">
        <v>Commer Banks Non-US</v>
        <stp/>
        <stp>##V3_BDPV12</stp>
        <stp>BBG00LNF6KZ5 FIGI</stp>
        <stp>INDUSTRY_SUBGROUP</stp>
        <stp>[DIF_Risk_20200430.xlsm]Geneva investment position repo!R144C41</stp>
        <tr r="AO144" s="1"/>
      </tp>
      <tp t="s">
        <v>#N/A Field Not Applicable</v>
        <stp/>
        <stp>##V3_BDPV12</stp>
        <stp>BBG00RH7GJ34 FIGI</stp>
        <stp>GICS_SECTOR_NAME</stp>
        <stp>[DIF_Risk_20200430.xlsm]Geneva investment position repo!R67C51</stp>
        <tr r="AY67" s="1"/>
      </tp>
      <tp t="s">
        <v>CINDBK 4 5/8 02/28/29</v>
        <stp/>
        <stp>##V3_BDPV12</stp>
        <stp>BBG00NDMRLH2 FIGI</stp>
        <stp>SECURITY_NAME</stp>
        <stp>[DIF_Risk_20200430.xlsm]SFC Report!R180C8</stp>
        <tr r="H180" s="6"/>
      </tp>
      <tp t="s">
        <v>HK</v>
        <stp/>
        <stp>##V3_BDPV12</stp>
        <stp>BBG000GD4N44 FIGI</stp>
        <stp>CNTRY_ISSUE_ISO</stp>
        <stp>[DIF_Risk_20200430.xlsm]Geneva investment position repo!R23C38</stp>
        <tr r="AL23" s="1"/>
      </tp>
      <tp t="s">
        <v>US345370CV02</v>
        <stp/>
        <stp>##V3_BDPV12</stp>
        <stp>BBG00T8645P1 FIGI</stp>
        <stp>ID_ISIN</stp>
        <stp>[DIF_Risk_20200430.xlsm]Geneva investment position repo!R70C63</stp>
        <tr r="BK70" s="1"/>
      </tp>
      <tp t="s">
        <v>A3</v>
        <stp/>
        <stp>##V3_BDPV12</stp>
        <stp>BBG00NGF27D6 FIGI</stp>
        <stp>RTG_MOODY</stp>
        <stp>[DIF_Risk_20200430.xlsm]Geneva investment position repo!R114C32</stp>
        <tr r="AF114" s="1"/>
        <tr r="AF114" s="1"/>
      </tp>
      <tp t="s">
        <v>#N/A Field Not Applicable</v>
        <stp/>
        <stp>##V3_BDPV12</stp>
        <stp>BBG00QNT5B76 FIGI</stp>
        <stp>BOND_CLASSIFICATION_NAME</stp>
        <stp>[DIF_Risk_20200430.xlsm]Geneva investment position repo!R30C53</stp>
        <tr r="BA30" s="1"/>
      </tp>
      <tp t="s">
        <v>HK</v>
        <stp/>
        <stp>##V3_BDPV12</stp>
        <stp>BBG000BDWNL9 FIGI</stp>
        <stp>CNTRY_ISSUE_ISO</stp>
        <stp>[DIF_Risk_20200430.xlsm]Geneva investment position repo!R24C38</stp>
        <tr r="AL24" s="1"/>
      </tp>
      <tp t="s">
        <v>#N/A Field Not Applicable</v>
        <stp/>
        <stp>##V3_BDPV12</stp>
        <stp>BBG00M0MD1Z7 FIGI</stp>
        <stp>CAPITAL_TYP_COCO_INITIAL_TRIGGER</stp>
        <stp>[DIF_Risk_20200430.xlsm]Geneva investment position repo!R55C43</stp>
        <tr r="AQ55" s="1"/>
      </tp>
      <tp t="s">
        <v>XS2020061326</v>
        <stp/>
        <stp>##V3_BDPV12</stp>
        <stp>BBG00PMFP1T5 FIGI</stp>
        <stp>ID_ISIN</stp>
        <stp>[DIF_Risk_20200430.xlsm]Geneva investment position repo!R52C63</stp>
        <tr r="BK52" s="1"/>
      </tp>
      <tp t="s">
        <v>XS2099372802</v>
        <stp/>
        <stp>##V3_BDPV12</stp>
        <stp>BBG00RDBJ3B2 FIGI</stp>
        <stp>ID_ISIN</stp>
        <stp>[DIF_Risk_20200430.xlsm]Geneva investment position repo!R34C63</stp>
        <tr r="BK34" s="1"/>
      </tp>
      <tp t="s">
        <v>HK</v>
        <stp/>
        <stp>##V3_BDPV12</stp>
        <stp>BBG000BZWNT2 FIGI</stp>
        <stp>CNTRY_ISSUE_ISO</stp>
        <stp>[DIF_Risk_20200430.xlsm]Geneva investment position repo!R11C38</stp>
        <tr r="AL11" s="1"/>
      </tp>
      <tp t="s">
        <v>ACTV</v>
        <stp/>
        <stp>##V3_BDPV12</stp>
        <stp>BBG00MSJ57C5 FIGI</stp>
        <stp>EXCH_MARKET_STATUS</stp>
        <stp>[DIF_Risk_20200430.xlsm]Geneva investment position repo!R74C44</stp>
        <tr r="AR74" s="1"/>
        <tr r="AR74" s="1"/>
      </tp>
      <tp t="s">
        <v>XS2133059480</v>
        <stp/>
        <stp>##V3_BDPV12</stp>
        <stp>BBG00S6SWBM6 FIGI</stp>
        <stp>ID_ISIN</stp>
        <stp>[DIF_Risk_20200430.xlsm]Geneva investment position repo!R158C63</stp>
        <tr r="BK158" s="1"/>
      </tp>
      <tp t="s">
        <v>#N/A Field Not Applicable</v>
        <stp/>
        <stp>##V3_BDPV12</stp>
        <stp>BBG00TJ8VS75 FIGI</stp>
        <stp>GICS_SECTOR_NAME</stp>
        <stp>[DIF_Risk_20200430.xlsm]Geneva investment position repo!R167C51</stp>
        <tr r="AY167" s="1"/>
      </tp>
      <tp t="s">
        <v>ACTV</v>
        <stp/>
        <stp>##V3_BDPV12</stp>
        <stp>BBG00GQ752P3 FIGI</stp>
        <stp>EXCH_MARKET_STATUS</stp>
        <stp>[DIF_Risk_20200430.xlsm]Geneva investment position repo!R99C44</stp>
        <tr r="AR99" s="1"/>
        <tr r="AR99" s="1"/>
      </tp>
      <tp t="s">
        <v>#N/A Field Not Applicable</v>
        <stp/>
        <stp>##V3_BDPV12</stp>
        <stp>BBG00HC2ZDQ9 FIGI</stp>
        <stp>BOND_CLASSIFICATION_NAME</stp>
        <stp>[DIF_Risk_20200430.xlsm]Geneva investment position repo!R151C53</stp>
        <tr r="BA151" s="1"/>
      </tp>
      <tp t="s">
        <v>#N/A Field Not Applicable</v>
        <stp/>
        <stp>##V3_BDPV12</stp>
        <stp>BBG00JC8V4T3 FIGI</stp>
        <stp>BOND_CLASSIFICATION_NAME</stp>
        <stp>[DIF_Risk_20200430.xlsm]Geneva investment position repo!R176C53</stp>
        <tr r="BA176" s="1"/>
      </tp>
      <tp t="s">
        <v>#N/A Field Not Applicable</v>
        <stp/>
        <stp>##V3_BDPV12</stp>
        <stp>BBG00NL43H88 FIGI</stp>
        <stp>GICS_SECTOR_NAME</stp>
        <stp>[DIF_Risk_20200430.xlsm]Geneva investment position repo!R121C51</stp>
        <tr r="AY121" s="1"/>
      </tp>
      <tp t="s">
        <v>Internet</v>
        <stp/>
        <stp>##V3_BDPV12</stp>
        <stp>BBG00NV0G541 FIGI</stp>
        <stp>INDUSTRY_GROUP</stp>
        <stp>[DIF_Risk_20200430.xlsm]Geneva investment position repo!R165C40</stp>
        <tr r="AN165" s="1"/>
      </tp>
      <tp t="s">
        <v>#N/A Field Not Applicable</v>
        <stp/>
        <stp>##V3_BDPV12</stp>
        <stp>BBG00RB30509 FIGI</stp>
        <stp>BOND_CLASSIFICATION_NAME</stp>
        <stp>[DIF_Risk_20200430.xlsm]Geneva investment position repo!R159C53</stp>
        <tr r="BA159" s="1"/>
      </tp>
      <tp t="s">
        <v>B2</v>
        <stp/>
        <stp>##V3_BDPV12</stp>
        <stp>BBG00N9X3LW2 FIGI</stp>
        <stp>RTG_MOODY</stp>
        <stp>[DIF_Risk_20200430.xlsm]Geneva investment position repo!R180C32</stp>
        <tr r="AF180" s="1"/>
        <tr r="AF180" s="1"/>
      </tp>
      <tp t="s">
        <v>Real Estate Oper/Develop</v>
        <stp/>
        <stp>##V3_BDPV12</stp>
        <stp>BBG00NDM7WZ0 FIGI</stp>
        <stp>INDUSTRY_SUBGROUP</stp>
        <stp>[DIF_Risk_20200430.xlsm]Geneva investment position repo!R103C41</stp>
        <tr r="AO103" s="1"/>
      </tp>
      <tp t="s">
        <v>#N/A N/A</v>
        <stp/>
        <stp>##V3_BDPV12</stp>
        <stp>BBG00NL43H88 FIGI</stp>
        <stp>RTG_MOODY</stp>
        <stp>[DIF_Risk_20200430.xlsm]Geneva investment position repo!R121C32</stp>
        <tr r="AF121" s="1"/>
      </tp>
      <tp t="s">
        <v>XS2034561584</v>
        <stp/>
        <stp>##V3_BDPV12</stp>
        <stp>BBG00PSJ40G0 FIGI</stp>
        <stp>ID_ISIN</stp>
        <stp>[DIF_Risk_20200430.xlsm]Geneva investment position repo!R97C63</stp>
        <tr r="BK97" s="1"/>
      </tp>
      <tp t="s">
        <v>#N/A Field Not Applicable</v>
        <stp/>
        <stp>##V3_BDPV12</stp>
        <stp>BBG00RYDWX24 FIGI</stp>
        <stp>CAPITAL_TYP_COCO_INITIAL_TRIGGER</stp>
        <stp>[DIF_Risk_20200430.xlsm]Geneva investment position repo!R85C43</stp>
        <tr r="AQ85" s="1"/>
      </tp>
      <tp t="s">
        <v>USV3855GAA86</v>
        <stp/>
        <stp>##V3_BDPV12</stp>
        <stp>BBG00PSJD0B5 FIGI</stp>
        <stp>ID_ISIN</stp>
        <stp>[DIF_Risk_20200430.xlsm]Geneva investment position repo!R81C63</stp>
        <tr r="BK81" s="1"/>
      </tp>
      <tp t="s">
        <v>Real Estate Oper/Develop</v>
        <stp/>
        <stp>##V3_BDPV12</stp>
        <stp>BBG00PF578H3 FIGI</stp>
        <stp>INDUSTRY_SUBGROUP</stp>
        <stp>[DIF_Risk_20200430.xlsm]Geneva investment position repo!R181C41</stp>
        <tr r="AO181" s="1"/>
      </tp>
      <tp t="s">
        <v>Baa3</v>
        <stp/>
        <stp>##V3_BDPV12</stp>
        <stp>BBG00P7N38J5 FIGI</stp>
        <stp>RTG_MOODY</stp>
        <stp>[DIF_Risk_20200430.xlsm]Geneva investment position repo!R175C32</stp>
        <tr r="AF175" s="1"/>
        <tr r="AF175" s="1"/>
      </tp>
      <tp t="s">
        <v>SUNAC 7 7/8 02/15/22</v>
        <stp/>
        <stp>##V3_BDPV12</stp>
        <stp>BBG00NB0B2N4 FIGI</stp>
        <stp>SECURITY_NAME</stp>
        <stp>[DIF_Risk_20200430.xlsm]SFC Report!R121C1</stp>
        <tr r="A121" s="6"/>
      </tp>
      <tp t="s">
        <v>XS2034868047</v>
        <stp/>
        <stp>##V3_BDPV12</stp>
        <stp>BBG00PV1L0V9 FIGI</stp>
        <stp>ID_ISIN</stp>
        <stp>[DIF_Risk_20200430.xlsm]Geneva investment position repo!R86C63</stp>
        <tr r="BK86" s="1"/>
      </tp>
      <tp t="s">
        <v>CNE1000002M1</v>
        <stp/>
        <stp>##V3_BDPV12</stp>
        <stp>BBG000DVPPK1 FIGI</stp>
        <stp>ID_ISIN</stp>
        <stp>[DIF_Risk_20200430.xlsm]Geneva investment position repo!R10C63</stp>
        <tr r="BK10" s="1"/>
      </tp>
      <tp t="s">
        <v>ACTV</v>
        <stp/>
        <stp>##V3_BDPV12</stp>
        <stp>BBG00MKJ4690 FIGI</stp>
        <stp>EXCH_MARKET_STATUS</stp>
        <stp>[DIF_Risk_20200430.xlsm]Geneva investment position repo!R54C44</stp>
        <tr r="AR54" s="1"/>
        <tr r="AR54" s="1"/>
      </tp>
      <tp t="s">
        <v>ACTV</v>
        <stp/>
        <stp>##V3_BDPV12</stp>
        <stp>BBG000GD4N44 FIGI</stp>
        <stp>EXCH_MARKET_STATUS</stp>
        <stp>[DIF_Risk_20200430.xlsm]Geneva investment position repo!R23C44</stp>
        <tr r="AR23" s="1"/>
        <tr r="AR23" s="1"/>
      </tp>
      <tp t="s">
        <v>ACTV</v>
        <stp/>
        <stp>##V3_BDPV12</stp>
        <stp>BBG00GTY47H0 FIGI</stp>
        <stp>EXCH_MARKET_STATUS</stp>
        <stp>[DIF_Risk_20200430.xlsm]Geneva investment position repo!R26C44</stp>
        <tr r="AR26" s="1"/>
        <tr r="AR26" s="1"/>
      </tp>
      <tp t="s">
        <v>XS1810024338</v>
        <stp/>
        <stp>##V3_BDPV12</stp>
        <stp>BBG00KMRGS75 FIGI</stp>
        <stp>ID_ISIN</stp>
        <stp>[DIF_Risk_20200430.xlsm]Geneva investment position repo!R152C63</stp>
        <tr r="BK152" s="1"/>
      </tp>
      <tp t="s">
        <v>ACTV</v>
        <stp/>
        <stp>##V3_BDPV12</stp>
        <stp>BBG00CNK44T9 FIGI</stp>
        <stp>EXCH_MARKET_STATUS</stp>
        <stp>[DIF_Risk_20200430.xlsm]Geneva investment position repo!R45C44</stp>
        <tr r="AR45" s="1"/>
        <tr r="AR45" s="1"/>
      </tp>
      <tp t="s">
        <v>ACTV</v>
        <stp/>
        <stp>##V3_BDPV12</stp>
        <stp>BBG00T8645P1 FIGI</stp>
        <stp>EXCH_MARKET_STATUS</stp>
        <stp>[DIF_Risk_20200430.xlsm]Geneva investment position repo!R70C44</stp>
        <tr r="AR70" s="1"/>
        <tr r="AR70" s="1"/>
      </tp>
      <tp t="s">
        <v>SPECIAL PURPOSE</v>
        <stp/>
        <stp>##V3_BDPV12</stp>
        <stp>BBG00PDYXN26 FIGI</stp>
        <stp>ISSUER_INDUSTRY</stp>
        <stp>[DIF_Risk_20200430.xlsm]Geneva investment position repo!R156C52</stp>
        <tr r="AZ156" s="1"/>
      </tp>
      <tp t="s">
        <v>ACTV</v>
        <stp/>
        <stp>##V3_BDPV12</stp>
        <stp>BBG00PSJ40G0 FIGI</stp>
        <stp>EXCH_MARKET_STATUS</stp>
        <stp>[DIF_Risk_20200430.xlsm]Geneva investment position repo!R97C44</stp>
        <tr r="AR97" s="1"/>
        <tr r="AR97" s="1"/>
      </tp>
      <tp t="s">
        <v>ACTV</v>
        <stp/>
        <stp>##V3_BDPV12</stp>
        <stp>BBG00T8646V2 FIGI</stp>
        <stp>EXCH_MARKET_STATUS</stp>
        <stp>[DIF_Risk_20200430.xlsm]Geneva investment position repo!R71C44</stp>
        <tr r="AR71" s="1"/>
        <tr r="AR71" s="1"/>
      </tp>
      <tp t="s">
        <v>#N/A N/A</v>
        <stp/>
        <stp>##V3_BDPV12</stp>
        <stp>BBG00P7N38J5 FIGI</stp>
        <stp>RTG_SP</stp>
        <stp>[DIF_Risk_20200430.xlsm]Geneva investment position repo!R175C31</stp>
        <tr r="AE175" s="1"/>
      </tp>
      <tp t="s">
        <v>XS2161921338</v>
        <stp/>
        <stp>##V3_BDPV12</stp>
        <stp>BBG00TJ8VS75 FIGI</stp>
        <stp>ID_ISIN</stp>
        <stp>[DIF_Risk_20200430.xlsm]Geneva investment position repo!R167C63</stp>
        <tr r="BK167" s="1"/>
      </tp>
      <tp t="s">
        <v>ACTV</v>
        <stp/>
        <stp>##V3_BDPV12</stp>
        <stp>BBG00NBG3YQ5 FIGI</stp>
        <stp>EXCH_MARKET_STATUS</stp>
        <stp>[DIF_Risk_20200430.xlsm]Geneva investment position repo!R91C44</stp>
        <tr r="AR91" s="1"/>
        <tr r="AR91" s="1"/>
      </tp>
      <tp t="s">
        <v>Real Estate</v>
        <stp/>
        <stp>##V3_BDPV12</stp>
        <stp>BBG00LSR9049 FIGI</stp>
        <stp>INDUSTRY_GROUP</stp>
        <stp>[DIF_Risk_20200430.xlsm]Geneva investment position repo!R108C40</stp>
        <tr r="AN108" s="1"/>
      </tp>
      <tp t="s">
        <v>ACTV</v>
        <stp/>
        <stp>##V3_BDPV12</stp>
        <stp>BBG000BJ35N5 FIGI</stp>
        <stp>EXCH_MARKET_STATUS</stp>
        <stp>[DIF_Risk_20200430.xlsm]Geneva investment position repo!R25C44</stp>
        <tr r="AR25" s="1"/>
        <tr r="AR25" s="1"/>
      </tp>
      <tp t="s">
        <v>#N/A Field Not Applicable</v>
        <stp/>
        <stp>##V3_BDPV12</stp>
        <stp>BBG00QJ3FR72 FIGI</stp>
        <stp>GICS_SECTOR_NAME</stp>
        <stp>[DIF_Risk_20200430.xlsm]Geneva investment position repo!R37C51</stp>
        <tr r="AY37" s="1"/>
      </tp>
      <tp t="s">
        <v>Tencent Holdings Ltd</v>
        <stp/>
        <stp>##V3_BDPV12</stp>
        <stp>BBG000BJ35N5 FIGI</stp>
        <stp>SECURITY_NAME</stp>
        <stp>[DIF_Risk_20200430.xlsm]SFC Report!R176C1</stp>
        <tr r="A176" s="6"/>
      </tp>
      <tp t="s">
        <v>#N/A N/A</v>
        <stp/>
        <stp>##V3_BDPV12</stp>
        <stp>BBG00PKD4F69 FIGI</stp>
        <stp>RTG_MOODY</stp>
        <stp>[DIF_Risk_20200430.xlsm]Geneva investment position repo!R145C32</stp>
        <tr r="AF145" s="1"/>
      </tp>
      <tp t="s">
        <v>Real Estate Oper/Develop</v>
        <stp/>
        <stp>##V3_BDPV12</stp>
        <stp>BBG00NQF0SC2 FIGI</stp>
        <stp>INDUSTRY_SUBGROUP</stp>
        <stp>[DIF_Risk_20200430.xlsm]Geneva investment position repo!R160C41</stp>
        <tr r="AO160" s="1"/>
      </tp>
      <tp t="s">
        <v>Real Estate Oper/Develop</v>
        <stp/>
        <stp>##V3_BDPV12</stp>
        <stp>BBG00RB30509 FIGI</stp>
        <stp>INDUSTRY_SUBGROUP</stp>
        <stp>[DIF_Risk_20200430.xlsm]Geneva investment position repo!R159C41</stp>
        <tr r="AO159" s="1"/>
      </tp>
      <tp t="s">
        <v>Baa1</v>
        <stp/>
        <stp>##V3_BDPV12</stp>
        <stp>BBG00MNS44N6 FIGI</stp>
        <stp>RTG_MOODY</stp>
        <stp>[DIF_Risk_20200430.xlsm]Geneva investment position repo!R129C32</stp>
        <tr r="AF129" s="1"/>
        <tr r="AF129" s="1"/>
      </tp>
      <tp t="s">
        <v>#N/A Field Not Applicable</v>
        <stp/>
        <stp>##V3_BDPV12</stp>
        <stp>BBG00R9SN7F2 FIGI</stp>
        <stp>BOND_CLASSIFICATION_NAME</stp>
        <stp>[DIF_Risk_20200430.xlsm]Geneva investment position repo!R63C53</stp>
        <tr r="BA63" s="1"/>
      </tp>
      <tp t="s">
        <v>BBG000BDV566</v>
        <stp/>
        <stp>##V3_BDPV12</stp>
        <stp>2 HK Equity</stp>
        <stp>ID_BB_GLOBAL</stp>
        <stp>[DIF_Risk_20200430.xlsm]Geneva investment position repo!R13C18</stp>
        <tr r="R13" s="1"/>
      </tp>
      <tp t="s">
        <v>#N/A Field Not Applicable</v>
        <stp/>
        <stp>##V3_BDPV12</stp>
        <stp>BBG00KKDSP44 FIGI</stp>
        <stp>BOND_CLASSIFICATION_NAME</stp>
        <stp>[DIF_Risk_20200430.xlsm]Geneva investment position repo!R56C53</stp>
        <tr r="BA56" s="1"/>
      </tp>
      <tp t="s">
        <v>Real Estate</v>
        <stp/>
        <stp>##V3_BDPV12</stp>
        <stp>BBG00HC2ZDQ9 FIGI</stp>
        <stp>GICS_SECTOR_NAME</stp>
        <stp>[DIF_Risk_20200430.xlsm]Geneva investment position repo!R151C51</stp>
        <tr r="AY151" s="1"/>
      </tp>
      <tp t="s">
        <v>Real Estate</v>
        <stp/>
        <stp>##V3_BDPV12</stp>
        <stp>BBG00NB0B2N4 FIGI</stp>
        <stp>INDUSTRY_GROUP</stp>
        <stp>[DIF_Risk_20200430.xlsm]Geneva investment position repo!R150C40</stp>
        <tr r="AN150" s="1"/>
      </tp>
      <tp t="s">
        <v>XS1809258210</v>
        <stp/>
        <stp>##V3_BDPV12</stp>
        <stp>BBG00KMQKL04 FIGI</stp>
        <stp>ID_ISIN</stp>
        <stp>[DIF_Risk_20200430.xlsm]Geneva investment position repo!R169C63</stp>
        <tr r="BK169" s="1"/>
      </tp>
      <tp t="s">
        <v>#N/A Field Not Applicable</v>
        <stp/>
        <stp>##V3_BDPV12</stp>
        <stp>BBG00JC8V4T3 FIGI</stp>
        <stp>GICS_SECTOR_NAME</stp>
        <stp>[DIF_Risk_20200430.xlsm]Geneva investment position repo!R176C51</stp>
        <tr r="AY176" s="1"/>
      </tp>
      <tp t="s">
        <v>Financial</v>
        <stp/>
        <stp>##V3_BDPV12</stp>
        <stp>BBG00PDYXN26 FIGI</stp>
        <stp>INDUSTRY_SECTOR</stp>
        <stp>[DIF_Risk_20200430.xlsm]Geneva investment position repo!R156C39</stp>
        <tr r="AM156" s="1"/>
      </tp>
      <tp t="s">
        <v>#N/A N/A</v>
        <stp/>
        <stp>##V3_BDPV12</stp>
        <stp>BBG00PF578H3 FIGI</stp>
        <stp>RTG_SP</stp>
        <stp>[DIF_Risk_20200430.xlsm]Geneva investment position repo!R181C31</stp>
        <tr r="AE181" s="1"/>
      </tp>
      <tp t="s">
        <v>XS2010323009</v>
        <stp/>
        <stp>##V3_BDPV12</stp>
        <stp>BBG00PKD4F69 FIGI</stp>
        <stp>ID_ISIN</stp>
        <stp>[DIF_Risk_20200430.xlsm]Geneva investment position repo!R145C63</stp>
        <tr r="BK145" s="1"/>
      </tp>
      <tp t="s">
        <v>XS1831038143</v>
        <stp/>
        <stp>##V3_BDPV12</stp>
        <stp>BBG00P7N38J5 FIGI</stp>
        <stp>ID_ISIN</stp>
        <stp>[DIF_Risk_20200430.xlsm]Geneva investment position repo!R175C63</stp>
        <tr r="BK175" s="1"/>
      </tp>
      <tp t="s">
        <v>#N/A Field Not Applicable</v>
        <stp/>
        <stp>##V3_BDPV12</stp>
        <stp>BBG00TJ8VS75 FIGI</stp>
        <stp>BOND_CLASSIFICATION_NAME</stp>
        <stp>[DIF_Risk_20200430.xlsm]Geneva investment position repo!R167C53</stp>
        <tr r="BA167" s="1"/>
      </tp>
      <tp t="s">
        <v>XS2021226985</v>
        <stp/>
        <stp>##V3_BDPV12</stp>
        <stp>BBG00PKGTF65 FIGI</stp>
        <stp>ID_ISIN</stp>
        <stp>[DIF_Risk_20200430.xlsm]Geneva investment position repo!R164C63</stp>
        <tr r="BK164" s="1"/>
      </tp>
      <tp t="s">
        <v>XS1788498167</v>
        <stp/>
        <stp>##V3_BDPV12</stp>
        <stp>BBG00K67R1J1 FIGI</stp>
        <stp>ID_ISIN</stp>
        <stp>[DIF_Risk_20200430.xlsm]Geneva investment position repo!R171C63</stp>
        <tr r="BK171" s="1"/>
      </tp>
      <tp t="s">
        <v>#N/A Field Not Applicable</v>
        <stp/>
        <stp>##V3_BDPV12</stp>
        <stp>BBG00RB30509 FIGI</stp>
        <stp>GICS_SECTOR_NAME</stp>
        <stp>[DIF_Risk_20200430.xlsm]Geneva investment position repo!R159C51</stp>
        <tr r="AY159" s="1"/>
      </tp>
      <tp t="s">
        <v>FINANCIAL</v>
        <stp/>
        <stp>##V3_BDPV12</stp>
        <stp>BBG00RD4VH41 FIGI</stp>
        <stp>ISSUER_INDUSTRY</stp>
        <stp>[DIF_Risk_20200430.xlsm]Geneva investment position repo!R106C52</stp>
        <tr r="AZ106" s="1"/>
      </tp>
      <tp t="s">
        <v>#N/A Field Not Applicable</v>
        <stp/>
        <stp>##V3_BDPV12</stp>
        <stp>BBG00NL43H88 FIGI</stp>
        <stp>BOND_CLASSIFICATION_NAME</stp>
        <stp>[DIF_Risk_20200430.xlsm]Geneva investment position repo!R121C53</stp>
        <tr r="BA121" s="1"/>
      </tp>
      <tp t="s">
        <v>FINANCIAL</v>
        <stp/>
        <stp>##V3_BDPV12</stp>
        <stp>BBG00NB7K829 FIGI</stp>
        <stp>ISSUER_INDUSTRY</stp>
        <stp>[DIF_Risk_20200430.xlsm]Geneva investment position repo!R162C52</stp>
        <tr r="AZ162" s="1"/>
      </tp>
      <tp t="s">
        <v>Real Estate</v>
        <stp/>
        <stp>##V3_BDPV12</stp>
        <stp>BBG00NDFM319 FIGI</stp>
        <stp>INDUSTRY_GROUP</stp>
        <stp>[DIF_Risk_20200430.xlsm]Geneva investment position repo!R140C40</stp>
        <tr r="AN140" s="1"/>
      </tp>
      <tp t="s">
        <v>Guangdong Investment Ltd</v>
        <stp/>
        <stp>##V3_BDPV12</stp>
        <stp>BBG000BDW8M1 FIGI</stp>
        <stp>SECURITY_NAME</stp>
        <stp>[DIF_Risk_20200430.xlsm]SFC Report!R124C8</stp>
        <tr r="H124" s="6"/>
      </tp>
      <tp t="s">
        <v>A3</v>
        <stp/>
        <stp>##V3_BDPV12</stp>
        <stp>BBG00RD35MV1 FIGI</stp>
        <stp>RTG_MOODY</stp>
        <stp>[DIF_Risk_20200430.xlsm]Geneva investment position repo!R118C32</stp>
        <tr r="AF118" s="1"/>
        <tr r="AF118" s="1"/>
      </tp>
      <tp t="s">
        <v>Real Estate Oper/Develop</v>
        <stp/>
        <stp>##V3_BDPV12</stp>
        <stp>BBG00F2W1SP3 FIGI</stp>
        <stp>INDUSTRY_SUBGROUP</stp>
        <stp>[DIF_Risk_20200430.xlsm]Geneva investment position repo!R105C41</stp>
        <tr r="AO105" s="1"/>
      </tp>
      <tp t="s">
        <v>Real Estate Oper/Develop</v>
        <stp/>
        <stp>##V3_BDPV12</stp>
        <stp>BBG00L1B1VB5 FIGI</stp>
        <stp>INDUSTRY_SUBGROUP</stp>
        <stp>[DIF_Risk_20200430.xlsm]Geneva investment position repo!R163C41</stp>
        <tr r="AO163" s="1"/>
      </tp>
      <tp t="s">
        <v>#N/A Field Not Applicable</v>
        <stp/>
        <stp>##V3_BDPV12</stp>
        <stp>BBG00MTKPX96 FIGI</stp>
        <stp>CAPITAL_TYP_COCO_INITIAL_TRIGGER</stp>
        <stp>[DIF_Risk_20200430.xlsm]Geneva investment position repo!R57C43</stp>
        <tr r="AQ57" s="1"/>
      </tp>
      <tp t="s">
        <v>CNE1000003G1</v>
        <stp/>
        <stp>##V3_BDPV12</stp>
        <stp>BBG000Q16VR4 FIGI</stp>
        <stp>ID_ISIN</stp>
        <stp>[DIF_Risk_20200430.xlsm]Geneva investment position repo!R18C63</stp>
        <tr r="BK18" s="1"/>
      </tp>
      <tp t="s">
        <v>ACTV</v>
        <stp/>
        <stp>##V3_BDPV12</stp>
        <stp>BBG00N6M20C8 FIGI</stp>
        <stp>EXCH_MARKET_STATUS</stp>
        <stp>[DIF_Risk_20200430.xlsm]Geneva investment position repo!R79C44</stp>
        <tr r="AR79" s="1"/>
        <tr r="AR79" s="1"/>
      </tp>
      <tp t="s">
        <v>Oil&amp;Gas</v>
        <stp/>
        <stp>##V3_BDPV12</stp>
        <stp>BBG00HDTX5P9 FIGI</stp>
        <stp>INDUSTRY_GROUP</stp>
        <stp>[DIF_Risk_20200430.xlsm]Geneva investment position repo!R111C40</stp>
        <tr r="AN111" s="1"/>
      </tp>
      <tp t="s">
        <v>#N/A N/A</v>
        <stp/>
        <stp>##V3_BDPV12</stp>
        <stp>BBG00QRVV8P5 FIGI</stp>
        <stp>RTG_SP</stp>
        <stp>[DIF_Risk_20200430.xlsm]Geneva investment position repo!R131C31</stp>
        <tr r="AE131" s="1"/>
      </tp>
      <tp t="s">
        <v>Financial</v>
        <stp/>
        <stp>##V3_BDPV12</stp>
        <stp>BBG00RB0MG61 FIGI</stp>
        <stp>INDUSTRY_SECTOR</stp>
        <stp>[DIF_Risk_20200430.xlsm]Geneva investment position repo!R100C39</stp>
        <tr r="AM100" s="1"/>
      </tp>
      <tp t="s">
        <v>Government</v>
        <stp/>
        <stp>##V3_BDPV12</stp>
        <stp>BBG00T21B8F5 FIGI</stp>
        <stp>INDUSTRY_SECTOR</stp>
        <stp>[DIF_Risk_20200430.xlsm]Geneva investment position repo!R133C39</stp>
        <tr r="AM133" s="1"/>
      </tp>
      <tp t="s">
        <v>Financial</v>
        <stp/>
        <stp>##V3_BDPV12</stp>
        <stp>BBG00NL43H88 FIGI</stp>
        <stp>INDUSTRY_SECTOR</stp>
        <stp>[DIF_Risk_20200430.xlsm]Geneva investment position repo!R121C39</stp>
        <tr r="AM121" s="1"/>
      </tp>
      <tp t="s">
        <v>#N/A Field Not Applicable</v>
        <stp/>
        <stp>##V3_BDPV12</stp>
        <stp>BBG00QJ3FR72 FIGI</stp>
        <stp>BOND_CLASSIFICATION_NAME</stp>
        <stp>[DIF_Risk_20200430.xlsm]Geneva investment position repo!R37C53</stp>
        <tr r="BA37" s="1"/>
      </tp>
      <tp t="s">
        <v>XS2100725949</v>
        <stp/>
        <stp>##V3_BDPV12</stp>
        <stp>BBG00R9SN7F2 FIGI</stp>
        <stp>ID_ISIN</stp>
        <stp>[DIF_Risk_20200430.xlsm]Geneva investment position repo!R63C63</stp>
        <tr r="BK63" s="1"/>
      </tp>
      <tp t="s">
        <v>#N/A Field Not Applicable</v>
        <stp/>
        <stp>##V3_BDPV12</stp>
        <stp>BBG00T8646V2 FIGI</stp>
        <stp>CAPITAL_TYP_COCO_INITIAL_TRIGGER</stp>
        <stp>[DIF_Risk_20200430.xlsm]Geneva investment position repo!R71C43</stp>
        <tr r="AQ71" s="1"/>
      </tp>
      <tp t="s">
        <v>Baa3</v>
        <stp/>
        <stp>##V3_BDPV12</stp>
        <stp>BBG00LNF6KZ5 FIGI</stp>
        <stp>RTG_MOODY</stp>
        <stp>[DIF_Risk_20200430.xlsm]Geneva investment position repo!R144C32</stp>
        <tr r="AF144" s="1"/>
        <tr r="AF144" s="1"/>
      </tp>
      <tp t="s">
        <v>Real Estate</v>
        <stp/>
        <stp>##V3_BDPV12</stp>
        <stp>BBG00R9SN7F2 FIGI</stp>
        <stp>GICS_SECTOR_NAME</stp>
        <stp>[DIF_Risk_20200430.xlsm]Geneva investment position repo!R63C51</stp>
        <tr r="AY63" s="1"/>
      </tp>
      <tp t="s">
        <v>HK</v>
        <stp/>
        <stp>##V3_BDPV12</stp>
        <stp>BBG000MKLJD1 FIGI</stp>
        <stp>CNTRY_ISSUE_ISO</stp>
        <stp>[DIF_Risk_20200430.xlsm]Geneva investment position repo!R22C38</stp>
        <tr r="AL22" s="1"/>
      </tp>
      <tp t="s">
        <v>#N/A Field Not Applicable</v>
        <stp/>
        <stp>##V3_BDPV12</stp>
        <stp>BBG00SYNG075 FIGI</stp>
        <stp>CAPITAL_TYP_COCO_INITIAL_TRIGGER</stp>
        <stp>[DIF_Risk_20200430.xlsm]Geneva investment position repo!R40C43</stp>
        <tr r="AQ40" s="1"/>
      </tp>
      <tp t="s">
        <v>Real Estate</v>
        <stp/>
        <stp>##V3_BDPV12</stp>
        <stp>BBG00KKDSP44 FIGI</stp>
        <stp>GICS_SECTOR_NAME</stp>
        <stp>[DIF_Risk_20200430.xlsm]Geneva investment position repo!R56C51</stp>
        <tr r="AY56" s="1"/>
      </tp>
      <tp t="s">
        <v>Property/Casualty Ins</v>
        <stp/>
        <stp>##V3_BDPV12</stp>
        <stp>BBG00NGF27D6 FIGI</stp>
        <stp>INDUSTRY_SUBGROUP</stp>
        <stp>[DIF_Risk_20200430.xlsm]Geneva investment position repo!R114C41</stp>
        <tr r="AO114" s="1"/>
      </tp>
      <tp t="s">
        <v>FINANCIAL</v>
        <stp/>
        <stp>##V3_BDPV12</stp>
        <stp>BBG00L1B1VB5 FIGI</stp>
        <stp>ISSUER_INDUSTRY</stp>
        <stp>[DIF_Risk_20200430.xlsm]Geneva investment position repo!R163C52</stp>
        <tr r="AZ163" s="1"/>
      </tp>
      <tp t="s">
        <v>INDUSTRIAL</v>
        <stp/>
        <stp>##V3_BDPV12</stp>
        <stp>BBG00T5WB7F6 FIGI</stp>
        <stp>ISSUER_INDUSTRY</stp>
        <stp>[DIF_Risk_20200430.xlsm]Geneva investment position repo!R123C52</stp>
        <tr r="AZ123" s="1"/>
      </tp>
      <tp t="s">
        <v>Real Estate</v>
        <stp/>
        <stp>##V3_BDPV12</stp>
        <stp>BBG00NG9L0S8 FIGI</stp>
        <stp>INDUSTRY_GROUP</stp>
        <stp>[DIF_Risk_20200430.xlsm]Geneva investment position repo!R134C40</stp>
        <tr r="AN134" s="1"/>
      </tp>
      <tp t="s">
        <v>Coal</v>
        <stp/>
        <stp>##V3_BDPV12</stp>
        <stp>BBG00JC8V4T3 FIGI</stp>
        <stp>INDUSTRY_GROUP</stp>
        <stp>[DIF_Risk_20200430.xlsm]Geneva investment position repo!R176C40</stp>
        <tr r="AN176" s="1"/>
      </tp>
      <tp t="s">
        <v>ACTV</v>
        <stp/>
        <stp>##V3_BDPV12</stp>
        <stp>BBG00N0Q0RS1 FIGI</stp>
        <stp>EXCH_MARKET_STATUS</stp>
        <stp>[DIF_Risk_20200430.xlsm]Geneva investment position repo!R50C44</stp>
        <tr r="AR50" s="1"/>
        <tr r="AR50" s="1"/>
      </tp>
      <tp t="s">
        <v>Real Estate</v>
        <stp/>
        <stp>##V3_BDPV12</stp>
        <stp>BBG00NTXM180 FIGI</stp>
        <stp>INDUSTRY_GROUP</stp>
        <stp>[DIF_Risk_20200430.xlsm]Geneva investment position repo!R136C40</stp>
        <tr r="AN136" s="1"/>
      </tp>
      <tp t="s">
        <v>ACTV</v>
        <stp/>
        <stp>##V3_BDPV12</stp>
        <stp>BBG00BWQ0R57 FIGI</stp>
        <stp>EXCH_MARKET_STATUS</stp>
        <stp>[DIF_Risk_20200430.xlsm]Geneva investment position repo!R62C44</stp>
        <tr r="AR62" s="1"/>
        <tr r="AR62" s="1"/>
      </tp>
      <tp t="s">
        <v>XS1957481440</v>
        <stp/>
        <stp>##V3_BDPV12</stp>
        <stp>BBG00NG9J699 FIGI</stp>
        <stp>ID_ISIN</stp>
        <stp>[DIF_Risk_20200430.xlsm]Geneva investment position repo!R139C63</stp>
        <tr r="BK139" s="1"/>
      </tp>
      <tp t="s">
        <v>ACTV</v>
        <stp/>
        <stp>##V3_BDPV12</stp>
        <stp>BBG00DKQ0MQ4 FIGI</stp>
        <stp>EXCH_MARKET_STATUS</stp>
        <stp>[DIF_Risk_20200430.xlsm]Geneva investment position repo!R78C44</stp>
        <tr r="AR78" s="1"/>
        <tr r="AR78" s="1"/>
      </tp>
      <tp t="s">
        <v>SPECIAL PURPOSE</v>
        <stp/>
        <stp>##V3_BDPV12</stp>
        <stp>BBG00RB30509 FIGI</stp>
        <stp>ISSUER_INDUSTRY</stp>
        <stp>[DIF_Risk_20200430.xlsm]Geneva investment position repo!R159C52</stp>
        <tr r="AZ159" s="1"/>
      </tp>
      <tp t="s">
        <v>#N/A N/A</v>
        <stp/>
        <stp>##V3_BDPV12</stp>
        <stp>BBG00NDM7WZ0 FIGI</stp>
        <stp>RTG_MOODY</stp>
        <stp>[DIF_Risk_20200430.xlsm]Geneva investment position repo!R103C32</stp>
        <tr r="AF103" s="1"/>
      </tp>
      <tp t="s">
        <v>Invest Mgmnt/Advis Serv</v>
        <stp/>
        <stp>##V3_BDPV12</stp>
        <stp>BBG00NL43H88 FIGI</stp>
        <stp>INDUSTRY_SUBGROUP</stp>
        <stp>[DIF_Risk_20200430.xlsm]Geneva investment position repo!R121C41</stp>
        <tr r="AO121" s="1"/>
      </tp>
      <tp t="s">
        <v>GRWALL 4 3/8 05/25/23</v>
        <stp/>
        <stp>##V3_BDPV12</stp>
        <stp>BBG00KVGG4W4 FIGI</stp>
        <stp>SECURITY_NAME</stp>
        <stp>[DIF_Risk_20200430.xlsm]SFC Report!R138C8</stp>
        <tr r="H138" s="6"/>
      </tp>
      <tp t="s">
        <v>Real Estate Oper/Develop</v>
        <stp/>
        <stp>##V3_BDPV12</stp>
        <stp>BBG00N9X3LW2 FIGI</stp>
        <stp>INDUSTRY_SUBGROUP</stp>
        <stp>[DIF_Risk_20200430.xlsm]Geneva investment position repo!R180C41</stp>
        <tr r="AO180" s="1"/>
      </tp>
      <tp t="s">
        <v>PETMK 4.55 04/21/50</v>
        <stp/>
        <stp>##V3_BDPV12</stp>
        <stp>BBG00T5WB757 FIGI</stp>
        <stp>SECURITY_NAME</stp>
        <stp>[DIF_Risk_20200430.xlsm]SFC Report!R199C1</stp>
        <tr r="A199" s="6"/>
      </tp>
      <tp t="s">
        <v>Real Estate Oper/Develop</v>
        <stp/>
        <stp>##V3_BDPV12</stp>
        <stp>BBG00P7N38J5 FIGI</stp>
        <stp>INDUSTRY_SUBGROUP</stp>
        <stp>[DIF_Risk_20200430.xlsm]Geneva investment position repo!R175C41</stp>
        <tr r="AO175" s="1"/>
      </tp>
      <tp t="s">
        <v>#N/A Field Not Applicable</v>
        <stp/>
        <stp>##V3_BDPV12</stp>
        <stp>BBG00H5KNJZ7 FIGI</stp>
        <stp>CAPITAL_TYP_COCO_INITIAL_TRIGGER</stp>
        <stp>[DIF_Risk_20200430.xlsm]Geneva investment position repo!R80C43</stp>
        <tr r="AQ80" s="1"/>
      </tp>
      <tp t="s">
        <v>B2</v>
        <stp/>
        <stp>##V3_BDPV12</stp>
        <stp>BBG00PF578H3 FIGI</stp>
        <stp>RTG_MOODY</stp>
        <stp>[DIF_Risk_20200430.xlsm]Geneva investment position repo!R181C32</stp>
        <tr r="AF181" s="1"/>
        <tr r="AF181" s="1"/>
      </tp>
      <tp t="s">
        <v>SPECIAL PURPOSE</v>
        <stp/>
        <stp>##V3_BDPV12</stp>
        <stp>BBG00S0GV953 FIGI</stp>
        <stp>ISSUER_INDUSTRY</stp>
        <stp>[DIF_Risk_20200430.xlsm]Geneva investment position repo!R98C52</stp>
        <tr r="AZ98" s="1"/>
      </tp>
      <tp t="s">
        <v>Financial</v>
        <stp/>
        <stp>##V3_BDPV12</stp>
        <stp>BBG00S0GV953 FIGI</stp>
        <stp>INDUSTRY_SECTOR</stp>
        <stp>[DIF_Risk_20200430.xlsm]Geneva investment position repo!R98C39</stp>
        <tr r="AM98" s="1"/>
      </tp>
      <tp t="s">
        <v>#N/A Field Not Applicable</v>
        <stp/>
        <stp>##V3_BDPV12</stp>
        <stp>BBG00NB7K829 FIGI</stp>
        <stp>BOND_CLASSIFICATION_NAME</stp>
        <stp>[DIF_Risk_20200430.xlsm]Geneva investment position repo!R162C53</stp>
        <tr r="BA162" s="1"/>
      </tp>
      <tp t="s">
        <v>INDUSTRIAL</v>
        <stp/>
        <stp>##V3_BDPV12</stp>
        <stp>BBG00P1GZFC2 FIGI</stp>
        <stp>ISSUER_INDUSTRY</stp>
        <stp>[DIF_Risk_20200430.xlsm]Geneva investment position repo!R112C52</stp>
        <tr r="AZ112" s="1"/>
      </tp>
      <tp t="s">
        <v>FINANCIAL</v>
        <stp/>
        <stp>##V3_BDPV12</stp>
        <stp>BBG00N0J9QB8 FIGI</stp>
        <stp>ISSUER_INDUSTRY</stp>
        <stp>[DIF_Risk_20200430.xlsm]Geneva investment position repo!R132C52</stp>
        <tr r="AZ132" s="1"/>
      </tp>
      <tp t="s">
        <v>FINANCIAL</v>
        <stp/>
        <stp>##V3_BDPV12</stp>
        <stp>BBG00H4BZMF0 FIGI</stp>
        <stp>ISSUER_INDUSTRY</stp>
        <stp>[DIF_Risk_20200430.xlsm]Geneva investment position repo!R130C52</stp>
        <tr r="AZ130" s="1"/>
      </tp>
      <tp t="s">
        <v>FINANCIAL</v>
        <stp/>
        <stp>##V3_BDPV12</stp>
        <stp>BBG00TFTG847 FIGI</stp>
        <stp>ISSUER_INDUSTRY</stp>
        <stp>[DIF_Risk_20200430.xlsm]Geneva investment position repo!R117C52</stp>
        <tr r="AZ117" s="1"/>
      </tp>
      <tp t="s">
        <v>FINANCIAL</v>
        <stp/>
        <stp>##V3_BDPV12</stp>
        <stp>BBG00R9SLKK9 FIGI</stp>
        <stp>ISSUER_INDUSTRY</stp>
        <stp>[DIF_Risk_20200430.xlsm]Geneva investment position repo!R148C52</stp>
        <tr r="AZ148" s="1"/>
      </tp>
      <tp t="s">
        <v>Financial</v>
        <stp/>
        <stp>##V3_BDPV12</stp>
        <stp>BBG00NDFM319 FIGI</stp>
        <stp>INDUSTRY_SECTOR</stp>
        <stp>[DIF_Risk_20200430.xlsm]Geneva investment position repo!R140C39</stp>
        <tr r="AM140" s="1"/>
      </tp>
      <tp t="s">
        <v>7/15/2019</v>
        <stp/>
        <stp>##V3_BDPV12</stp>
        <stp>BBG00PSJD0B5 FIGI</stp>
        <stp>MOODY_EFF_DT</stp>
        <stp>[DIF_Risk_20200430.xlsm]Geneva investment position repo!R81C72</stp>
        <tr r="BT81" s="1"/>
      </tp>
      <tp t="s">
        <v>#N/A Field Not Applicable</v>
        <stp/>
        <stp>##V3_BDPV12</stp>
        <stp>BBG00RPXTZN6 FIGI</stp>
        <stp>CAPITAL_CONTINGENT_SECURITY</stp>
        <stp>[DIF_Risk_20200430.xlsm]Geneva investment position repo!R90C42</stp>
        <tr r="AP90" s="1"/>
      </tp>
      <tp t="s">
        <v>#N/A Field Not Applicable</v>
        <stp/>
        <stp>##V3_BDPV12</stp>
        <stp>BBG00PSJPXV8 FIGI</stp>
        <stp>CAPITAL_CONTINGENT_SECURITY</stp>
        <stp>[DIF_Risk_20200430.xlsm]Geneva investment position repo!R82C42</stp>
        <tr r="AP82" s="1"/>
      </tp>
      <tp t="s">
        <v>CN</v>
        <stp/>
        <stp>##V3_BDPV12</stp>
        <stp>BBG00K67R1J1 FIGI</stp>
        <stp>CNTRY_OF_RISK</stp>
        <stp>[DIF_Risk_20200430.xlsm]Geneva investment position repo!R171C38</stp>
        <tr r="AL171" s="1"/>
      </tp>
      <tp t="s">
        <v>#N/A Field Not Applicable</v>
        <stp/>
        <stp>##V3_BDPV12</stp>
        <stp>BBG00RYGHZS1 FIGI</stp>
        <stp>CAPITAL_CONTINGENT_SECURITY</stp>
        <stp>[DIF_Risk_20200430.xlsm]Geneva investment position repo!R51C42</stp>
        <tr r="AP51" s="1"/>
      </tp>
      <tp t="s">
        <v>SA</v>
        <stp/>
        <stp>##V3_BDPV12</stp>
        <stp>BBG00T6LY8D4 FIGI</stp>
        <stp>CNTRY_OF_RISK</stp>
        <stp>[DIF_Risk_20200430.xlsm]Geneva investment position repo!R94C38</stp>
        <tr r="AL94" s="1"/>
      </tp>
      <tp t="s">
        <v>#N/A Field Not Applicable</v>
        <stp/>
        <stp>##V3_BDPV12</stp>
        <stp>BBG000BDW8M1 FIGI</stp>
        <stp>CAPITAL_CONTINGENT_SECURITY</stp>
        <stp>[DIF_Risk_20200430.xlsm]Geneva investment position repo!R14C42</stp>
        <tr r="AP14" s="1"/>
      </tp>
      <tp t="s">
        <v>9/2/2019</v>
        <stp/>
        <stp>##V3_BDPV12</stp>
        <stp>BBG00LSRS878 FIGI</stp>
        <stp>FITCH_EFF_DT</stp>
        <stp>[DIF_Risk_20200430.xlsm]Geneva investment position repo!R104C73</stp>
        <tr r="BU104" s="1"/>
      </tp>
      <tp t="s">
        <v>#N/A Field Not Applicable</v>
        <stp/>
        <stp>##V3_BDPV12</stp>
        <stp>BBG00K6FDF25 FIGI</stp>
        <stp>CAPITAL_CONTINGENT_SECURITY</stp>
        <stp>[DIF_Risk_20200430.xlsm]Geneva investment position repo!R101C42</stp>
        <tr r="AP101" s="1"/>
      </tp>
      <tp t="s">
        <v>1/6/2020</v>
        <stp/>
        <stp>##V3_BDPV12</stp>
        <stp>BBG00R9SLKK9 FIGI</stp>
        <stp>FITCH_EFF_DT</stp>
        <stp>[DIF_Risk_20200430.xlsm]Geneva investment position repo!R148C73</stp>
        <tr r="BU148" s="1"/>
      </tp>
      <tp t="s">
        <v>ACTV</v>
        <stp/>
        <stp>##V3_BDPV12</stp>
        <stp>BBG00THTNZZ3 FIGI</stp>
        <stp>EXCH_MARKET_STATUS</stp>
        <stp>[DIF_Risk_20200430.xlsm]Geneva investment position repo!R125C44</stp>
        <tr r="AR125" s="1"/>
        <tr r="AR125" s="1"/>
      </tp>
      <tp t="s">
        <v>#N/A Field Not Applicable</v>
        <stp/>
        <stp>##V3_BDPV12</stp>
        <stp>BBG00NV899R9 FIGI</stp>
        <stp>CAPITAL_CONTINGENT_SECURITY</stp>
        <stp>[DIF_Risk_20200430.xlsm]Geneva investment position repo!R168C42</stp>
        <tr r="AP168" s="1"/>
      </tp>
      <tp t="s">
        <v>#N/A N/A</v>
        <stp/>
        <stp>##V3_BDPV12</stp>
        <stp>BBG00N9X3LW2 FIGI</stp>
        <stp>FITCH_EFF_DT</stp>
        <stp>[DIF_Risk_20200430.xlsm]Geneva investment position repo!R180C73</stp>
        <tr r="BU180" s="1"/>
      </tp>
      <tp>
        <v>6.0220094231023973</v>
        <stp/>
        <stp>##V3_BDPV12</stp>
        <stp>USG60744AB87 ISIN</stp>
        <stp>YLD_YTM_MID</stp>
        <stp>[DIF_Risk_20200430.xlsm]Geneva investment position repo!R112C61</stp>
        <tr r="BI112" s="1"/>
      </tp>
      <tp>
        <v>3.0375782017931403</v>
        <stp/>
        <stp>##V3_BDPV12</stp>
        <stp>USJ54675AZ63 ISIN</stp>
        <stp>YLD_YTM_MID</stp>
        <stp>[DIF_Risk_20200430.xlsm]Geneva investment position repo!R118C61</stp>
        <tr r="BI118" s="1"/>
      </tp>
      <tp t="s">
        <v>10/20/2045</v>
        <stp/>
        <stp>##V3_BDPV12</stp>
        <stp>BBG00B6SDBV4 FIGI</stp>
        <stp>CALC_MATURITY</stp>
        <stp>[DIF_Risk_20200430.xlsm]Geneva investment position repo!R115C55</stp>
        <tr r="BC115" s="1"/>
      </tp>
      <tp>
        <v>7.5369238027684817</v>
        <stp/>
        <stp>##V3_BDPV12</stp>
        <stp>XS2010988074 ISIN</stp>
        <stp>YLD_YTM_MID</stp>
        <stp>[DIF_Risk_20200430.xlsm]Geneva investment position repo!R92C61</stp>
        <tr r="BI92" s="1"/>
      </tp>
      <tp t="s">
        <v>8/16/2023</v>
        <stp/>
        <stp>##V3_BDPV12</stp>
        <stp>BBG00DKQ0MQ4 FIGI</stp>
        <stp>CALC_MATURITY</stp>
        <stp>[DIF_Risk_20200430.xlsm]Geneva investment position repo!R78C55</stp>
        <tr r="BC78" s="1"/>
      </tp>
      <tp t="s">
        <v>#N/A Field Not Applicable</v>
        <stp/>
        <stp>##V3_BDPV12</stp>
        <stp>BBG00PNSNLZ7 FIGI</stp>
        <stp>SECURITY_TYP2</stp>
        <stp>[DIF_Risk_20200430.xlsm]Geneva investment position repo!R161C21</stp>
        <tr r="U161" s="1"/>
      </tp>
      <tp>
        <v>0.96829095790929554</v>
        <stp/>
        <stp>##V3_BDPV12</stp>
        <stp>XS2010988074 ISIN</stp>
        <stp>DUR_ADJ_MID</stp>
        <stp>[DIF_Risk_20200430.xlsm]Geneva investment position repo!R92C59</stp>
        <tr r="BG92" s="1"/>
      </tp>
      <tp t="s">
        <v>3/16/2021</v>
        <stp/>
        <stp>##V3_BDPV12</stp>
        <stp>BBG00SBW5S62 FIGI</stp>
        <stp>CALC_MATURITY</stp>
        <stp>[DIF_Risk_20200430.xlsm]Geneva investment position repo!R88C55</stp>
        <tr r="BC88" s="1"/>
      </tp>
      <tp t="s">
        <v>#N/A Field Not Applicable</v>
        <stp/>
        <stp>##V3_BDPV12</stp>
        <stp>BBG00JCQ6Y42 FIGI</stp>
        <stp>SECURITY_TYP2</stp>
        <stp>[DIF_Risk_20200430.xlsm]Geneva investment position repo!R33C21</stp>
        <tr r="U33" s="1"/>
      </tp>
      <tp>
        <v>2.6831931900347081</v>
        <stp/>
        <stp>##V3_BDPV12</stp>
        <stp>XS2100658066 ISIN</stp>
        <stp>DUR_ADJ_MID</stp>
        <stp>[DIF_Risk_20200430.xlsm]Geneva investment position repo!R67C59</stp>
        <tr r="BG67" s="1"/>
      </tp>
      <tp t="s">
        <v>#N/A Field Not Applicable</v>
        <stp/>
        <stp>##V3_BDPV12</stp>
        <stp>BBG000PXTGY5 FIGI</stp>
        <stp>CAPITAL_CONTINGENT_SECURITY</stp>
        <stp>[DIF_Risk_20200430.xlsm]Geneva investment position repo!R9C42</stp>
        <tr r="AP9" s="1"/>
      </tp>
      <tp>
        <v>1.6445552110803701</v>
        <stp/>
        <stp>##V3_BDPV12</stp>
        <stp>XS1982124239 ISIN</stp>
        <stp>DUR_ADJ_MID</stp>
        <stp>[DIF_Risk_20200430.xlsm]Geneva investment position repo!R72C59</stp>
        <tr r="BG72" s="1"/>
      </tp>
      <tp>
        <v>9.4336287969167838</v>
        <stp/>
        <stp>##V3_BDPV12</stp>
        <stp>XS2100658066 ISIN</stp>
        <stp>YLD_YTM_MID</stp>
        <stp>[DIF_Risk_20200430.xlsm]Geneva investment position repo!R67C61</stp>
        <tr r="BI67" s="1"/>
      </tp>
      <tp t="s">
        <v>1/23/2022</v>
        <stp/>
        <stp>##V3_BDPV12</stp>
        <stp>BBG00N2KDB12 FIGI</stp>
        <stp>CALC_MATURITY</stp>
        <stp>[DIF_Risk_20200430.xlsm]Geneva investment position repo!R174C55</stp>
        <tr r="BC174" s="1"/>
      </tp>
      <tp>
        <v>10.451550237800427</v>
        <stp/>
        <stp>##V3_BDPV12</stp>
        <stp>XS1982124239 ISIN</stp>
        <stp>YLD_YTM_MID</stp>
        <stp>[DIF_Risk_20200430.xlsm]Geneva investment position repo!R72C61</stp>
        <tr r="BI72" s="1"/>
      </tp>
      <tp t="s">
        <v>3/7/2021</v>
        <stp/>
        <stp>##V3_BDPV12</stp>
        <stp>BBG00K6FDF25 FIGI</stp>
        <stp>CALC_MATURITY</stp>
        <stp>[DIF_Risk_20200430.xlsm]Geneva investment position repo!R101C55</stp>
        <tr r="BC101" s="1"/>
      </tp>
      <tp t="s">
        <v>4/6/2020</v>
        <stp/>
        <stp>##V3_BDPV12</stp>
        <stp>BBG00SY1QXH9 FIGI</stp>
        <stp>MOODY_EFF_DT</stp>
        <stp>[DIF_Risk_20200430.xlsm]Geneva investment position repo!R31C72</stp>
        <tr r="BT31" s="1"/>
      </tp>
      <tp t="s">
        <v>4/1/2025</v>
        <stp/>
        <stp>##V3_BDPV12</stp>
        <stp>BBG00SXGDG60 FIGI</stp>
        <stp>CALC_MATURITY</stp>
        <stp>[DIF_Risk_20200430.xlsm]Geneva investment position repo!R120C55</stp>
        <tr r="BC120" s="1"/>
      </tp>
      <tp t="s">
        <v>#N/A Field Not Applicable</v>
        <stp/>
        <stp>##V3_BDPV12</stp>
        <stp>BBG00THTNZZ3 FIGI</stp>
        <stp>SECURITY_TYP2</stp>
        <stp>[DIF_Risk_20200430.xlsm]Geneva investment position repo!R125C21</stp>
        <tr r="U125" s="1"/>
      </tp>
      <tp t="s">
        <v>CN</v>
        <stp/>
        <stp>##V3_BDPV12</stp>
        <stp>BBG00N14RT60 FIGI</stp>
        <stp>CNTRY_OF_RISK</stp>
        <stp>[DIF_Risk_20200430.xlsm]Geneva investment position repo!R153C38</stp>
        <tr r="AL153" s="1"/>
      </tp>
      <tp t="s">
        <v>7/17/2019</v>
        <stp/>
        <stp>##V3_BDPV12</stp>
        <stp>BBG00PQ3PWZ3 FIGI</stp>
        <stp>FITCH_EFF_DT</stp>
        <stp>[DIF_Risk_20200430.xlsm]Geneva investment position repo!R84C73</stp>
        <tr r="BU84" s="1"/>
      </tp>
      <tp t="s">
        <v>BBG00DKQ0MQ4</v>
        <stp/>
        <stp>##V3_BDPV12</stp>
        <stp>USV3854PAA94 ISIN</stp>
        <stp>ID_BB_GLOBAL</stp>
        <stp>[DIF_Risk_20200430.xlsm]Geneva investment position repo!R78C18</stp>
        <tr r="R78" s="1"/>
      </tp>
      <tp t="s">
        <v>CN</v>
        <stp/>
        <stp>##V3_BDPV12</stp>
        <stp>BBG00RRMFK74 FIGI</stp>
        <stp>CNTRY_OF_RISK</stp>
        <stp>[DIF_Risk_20200430.xlsm]Geneva investment position repo!R41C38</stp>
        <tr r="AL41" s="1"/>
      </tp>
      <tp t="s">
        <v>12/13/2018</v>
        <stp/>
        <stp>##V3_BDPV12</stp>
        <stp>BBG00MSJ57C5 FIGI</stp>
        <stp>MOODY_EFF_DT</stp>
        <stp>[DIF_Risk_20200430.xlsm]Geneva investment position repo!R74C72</stp>
        <tr r="BT74" s="1"/>
      </tp>
      <tp t="s">
        <v>2/24/2020</v>
        <stp/>
        <stp>##V3_BDPV12</stp>
        <stp>BBG00RYGHZS1 FIGI</stp>
        <stp>FITCH_EFF_DT</stp>
        <stp>[DIF_Risk_20200430.xlsm]Geneva investment position repo!R51C73</stp>
        <tr r="BU51" s="1"/>
      </tp>
      <tp t="s">
        <v>#N/A Field Not Applicable</v>
        <stp/>
        <stp>##V3_BDPV12</stp>
        <stp>BBG00DKQ0MQ4 FIGI</stp>
        <stp>CAPITAL_CONTINGENT_SECURITY</stp>
        <stp>[DIF_Risk_20200430.xlsm]Geneva investment position repo!R78C42</stp>
        <tr r="AP78" s="1"/>
      </tp>
      <tp t="s">
        <v>#N/A Field Not Applicable</v>
        <stp/>
        <stp>##V3_BDPV12</stp>
        <stp>BBG00R9SNB81 FIGI</stp>
        <stp>SECURITY_TYP2</stp>
        <stp>[DIF_Risk_20200430.xlsm]Geneva investment position repo!R64C21</stp>
        <tr r="U64" s="1"/>
      </tp>
      <tp t="s">
        <v>BBG00PSJD0B5</v>
        <stp/>
        <stp>##V3_BDPV12</stp>
        <stp>USV3855GAA86 ISIN</stp>
        <stp>ID_BB_GLOBAL</stp>
        <stp>[DIF_Risk_20200430.xlsm]Geneva investment position repo!R81C18</stp>
        <tr r="R81" s="1"/>
      </tp>
      <tp t="s">
        <v>ID</v>
        <stp/>
        <stp>##V3_BDPV12</stp>
        <stp>BBG00GDDS1Y1 FIGI</stp>
        <stp>CNTRY_OF_RISK</stp>
        <stp>[DIF_Risk_20200430.xlsm]Geneva investment position repo!R109C38</stp>
        <tr r="AL109" s="1"/>
      </tp>
      <tp t="s">
        <v>CN</v>
        <stp/>
        <stp>##V3_BDPV12</stp>
        <stp>BBG00LSRS878 FIGI</stp>
        <stp>CNTRY_OF_RISK</stp>
        <stp>[DIF_Risk_20200430.xlsm]Geneva investment position repo!R104C38</stp>
        <tr r="AL104" s="1"/>
      </tp>
      <tp t="s">
        <v>#N/A Field Not Applicable</v>
        <stp/>
        <stp>##V3_BDPV12</stp>
        <stp>BBG00NGWHP25 FIGI</stp>
        <stp>SECURITY_TYP2</stp>
        <stp>[DIF_Risk_20200430.xlsm]Geneva investment position repo!R29C21</stp>
        <tr r="U29" s="1"/>
      </tp>
      <tp>
        <v>3.4515783788806194</v>
        <stp/>
        <stp>##V3_BDPV12</stp>
        <stp>USJ4517MAA74 ISIN</stp>
        <stp>YLD_YTM_MID</stp>
        <stp>[DIF_Risk_20200430.xlsm]Geneva investment position repo!R114C61</stp>
        <tr r="BI114" s="1"/>
      </tp>
      <tp>
        <v>5.6190497914176625</v>
        <stp/>
        <stp>##V3_BDPV12</stp>
        <stp>USG7150PAA87 ISIN</stp>
        <stp>DUR_ADJ_MID</stp>
        <stp>[DIF_Risk_20200430.xlsm]Geneva investment position repo!R126C59</stp>
        <tr r="BG126" s="1"/>
      </tp>
      <tp t="s">
        <v>1/9/2020</v>
        <stp/>
        <stp>##V3_BDPV12</stp>
        <stp>BBG00HDTX5P9 FIGI</stp>
        <stp>MOODY_EFF_DT</stp>
        <stp>[DIF_Risk_20200430.xlsm]Geneva investment position repo!R111C72</stp>
        <tr r="BT111" s="1"/>
      </tp>
      <tp t="s">
        <v>Consumer Discretionary</v>
        <stp/>
        <stp>##V3_BDPV12</stp>
        <stp>BBG000QWR4M8 FIGI</stp>
        <stp>GICS_SECTOR_NAME</stp>
        <stp>[DIF_Risk_20200430.xlsm]Geneva investment position repo!R8C51</stp>
        <tr r="AY8" s="1"/>
      </tp>
      <tp t="s">
        <v>4/23/2020</v>
        <stp/>
        <stp>##V3_BDPV12</stp>
        <stp>BBG00LSR9049 FIGI</stp>
        <stp>FITCH_EFF_DT</stp>
        <stp>[DIF_Risk_20200430.xlsm]Geneva investment position repo!R108C73</stp>
        <tr r="BU108" s="1"/>
      </tp>
      <tp t="s">
        <v>#N/A Field Not Applicable</v>
        <stp/>
        <stp>##V3_BDPV12</stp>
        <stp>BBG00QV37ZP9 FIGI</stp>
        <stp>BOND_CLASSIFICATION_NAME</stp>
        <stp>[DIF_Risk_20200430.xlsm]Geneva investment position repo!R7C53</stp>
        <tr r="BA7" s="1"/>
      </tp>
      <tp t="s">
        <v>#N/A Field Not Applicable</v>
        <stp/>
        <stp>##V3_BDPV12</stp>
        <stp>BBG000PXTGY5 FIGI</stp>
        <stp>SP_EFF_DT</stp>
        <stp>[DIF_Risk_20200430.xlsm]Geneva investment position repo!R9C71</stp>
        <tr r="BS9" s="1"/>
      </tp>
      <tp t="s">
        <v>#N/A Invalid Security</v>
        <stp/>
        <stp>##V3_BDPV12</stp>
        <stp>HKD ISIN</stp>
        <stp>ID_BB_GLOBAL</stp>
        <stp>[DIF_Risk_20200430.xlsm]Geneva investment position repo!R194C18</stp>
        <tr r="R194" s="1"/>
      </tp>
      <tp t="s">
        <v>#N/A Invalid Security</v>
        <stp/>
        <stp>##V3_BDPV12</stp>
        <stp>HKD ISIN</stp>
        <stp>ID_BB_GLOBAL</stp>
        <stp>[DIF_Risk_20200430.xlsm]Geneva investment position repo!R192C18</stp>
        <tr r="R192" s="1"/>
      </tp>
      <tp t="s">
        <v>#N/A Invalid Security</v>
        <stp/>
        <stp>##V3_BDPV12</stp>
        <stp>HKD ISIN</stp>
        <stp>ID_BB_GLOBAL</stp>
        <stp>[DIF_Risk_20200430.xlsm]Geneva investment position repo!R190C18</stp>
        <tr r="R190" s="1"/>
      </tp>
      <tp t="s">
        <v>#N/A Invalid Security</v>
        <stp/>
        <stp>##V3_BDPV12</stp>
        <stp>HKD ISIN</stp>
        <stp>ID_BB_GLOBAL</stp>
        <stp>[DIF_Risk_20200430.xlsm]Geneva investment position repo!R188C18</stp>
        <tr r="R188" s="1"/>
      </tp>
      <tp t="s">
        <v>#N/A Invalid Security</v>
        <stp/>
        <stp>##V3_BDPV12</stp>
        <stp>HKD ISIN</stp>
        <stp>ID_BB_GLOBAL</stp>
        <stp>[DIF_Risk_20200430.xlsm]Geneva investment position repo!R187C18</stp>
        <tr r="R187" s="1"/>
      </tp>
      <tp t="s">
        <v>#N/A Invalid Security</v>
        <stp/>
        <stp>##V3_BDPV12</stp>
        <stp>HKD ISIN</stp>
        <stp>ID_BB_GLOBAL</stp>
        <stp>[DIF_Risk_20200430.xlsm]Geneva investment position repo!R186C18</stp>
        <tr r="R186" s="1"/>
      </tp>
      <tp t="s">
        <v>#N/A Invalid Security</v>
        <stp/>
        <stp>##V3_BDPV12</stp>
        <stp>HKD ISIN</stp>
        <stp>ID_BB_GLOBAL</stp>
        <stp>[DIF_Risk_20200430.xlsm]Geneva investment position repo!R185C18</stp>
        <tr r="R185" s="1"/>
      </tp>
      <tp t="s">
        <v>#N/A Invalid Security</v>
        <stp/>
        <stp>##V3_BDPV12</stp>
        <stp>HKD ISIN</stp>
        <stp>ID_BB_GLOBAL</stp>
        <stp>[DIF_Risk_20200430.xlsm]Geneva investment position repo!R183C18</stp>
        <tr r="R183" s="1"/>
      </tp>
      <tp t="s">
        <v>#N/A Invalid Security</v>
        <stp/>
        <stp>##V3_BDPV12</stp>
        <stp>USD ISIN</stp>
        <stp>ID_BB_GLOBAL</stp>
        <stp>[DIF_Risk_20200430.xlsm]Geneva investment position repo!R184C18</stp>
        <tr r="R184" s="1"/>
      </tp>
      <tp t="s">
        <v>#N/A Invalid Security</v>
        <stp/>
        <stp>##V3_BDPV12</stp>
        <stp>USD ISIN</stp>
        <stp>ID_BB_GLOBAL</stp>
        <stp>[DIF_Risk_20200430.xlsm]Geneva investment position repo!R182C18</stp>
        <tr r="R182" s="1"/>
      </tp>
      <tp t="s">
        <v>#N/A Invalid Security</v>
        <stp/>
        <stp>##V3_BDPV12</stp>
        <stp>USD ISIN</stp>
        <stp>ID_BB_GLOBAL</stp>
        <stp>[DIF_Risk_20200430.xlsm]Geneva investment position repo!R189C18</stp>
        <tr r="R189" s="1"/>
      </tp>
      <tp t="s">
        <v>#N/A Invalid Security</v>
        <stp/>
        <stp>##V3_BDPV12</stp>
        <stp>USD ISIN</stp>
        <stp>ID_BB_GLOBAL</stp>
        <stp>[DIF_Risk_20200430.xlsm]Geneva investment position repo!R193C18</stp>
        <tr r="R193" s="1"/>
      </tp>
      <tp t="s">
        <v>#N/A Invalid Security</v>
        <stp/>
        <stp>##V3_BDPV12</stp>
        <stp>USD ISIN</stp>
        <stp>ID_BB_GLOBAL</stp>
        <stp>[DIF_Risk_20200430.xlsm]Geneva investment position repo!R191C18</stp>
        <tr r="R191" s="1"/>
      </tp>
      <tp>
        <v>7.4627973292217549</v>
        <stp/>
        <stp>##V3_BDPV12</stp>
        <stp>XS2034561584 ISIN</stp>
        <stp>YLD_YTM_MID</stp>
        <stp>[DIF_Risk_20200430.xlsm]Geneva investment position repo!R97C61</stp>
        <tr r="BI97" s="1"/>
      </tp>
      <tp>
        <v>4.482493274750234</v>
        <stp/>
        <stp>##V3_BDPV12</stp>
        <stp>XS2131434099 ISIN</stp>
        <stp>YLD_YTM_MID</stp>
        <stp>[DIF_Risk_20200430.xlsm]Geneva investment position repo!R88C61</stp>
        <tr r="BI88" s="1"/>
      </tp>
      <tp>
        <v>3.1872856176775306</v>
        <stp/>
        <stp>##V3_BDPV12</stp>
        <stp>XS2034561584 ISIN</stp>
        <stp>DUR_ADJ_MID</stp>
        <stp>[DIF_Risk_20200430.xlsm]Geneva investment position repo!R97C59</stp>
        <tr r="BG97" s="1"/>
      </tp>
      <tp>
        <v>0.77470708090113438</v>
        <stp/>
        <stp>##V3_BDPV12</stp>
        <stp>XS2131434099 ISIN</stp>
        <stp>DUR_ADJ_MID</stp>
        <stp>[DIF_Risk_20200430.xlsm]Geneva investment position repo!R88C59</stp>
        <tr r="BG88" s="1"/>
      </tp>
      <tp>
        <v>4.2785436148581972</v>
        <stp/>
        <stp>##V3_BDPV12</stp>
        <stp>XS2114413565 ISIN</stp>
        <stp>DUR_ADJ_MID</stp>
        <stp>[DIF_Risk_20200430.xlsm]Geneva investment position repo!R27C59</stp>
        <tr r="BG27" s="1"/>
      </tp>
      <tp>
        <v>0.24965578810748149</v>
        <stp/>
        <stp>##V3_BDPV12</stp>
        <stp>XS2042630355 ISIN</stp>
        <stp>DUR_ADJ_MID</stp>
        <stp>[DIF_Risk_20200430.xlsm]Geneva investment position repo!R59C59</stp>
        <tr r="BG59" s="1"/>
      </tp>
      <tp>
        <v>4.0879277962857437</v>
        <stp/>
        <stp>##V3_BDPV12</stp>
        <stp>XS2099372802 ISIN</stp>
        <stp>DUR_ADJ_MID</stp>
        <stp>[DIF_Risk_20200430.xlsm]Geneva investment position repo!R34C59</stp>
        <tr r="BG34" s="1"/>
      </tp>
      <tp>
        <v>7.0326075350026365</v>
        <stp/>
        <stp>##V3_BDPV12</stp>
        <stp>XS1545506401 ISIN</stp>
        <stp>YLD_YTM_MID</stp>
        <stp>[DIF_Risk_20200430.xlsm]Geneva investment position repo!R96C61</stp>
        <tr r="BI96" s="1"/>
      </tp>
      <tp t="s">
        <v>#N/A Field Not Applicable</v>
        <stp/>
        <stp>##V3_BDPV12</stp>
        <stp>BBG00QNT5B76 FIGI</stp>
        <stp>SECURITY_TYP2</stp>
        <stp>[DIF_Risk_20200430.xlsm]Geneva investment position repo!R30C21</stp>
        <tr r="U30" s="1"/>
      </tp>
      <tp>
        <v>19.471860609228425</v>
        <stp/>
        <stp>##V3_BDPV12</stp>
        <stp>XS2159975882 ISIN</stp>
        <stp>DUR_ADJ_MID</stp>
        <stp>[DIF_Risk_20200430.xlsm]Geneva investment position repo!R95C59</stp>
        <tr r="BG95" s="1"/>
      </tp>
      <tp>
        <v>1.8624604219970047</v>
        <stp/>
        <stp>##V3_BDPV12</stp>
        <stp>XS2009869897 ISIN</stp>
        <stp>DUR_ADJ_MID</stp>
        <stp>[DIF_Risk_20200430.xlsm]Geneva investment position repo!R76C59</stp>
        <tr r="BG76" s="1"/>
      </tp>
      <tp>
        <v>7.1928698790892645</v>
        <stp/>
        <stp>##V3_BDPV12</stp>
        <stp>XS2100726160 ISIN</stp>
        <stp>DUR_ADJ_MID</stp>
        <stp>[DIF_Risk_20200430.xlsm]Geneva investment position repo!R64C59</stp>
        <tr r="BG64" s="1"/>
      </tp>
      <tp>
        <v>240.78723750553311</v>
        <stp/>
        <stp>##V3_BDPV12</stp>
        <stp>XS1376566714 ISIN</stp>
        <stp>YLD_YTM_MID</stp>
        <stp>[DIF_Risk_20200430.xlsm]Geneva investment position repo!R45C61</stp>
        <tr r="BI45" s="1"/>
      </tp>
      <tp>
        <v>1.4834274642292753</v>
        <stp/>
        <stp>##V3_BDPV12</stp>
        <stp>XS1545506401 ISIN</stp>
        <stp>DUR_ADJ_MID</stp>
        <stp>[DIF_Risk_20200430.xlsm]Geneva investment position repo!R96C59</stp>
        <tr r="BG96" s="1"/>
      </tp>
      <tp>
        <v>3.9239704118776193</v>
        <stp/>
        <stp>##V3_BDPV12</stp>
        <stp>XS2159975882 ISIN</stp>
        <stp>YLD_YTM_MID</stp>
        <stp>[DIF_Risk_20200430.xlsm]Geneva investment position repo!R95C61</stp>
        <tr r="BI95" s="1"/>
      </tp>
      <tp>
        <v>5.6076883831447004</v>
        <stp/>
        <stp>##V3_BDPV12</stp>
        <stp>XS2009869897 ISIN</stp>
        <stp>YLD_YTM_MID</stp>
        <stp>[DIF_Risk_20200430.xlsm]Geneva investment position repo!R76C61</stp>
        <tr r="BI76" s="1"/>
      </tp>
      <tp>
        <v>0.39953768231686837</v>
        <stp/>
        <stp>##V3_BDPV12</stp>
        <stp>XS1376566714 ISIN</stp>
        <stp>DUR_ADJ_MID</stp>
        <stp>[DIF_Risk_20200430.xlsm]Geneva investment position repo!R45C59</stp>
        <tr r="BG45" s="1"/>
      </tp>
      <tp>
        <v>5.7559400853656255</v>
        <stp/>
        <stp>##V3_BDPV12</stp>
        <stp>XS2100726160 ISIN</stp>
        <stp>YLD_YTM_MID</stp>
        <stp>[DIF_Risk_20200430.xlsm]Geneva investment position repo!R64C61</stp>
        <tr r="BI64" s="1"/>
      </tp>
      <tp>
        <v>3.1010357541825173</v>
        <stp/>
        <stp>##V3_BDPV12</stp>
        <stp>XS2114413565 ISIN</stp>
        <stp>YLD_YTM_MID</stp>
        <stp>[DIF_Risk_20200430.xlsm]Geneva investment position repo!R27C61</stp>
        <tr r="BI27" s="1"/>
      </tp>
      <tp>
        <v>4.9471030026902358</v>
        <stp/>
        <stp>##V3_BDPV12</stp>
        <stp>XS2042630355 ISIN</stp>
        <stp>YLD_YTM_MID</stp>
        <stp>[DIF_Risk_20200430.xlsm]Geneva investment position repo!R59C61</stp>
        <tr r="BI59" s="1"/>
      </tp>
      <tp>
        <v>5.5363413860858479</v>
        <stp/>
        <stp>##V3_BDPV12</stp>
        <stp>XS2099372802 ISIN</stp>
        <stp>YLD_YTM_MID</stp>
        <stp>[DIF_Risk_20200430.xlsm]Geneva investment position repo!R34C61</stp>
        <tr r="BI34" s="1"/>
      </tp>
      <tp t="s">
        <v>MX</v>
        <stp/>
        <stp>##V3_BDPV12</stp>
        <stp>BBG00RHHSFZ2 FIGI</stp>
        <stp>CNTRY_OF_RISK</stp>
        <stp>[DIF_Risk_20200430.xlsm]Geneva investment position repo!R122C38</stp>
        <tr r="AL122" s="1"/>
      </tp>
      <tp t="s">
        <v>#N/A Field Not Applicable</v>
        <stp/>
        <stp>##V3_BDPV12</stp>
        <stp>BBG000MKLJD1 FIGI</stp>
        <stp>FITCH_EFF_DT</stp>
        <stp>[DIF_Risk_20200430.xlsm]Geneva investment position repo!R22C73</stp>
        <tr r="BU22" s="1"/>
      </tp>
      <tp t="s">
        <v>#N/A Field Not Applicable</v>
        <stp/>
        <stp>##V3_BDPV12</stp>
        <stp>BBG00NG9L0S8 FIGI</stp>
        <stp>SECURITY_TYP2</stp>
        <stp>[DIF_Risk_20200430.xlsm]Geneva investment position repo!R134C21</stp>
        <tr r="U134" s="1"/>
      </tp>
      <tp t="s">
        <v>CN</v>
        <stp/>
        <stp>##V3_BDPV12</stp>
        <stp>BBG00M0MD1Z7 FIGI</stp>
        <stp>CNTRY_OF_RISK</stp>
        <stp>[DIF_Risk_20200430.xlsm]Geneva investment position repo!R55C38</stp>
        <tr r="AL55" s="1"/>
      </tp>
      <tp t="s">
        <v>2/24/2020</v>
        <stp/>
        <stp>##V3_BDPV12</stp>
        <stp>BBG00RYF5CJ7 FIGI</stp>
        <stp>MOODY_EFF_DT</stp>
        <stp>[DIF_Risk_20200430.xlsm]Geneva investment position repo!R35C72</stp>
        <tr r="BT35" s="1"/>
      </tp>
      <tp t="s">
        <v>CN</v>
        <stp/>
        <stp>##V3_BDPV12</stp>
        <stp>BBG00S9HKR72 FIGI</stp>
        <stp>CNTRY_OF_RISK</stp>
        <stp>[DIF_Risk_20200430.xlsm]Geneva investment position repo!R36C38</stp>
        <tr r="AL36" s="1"/>
      </tp>
      <tp t="s">
        <v>#N/A N/A</v>
        <stp/>
        <stp>##V3_BDPV12</stp>
        <stp>BBG00NBG3YQ5 FIGI</stp>
        <stp>MOODY_EFF_DT</stp>
        <stp>[DIF_Risk_20200430.xlsm]Geneva investment position repo!R91C72</stp>
        <tr r="BT91" s="1"/>
      </tp>
      <tp t="s">
        <v>#N/A Field Not Applicable</v>
        <stp/>
        <stp>##V3_BDPV12</stp>
        <stp>BBG00R9SN7F2 FIGI</stp>
        <stp>SECURITY_TYP2</stp>
        <stp>[DIF_Risk_20200430.xlsm]Geneva investment position repo!R63C21</stp>
        <tr r="U63" s="1"/>
      </tp>
      <tp t="s">
        <v>CN</v>
        <stp/>
        <stp>##V3_BDPV12</stp>
        <stp>BBG00LVCWLT9 FIGI</stp>
        <stp>CNTRY_OF_RISK</stp>
        <stp>[DIF_Risk_20200430.xlsm]Geneva investment position repo!R42C38</stp>
        <tr r="AL42" s="1"/>
      </tp>
      <tp t="s">
        <v>#N/A Field Not Applicable</v>
        <stp/>
        <stp>##V3_BDPV12</stp>
        <stp>BBG005BTJ9P5 FIGI</stp>
        <stp>SECURITY_TYP2</stp>
        <stp>[DIF_Risk_20200430.xlsm]Geneva investment position repo!R65C21</stp>
        <tr r="U65" s="1"/>
      </tp>
      <tp t="s">
        <v>CN</v>
        <stp/>
        <stp>##V3_BDPV12</stp>
        <stp>BBG00Q3NXL14 FIGI</stp>
        <stp>CNTRY_OF_RISK</stp>
        <stp>[DIF_Risk_20200430.xlsm]Geneva investment position repo!R59C38</stp>
        <tr r="AL59" s="1"/>
      </tp>
      <tp t="s">
        <v>#N/A Field Not Applicable</v>
        <stp/>
        <stp>##V3_BDPV12</stp>
        <stp>BBG00RT2L457 FIGI</stp>
        <stp>SECURITY_TYP2</stp>
        <stp>[DIF_Risk_20200430.xlsm]Geneva investment position repo!R177C21</stp>
        <tr r="U177" s="1"/>
      </tp>
      <tp t="s">
        <v>#N/A Field Not Applicable</v>
        <stp/>
        <stp>##V3_BDPV12</stp>
        <stp>BBG00LVCGFZ3 FIGI</stp>
        <stp>CAPITAL_CONTINGENT_SECURITY</stp>
        <stp>[DIF_Risk_20200430.xlsm]Geneva investment position repo!R77C42</stp>
        <tr r="AP77" s="1"/>
      </tp>
      <tp t="s">
        <v>ACTV</v>
        <stp/>
        <stp>##V3_BDPV12</stp>
        <stp>BBG00N2KDB12 FIGI</stp>
        <stp>EXCH_MARKET_STATUS</stp>
        <stp>[DIF_Risk_20200430.xlsm]Geneva investment position repo!R174C44</stp>
        <tr r="AR174" s="1"/>
        <tr r="AR174" s="1"/>
      </tp>
      <tp t="s">
        <v>#N/A N/A</v>
        <stp/>
        <stp>##V3_BDPV12</stp>
        <stp>BBG00QRVV6Z8 FIGI</stp>
        <stp>MOODY_EFF_DT</stp>
        <stp>[DIF_Risk_20200430.xlsm]Geneva investment position repo!R155C72</stp>
        <tr r="BT155" s="1"/>
      </tp>
      <tp t="s">
        <v>10/16/2019</v>
        <stp/>
        <stp>##V3_BDPV12</stp>
        <stp>BBG00NTXM180 FIGI</stp>
        <stp>FITCH_EFF_DT</stp>
        <stp>[DIF_Risk_20200430.xlsm]Geneva investment position repo!R136C73</stp>
        <tr r="BU136" s="1"/>
      </tp>
      <tp t="s">
        <v>ACTV</v>
        <stp/>
        <stp>##V3_BDPV12</stp>
        <stp>BBG00HC2ZDQ9 FIGI</stp>
        <stp>EXCH_MARKET_STATUS</stp>
        <stp>[DIF_Risk_20200430.xlsm]Geneva investment position repo!R151C44</stp>
        <tr r="AR151" s="1"/>
        <tr r="AR151" s="1"/>
      </tp>
      <tp>
        <v>2.6663460679258693</v>
        <stp/>
        <stp>##V3_BDPV12</stp>
        <stp>XS2127809528 ISIN</stp>
        <stp>DUR_ADJ_MID</stp>
        <stp>[DIF_Risk_20200430.xlsm]Geneva investment position repo!R36C59</stp>
        <tr r="BG36" s="1"/>
      </tp>
      <tp t="s">
        <v>#N/A Field Not Applicable</v>
        <stp/>
        <stp>##V3_BDPV12</stp>
        <stp>BBG00R9SLKK9 FIGI</stp>
        <stp>SECURITY_TYP2</stp>
        <stp>[DIF_Risk_20200430.xlsm]Geneva investment position repo!R148C21</stp>
        <tr r="U148" s="1"/>
      </tp>
      <tp>
        <v>2.9475997929804558</v>
        <stp/>
        <stp>##V3_BDPV12</stp>
        <stp>XS1856800450 ISIN</stp>
        <stp>YLD_YTM_MID</stp>
        <stp>[DIF_Risk_20200430.xlsm]Geneva investment position repo!R61C61</stp>
        <tr r="BI61" s="1"/>
      </tp>
      <tp>
        <v>1.2961329554351908</v>
        <stp/>
        <stp>##V3_BDPV12</stp>
        <stp>XS1924249680 ISIN</stp>
        <stp>DUR_ADJ_MID</stp>
        <stp>[DIF_Risk_20200430.xlsm]Geneva investment position repo!R74C59</stp>
        <tr r="BG74" s="1"/>
      </tp>
      <tp>
        <v>6.7400618596152384</v>
        <stp/>
        <stp>##V3_BDPV12</stp>
        <stp>XS1856800450 ISIN</stp>
        <stp>DUR_ADJ_MID</stp>
        <stp>[DIF_Risk_20200430.xlsm]Geneva investment position repo!R61C59</stp>
        <tr r="BG61" s="1"/>
      </tp>
      <tp>
        <v>10.812982320940961</v>
        <stp/>
        <stp>##V3_BDPV12</stp>
        <stp>XS1924249680 ISIN</stp>
        <stp>YLD_YTM_MID</stp>
        <stp>[DIF_Risk_20200430.xlsm]Geneva investment position repo!R74C61</stp>
        <tr r="BI74" s="1"/>
      </tp>
      <tp>
        <v>2.9985807206066752</v>
        <stp/>
        <stp>##V3_BDPV12</stp>
        <stp>XS2127809528 ISIN</stp>
        <stp>YLD_YTM_MID</stp>
        <stp>[DIF_Risk_20200430.xlsm]Geneva investment position repo!R36C61</stp>
        <tr r="BI36" s="1"/>
      </tp>
      <tp>
        <v>3.3782934170356271</v>
        <stp/>
        <stp>##V3_BDPV12</stp>
        <stp>XS1852561031 ISIN</stp>
        <stp>YLD_YTM_MID</stp>
        <stp>[DIF_Risk_20200430.xlsm]Geneva investment position repo!R55C61</stp>
        <tr r="BI55" s="1"/>
      </tp>
      <tp>
        <v>5.3367807122978164</v>
        <stp/>
        <stp>##V3_BDPV12</stp>
        <stp>XS1801151371 ISIN</stp>
        <stp>YLD_YTM_MID</stp>
        <stp>[DIF_Risk_20200430.xlsm]Geneva investment position repo!R56C61</stp>
        <tr r="BI56" s="1"/>
      </tp>
      <tp>
        <v>2.1461253644555849</v>
        <stp/>
        <stp>##V3_BDPV12</stp>
        <stp>XS1856799421 ISIN</stp>
        <stp>YLD_YTM_MID</stp>
        <stp>[DIF_Risk_20200430.xlsm]Geneva investment position repo!R60C61</stp>
        <tr r="BI60" s="1"/>
      </tp>
      <tp>
        <v>1.3338545555716124</v>
        <stp/>
        <stp>##V3_BDPV12</stp>
        <stp>XS1891659358 ISIN</stp>
        <stp>DUR_ADJ_MID</stp>
        <stp>[DIF_Risk_20200430.xlsm]Geneva investment position repo!R32C59</stp>
        <tr r="BG32" s="1"/>
      </tp>
      <tp t="s">
        <v>4/17/2021</v>
        <stp/>
        <stp>##V3_BDPV12</stp>
        <stp>BBG00KDP8LC7 FIGI</stp>
        <stp>CALC_MATURITY</stp>
        <stp>[DIF_Risk_20200430.xlsm]Geneva investment position repo!R49C55</stp>
        <tr r="BC49" s="1"/>
      </tp>
      <tp t="s">
        <v>#N/A Field Not Applicable</v>
        <stp/>
        <stp>##V3_BDPV12</stp>
        <stp>BBG00RCY5V08 FIGI</stp>
        <stp>SECURITY_TYP2</stp>
        <stp>[DIF_Risk_20200430.xlsm]Geneva investment position repo!R39C21</stp>
        <tr r="U39" s="1"/>
      </tp>
      <tp>
        <v>3.4193536777363027</v>
        <stp/>
        <stp>##V3_BDPV12</stp>
        <stp>XS1891659358 ISIN</stp>
        <stp>YLD_YTM_MID</stp>
        <stp>[DIF_Risk_20200430.xlsm]Geneva investment position repo!R32C61</stp>
        <tr r="BI32" s="1"/>
      </tp>
      <tp>
        <v>2.9522489276630703</v>
        <stp/>
        <stp>##V3_BDPV12</stp>
        <stp>XS1856799421 ISIN</stp>
        <stp>DUR_ADJ_MID</stp>
        <stp>[DIF_Risk_20200430.xlsm]Geneva investment position repo!R60C59</stp>
        <tr r="BG60" s="1"/>
      </tp>
      <tp>
        <v>1.2756875218414143</v>
        <stp/>
        <stp>##V3_BDPV12</stp>
        <stp>XS1852561031 ISIN</stp>
        <stp>DUR_ADJ_MID</stp>
        <stp>[DIF_Risk_20200430.xlsm]Geneva investment position repo!R55C59</stp>
        <tr r="BG55" s="1"/>
      </tp>
      <tp>
        <v>0.8659517464349118</v>
        <stp/>
        <stp>##V3_BDPV12</stp>
        <stp>XS1801151371 ISIN</stp>
        <stp>DUR_ADJ_MID</stp>
        <stp>[DIF_Risk_20200430.xlsm]Geneva investment position repo!R56C59</stp>
        <tr r="BG56" s="1"/>
      </tp>
      <tp t="s">
        <v>CN</v>
        <stp/>
        <stp>##V3_BDPV12</stp>
        <stp>BBG00PSJ40G0 FIGI</stp>
        <stp>CNTRY_OF_RISK</stp>
        <stp>[DIF_Risk_20200430.xlsm]Geneva investment position repo!R97C38</stp>
        <tr r="AL97" s="1"/>
      </tp>
      <tp t="s">
        <v>CN</v>
        <stp/>
        <stp>##V3_BDPV12</stp>
        <stp>BBG00MKJ4690 FIGI</stp>
        <stp>CNTRY_OF_RISK</stp>
        <stp>[DIF_Risk_20200430.xlsm]Geneva investment position repo!R54C38</stp>
        <tr r="AL54" s="1"/>
      </tp>
      <tp t="s">
        <v>#N/A Field Not Applicable</v>
        <stp/>
        <stp>##V3_BDPV12</stp>
        <stp>BBG00RYDWX24 FIGI</stp>
        <stp>CAPITAL_CONTINGENT_SECURITY</stp>
        <stp>[DIF_Risk_20200430.xlsm]Geneva investment position repo!R85C42</stp>
        <tr r="AP85" s="1"/>
      </tp>
      <tp t="s">
        <v>#N/A Field Not Applicable</v>
        <stp/>
        <stp>##V3_BDPV12</stp>
        <stp>BBG00SY1QXH9 FIGI</stp>
        <stp>CAPITAL_CONTINGENT_SECURITY</stp>
        <stp>[DIF_Risk_20200430.xlsm]Geneva investment position repo!R31C42</stp>
        <tr r="AP31" s="1"/>
      </tp>
      <tp t="s">
        <v>2/11/2020</v>
        <stp/>
        <stp>##V3_BDPV12</stp>
        <stp>BBG00RPNYQB5 FIGI</stp>
        <stp>MOODY_EFF_DT</stp>
        <stp>[DIF_Risk_20200430.xlsm]Geneva investment position repo!R47C72</stp>
        <tr r="BT47" s="1"/>
      </tp>
      <tp t="s">
        <v>US</v>
        <stp/>
        <stp>##V3_BDPV12</stp>
        <stp>BBG00SYNG075 FIGI</stp>
        <stp>CNTRY_OF_RISK</stp>
        <stp>[DIF_Risk_20200430.xlsm]Geneva investment position repo!R40C38</stp>
        <tr r="AL40" s="1"/>
      </tp>
      <tp t="s">
        <v>#N/A N/A</v>
        <stp/>
        <stp>##V3_BDPV12</stp>
        <stp>BBG00PDL9DV1 FIGI</stp>
        <stp>MOODY_EFF_DT</stp>
        <stp>[DIF_Risk_20200430.xlsm]Geneva investment position repo!R53C72</stp>
        <tr r="BT53" s="1"/>
      </tp>
      <tp t="s">
        <v>#N/A Field Not Applicable</v>
        <stp/>
        <stp>##V3_BDPV12</stp>
        <stp>BBG00NDFM319 FIGI</stp>
        <stp>SECURITY_TYP2</stp>
        <stp>[DIF_Risk_20200430.xlsm]Geneva investment position repo!R140C21</stp>
        <tr r="U140" s="1"/>
      </tp>
      <tp t="s">
        <v>#N/A Field Not Applicable</v>
        <stp/>
        <stp>##V3_BDPV12</stp>
        <stp>BBG00NTXM180 FIGI</stp>
        <stp>SECURITY_TYP2</stp>
        <stp>[DIF_Risk_20200430.xlsm]Geneva investment position repo!R136C21</stp>
        <tr r="U136" s="1"/>
      </tp>
      <tp t="s">
        <v>4/28/2050</v>
        <stp/>
        <stp>##V3_BDPV12</stp>
        <stp>BBG00TFTG847 FIGI</stp>
        <stp>CALC_MATURITY</stp>
        <stp>[DIF_Risk_20200430.xlsm]Geneva investment position repo!R117C55</stp>
        <tr r="BC117" s="1"/>
      </tp>
      <tp t="s">
        <v>12/5/2022</v>
        <stp/>
        <stp>##V3_BDPV12</stp>
        <stp>BBG00QYPDPC6 FIGI</stp>
        <stp>CALC_MATURITY</stp>
        <stp>[DIF_Risk_20200430.xlsm]Geneva investment position repo!R68C55</stp>
        <tr r="BC68" s="1"/>
      </tp>
      <tp t="s">
        <v>12/4/2017</v>
        <stp/>
        <stp>##V3_BDPV12</stp>
        <stp>BBG005BTJ9P5 FIGI</stp>
        <stp>MOODY_EFF_DT</stp>
        <stp>[DIF_Risk_20200430.xlsm]Geneva investment position repo!R65C72</stp>
        <tr r="BT65" s="1"/>
      </tp>
      <tp t="s">
        <v>10/15/2021</v>
        <stp/>
        <stp>##V3_BDPV12</stp>
        <stp>BBG00NV0G541 FIGI</stp>
        <stp>CALC_MATURITY</stp>
        <stp>[DIF_Risk_20200430.xlsm]Geneva investment position repo!R165C55</stp>
        <tr r="BC165" s="1"/>
      </tp>
      <tp t="s">
        <v>CN</v>
        <stp/>
        <stp>##V3_BDPV12</stp>
        <stp>BBG00RPNYQB5 FIGI</stp>
        <stp>CNTRY_OF_RISK</stp>
        <stp>[DIF_Risk_20200430.xlsm]Geneva investment position repo!R47C38</stp>
        <tr r="AL47" s="1"/>
      </tp>
      <tp t="s">
        <v>#N/A Field Not Applicable</v>
        <stp/>
        <stp>##V3_BDPV12</stp>
        <stp>BBG00TDCM2R7 FIGI</stp>
        <stp>SECURITY_TYP2</stp>
        <stp>[DIF_Risk_20200430.xlsm]Geneva investment position repo!R147C21</stp>
        <tr r="U147" s="1"/>
      </tp>
      <tp t="s">
        <v>2/24/2020</v>
        <stp/>
        <stp>##V3_BDPV12</stp>
        <stp>BBG00RPXTTD1 FIGI</stp>
        <stp>FITCH_EFF_DT</stp>
        <stp>[DIF_Risk_20200430.xlsm]Geneva investment position repo!R137C73</stp>
        <tr r="BU137" s="1"/>
      </tp>
      <tp t="s">
        <v>#N/A N/A</v>
        <stp/>
        <stp>##V3_BDPV12</stp>
        <stp>BBG00MNWHQT8 FIGI</stp>
        <stp>MOODY_EFF_DT</stp>
        <stp>[DIF_Risk_20200430.xlsm]Geneva investment position repo!R135C72</stp>
        <tr r="BT135" s="1"/>
      </tp>
      <tp t="s">
        <v>ACTV</v>
        <stp/>
        <stp>##V3_BDPV12</stp>
        <stp>BBG00K6FDF25 FIGI</stp>
        <stp>EXCH_MARKET_STATUS</stp>
        <stp>[DIF_Risk_20200430.xlsm]Geneva investment position repo!R101C44</stp>
        <tr r="AR101" s="1"/>
        <tr r="AR101" s="1"/>
      </tp>
      <tp t="s">
        <v>ACTV</v>
        <stp/>
        <stp>##V3_BDPV12</stp>
        <stp>BBG00NHNXCH9 FIGI</stp>
        <stp>EXCH_MARKET_STATUS</stp>
        <stp>[DIF_Risk_20200430.xlsm]Geneva investment position repo!R179C44</stp>
        <tr r="AR179" s="1"/>
        <tr r="AR179" s="1"/>
      </tp>
      <tp t="s">
        <v>1/23/2020</v>
        <stp/>
        <stp>##V3_BDPV12</stp>
        <stp>BBG00PDYXN26 FIGI</stp>
        <stp>MOODY_EFF_DT</stp>
        <stp>[DIF_Risk_20200430.xlsm]Geneva investment position repo!R156C72</stp>
        <tr r="BT156" s="1"/>
      </tp>
      <tp t="s">
        <v>#N/A Field Not Applicable</v>
        <stp/>
        <stp>##V3_BDPV12</stp>
        <stp>BBG00N14RT60 FIGI</stp>
        <stp>CAPITAL_CONTINGENT_SECURITY</stp>
        <stp>[DIF_Risk_20200430.xlsm]Geneva investment position repo!R153C42</stp>
        <tr r="AP153" s="1"/>
      </tp>
      <tp>
        <v>4.1055511866528267</v>
        <stp/>
        <stp>##V3_BDPV12</stp>
        <stp>USJ41838AA14 ISIN</stp>
        <stp>YLD_YTM_MID</stp>
        <stp>[DIF_Risk_20200430.xlsm]Geneva investment position repo!R115C61</stp>
        <tr r="BI115" s="1"/>
      </tp>
      <tp t="s">
        <v>1/22/2049</v>
        <stp/>
        <stp>##V3_BDPV12</stp>
        <stp>BBG00BWQ0R57 FIGI</stp>
        <stp>CALC_MATURITY</stp>
        <stp>[DIF_Risk_20200430.xlsm]Geneva investment position repo!R62C55</stp>
        <tr r="BC62" s="1"/>
      </tp>
      <tp t="s">
        <v>Common Stock</v>
        <stp/>
        <stp>##V3_BDPV12</stp>
        <stp>BBG00LLV9WW6 FIGI</stp>
        <stp>SECURITY_TYP2</stp>
        <stp>[DIF_Risk_20200430.xlsm]Geneva investment position repo!R21C21</stp>
        <tr r="U21" s="1"/>
      </tp>
      <tp t="s">
        <v>BBG00QN3F2R0</v>
        <stp/>
        <stp>##V3_BDPV12</stp>
        <stp>USY70902AB04 ISIN</stp>
        <stp>ID_BB_GLOBAL</stp>
        <stp>[DIF_Risk_20200430.xlsm]Geneva investment position repo!R28C18</stp>
        <tr r="R28" s="1"/>
      </tp>
      <tp>
        <v>3.5034069726911445</v>
        <stp/>
        <stp>##V3_BDPV12</stp>
        <stp>XS2020061326 ISIN</stp>
        <stp>DUR_ADJ_MID</stp>
        <stp>[DIF_Risk_20200430.xlsm]Geneva investment position repo!R52C59</stp>
        <tr r="BG52" s="1"/>
      </tp>
      <tp>
        <v>4.6057423794890724</v>
        <stp/>
        <stp>##V3_BDPV12</stp>
        <stp>XS2123115029 ISIN</stp>
        <stp>DUR_ADJ_MID</stp>
        <stp>[DIF_Risk_20200430.xlsm]Geneva investment position repo!R89C59</stp>
        <tr r="BG89" s="1"/>
      </tp>
      <tp t="s">
        <v>#N/A Field Not Applicable</v>
        <stp/>
        <stp>##V3_BDPV12</stp>
        <stp>BBG00HVHMY65 FIGI</stp>
        <stp>SECURITY_TYP2</stp>
        <stp>[DIF_Risk_20200430.xlsm]Geneva investment position repo!R119C21</stp>
        <tr r="U119" s="1"/>
      </tp>
      <tp>
        <v>10.677027571826596</v>
        <stp/>
        <stp>##V3_BDPV12</stp>
        <stp>XS2100597330 ISIN</stp>
        <stp>YLD_YTM_MID</stp>
        <stp>[DIF_Risk_20200430.xlsm]Geneva investment position repo!R48C61</stp>
        <tr r="BI48" s="1"/>
      </tp>
      <tp>
        <v>10.887171748287221</v>
        <stp/>
        <stp>##V3_BDPV12</stp>
        <stp>XS2030329358 ISIN</stp>
        <stp>YLD_YTM_MID</stp>
        <stp>[DIF_Risk_20200430.xlsm]Geneva investment position repo!R73C61</stp>
        <tr r="BI73" s="1"/>
      </tp>
      <tp t="s">
        <v>#N/A N/A</v>
        <stp/>
        <stp>##V3_BDPV12</stp>
        <stp>XS2122176113 ISIN</stp>
        <stp>DUR_ADJ_MID</stp>
        <stp>[DIF_Risk_20200430.xlsm]Geneva investment position repo!R90C59</stp>
        <tr r="BG90" s="1"/>
      </tp>
      <tp t="s">
        <v>#N/A N/A</v>
        <stp/>
        <stp>##V3_BDPV12</stp>
        <stp>XS2122176113 ISIN</stp>
        <stp>YLD_YTM_MID</stp>
        <stp>[DIF_Risk_20200430.xlsm]Geneva investment position repo!R90C61</stp>
        <tr r="BI90" s="1"/>
      </tp>
      <tp>
        <v>2.0140144383687382</v>
        <stp/>
        <stp>##V3_BDPV12</stp>
        <stp>XS2030329358 ISIN</stp>
        <stp>DUR_ADJ_MID</stp>
        <stp>[DIF_Risk_20200430.xlsm]Geneva investment position repo!R73C59</stp>
        <tr r="BG73" s="1"/>
      </tp>
      <tp>
        <v>3.5989173135316737</v>
        <stp/>
        <stp>##V3_BDPV12</stp>
        <stp>XS2100597330 ISIN</stp>
        <stp>DUR_ADJ_MID</stp>
        <stp>[DIF_Risk_20200430.xlsm]Geneva investment position repo!R48C59</stp>
        <tr r="BG48" s="1"/>
      </tp>
      <tp t="s">
        <v>#N/A Field Not Applicable</v>
        <stp/>
        <stp>##V3_BDPV12</stp>
        <stp>BBG00RB0MG61 FIGI</stp>
        <stp>SECURITY_TYP2</stp>
        <stp>[DIF_Risk_20200430.xlsm]Geneva investment position repo!R100C21</stp>
        <tr r="U100" s="1"/>
      </tp>
      <tp>
        <v>4.8308907376867216</v>
        <stp/>
        <stp>##V3_BDPV12</stp>
        <stp>XS2020061326 ISIN</stp>
        <stp>YLD_YTM_MID</stp>
        <stp>[DIF_Risk_20200430.xlsm]Geneva investment position repo!R52C61</stp>
        <tr r="BI52" s="1"/>
      </tp>
      <tp>
        <v>3.5702181324077582</v>
        <stp/>
        <stp>##V3_BDPV12</stp>
        <stp>XS2123115029 ISIN</stp>
        <stp>YLD_YTM_MID</stp>
        <stp>[DIF_Risk_20200430.xlsm]Geneva investment position repo!R89C61</stp>
        <tr r="BI89" s="1"/>
      </tp>
      <tp t="s">
        <v>#N/A Field Not Applicable</v>
        <stp/>
        <stp>##V3_BDPV12</stp>
        <stp>BBG00N0Q0RS1 FIGI</stp>
        <stp>SECURITY_TYP2</stp>
        <stp>[DIF_Risk_20200430.xlsm]Geneva investment position repo!R50C21</stp>
        <tr r="U50" s="1"/>
      </tp>
      <tp t="s">
        <v>#N/A Field Not Applicable</v>
        <stp/>
        <stp>##V3_BDPV12</stp>
        <stp>BBG00RZ2MZZ7 FIGI</stp>
        <stp>SECURITY_TYP2</stp>
        <stp>[DIF_Risk_20200430.xlsm]Geneva investment position repo!R113C21</stp>
        <tr r="U113" s="1"/>
      </tp>
      <tp t="s">
        <v>4/19/2023</v>
        <stp/>
        <stp>##V3_BDPV12</stp>
        <stp>BBG00KMRGS75 FIGI</stp>
        <stp>CALC_MATURITY</stp>
        <stp>[DIF_Risk_20200430.xlsm]Geneva investment position repo!R152C55</stp>
        <tr r="BC152" s="1"/>
      </tp>
      <tp t="s">
        <v>CN</v>
        <stp/>
        <stp>##V3_BDPV12</stp>
        <stp>BBG00N2K8LG0 FIGI</stp>
        <stp>CNTRY_OF_RISK</stp>
        <stp>[DIF_Risk_20200430.xlsm]Geneva investment position repo!R43C38</stp>
        <tr r="AL43" s="1"/>
      </tp>
      <tp t="s">
        <v>#N/A Field Not Applicable</v>
        <stp/>
        <stp>##V3_BDPV12</stp>
        <stp>BBG00KNCMN62 FIGI</stp>
        <stp>SECURITY_TYP2</stp>
        <stp>[DIF_Risk_20200430.xlsm]Geneva investment position repo!R102C21</stp>
        <tr r="U102" s="1"/>
      </tp>
      <tp t="s">
        <v>US</v>
        <stp/>
        <stp>##V3_BDPV12</stp>
        <stp>BBG00RPJBQ56 FIGI</stp>
        <stp>CNTRY_OF_RISK</stp>
        <stp>[DIF_Risk_20200430.xlsm]Geneva investment position repo!R27C38</stp>
        <tr r="AL27" s="1"/>
      </tp>
      <tp t="s">
        <v>#N/A Field Not Applicable</v>
        <stp/>
        <stp>##V3_BDPV12</stp>
        <stp>BBG00NG9J699 FIGI</stp>
        <stp>SECURITY_TYP2</stp>
        <stp>[DIF_Risk_20200430.xlsm]Geneva investment position repo!R139C21</stp>
        <tr r="U139" s="1"/>
      </tp>
      <tp t="s">
        <v>#N/A Field Not Applicable</v>
        <stp/>
        <stp>##V3_BDPV12</stp>
        <stp>BBG005BTJ9P5 FIGI</stp>
        <stp>CAPITAL_CONTINGENT_SECURITY</stp>
        <stp>[DIF_Risk_20200430.xlsm]Geneva investment position repo!R65C42</stp>
        <tr r="AP65" s="1"/>
      </tp>
      <tp t="s">
        <v>CN</v>
        <stp/>
        <stp>##V3_BDPV12</stp>
        <stp>BBG00QRVV6Z8 FIGI</stp>
        <stp>CNTRY_OF_RISK</stp>
        <stp>[DIF_Risk_20200430.xlsm]Geneva investment position repo!R155C38</stp>
        <tr r="AL155" s="1"/>
      </tp>
      <tp t="s">
        <v>#N/A Field Not Applicable</v>
        <stp/>
        <stp>##V3_BDPV12</stp>
        <stp>BBG000BDW8M1 FIGI</stp>
        <stp>FITCH_EFF_DT</stp>
        <stp>[DIF_Risk_20200430.xlsm]Geneva investment position repo!R14C73</stp>
        <tr r="BU14" s="1"/>
      </tp>
      <tp t="s">
        <v>CN</v>
        <stp/>
        <stp>##V3_BDPV12</stp>
        <stp>BBG00QRVV8P5 FIGI</stp>
        <stp>CNTRY_OF_RISK</stp>
        <stp>[DIF_Risk_20200430.xlsm]Geneva investment position repo!R131C38</stp>
        <tr r="AL131" s="1"/>
      </tp>
      <tp t="s">
        <v>6/6/2019</v>
        <stp/>
        <stp>##V3_BDPV12</stp>
        <stp>BBG00PCCVDV7 FIGI</stp>
        <stp>MOODY_EFF_DT</stp>
        <stp>[DIF_Risk_20200430.xlsm]Geneva investment position repo!R76C72</stp>
        <tr r="BT76" s="1"/>
      </tp>
      <tp t="s">
        <v>IN</v>
        <stp/>
        <stp>##V3_BDPV12</stp>
        <stp>BBG00H5KNJZ7 FIGI</stp>
        <stp>CNTRY_OF_RISK</stp>
        <stp>[DIF_Risk_20200430.xlsm]Geneva investment position repo!R80C38</stp>
        <tr r="AL80" s="1"/>
      </tp>
      <tp t="s">
        <v>Common Stock</v>
        <stp/>
        <stp>##V3_BDPV12</stp>
        <stp>BBG000DVPPK1 FIGI</stp>
        <stp>SECURITY_TYP2</stp>
        <stp>[DIF_Risk_20200430.xlsm]Geneva investment position repo!R10C21</stp>
        <tr r="U10" s="1"/>
      </tp>
      <tp t="s">
        <v>#N/A Field Not Applicable</v>
        <stp/>
        <stp>##V3_BDPV12</stp>
        <stp>BBG00DVX5HS1 FIGI</stp>
        <stp>CAPITAL_CONTINGENT_SECURITY</stp>
        <stp>[DIF_Risk_20200430.xlsm]Geneva investment position repo!R44C42</stp>
        <tr r="AP44" s="1"/>
      </tp>
      <tp t="s">
        <v>4/4/2021</v>
        <stp/>
        <stp>##V3_BDPV12</stp>
        <stp>BBG005BTJ9P5 FIGI</stp>
        <stp>CALC_MATURITY</stp>
        <stp>[DIF_Risk_20200430.xlsm]Geneva investment position repo!R65C55</stp>
        <tr r="BC65" s="1"/>
      </tp>
      <tp t="s">
        <v>#N/A Field Not Applicable</v>
        <stp/>
        <stp>##V3_BDPV12</stp>
        <stp>BBG000DVPPK1 FIGI</stp>
        <stp>FITCH_EFF_DT</stp>
        <stp>[DIF_Risk_20200430.xlsm]Geneva investment position repo!R10C73</stp>
        <tr r="BU10" s="1"/>
      </tp>
      <tp t="s">
        <v>1/14/2027</v>
        <stp/>
        <stp>##V3_BDPV12</stp>
        <stp>BBG00R9SN7F2 FIGI</stp>
        <stp>CALC_MATURITY</stp>
        <stp>[DIF_Risk_20200430.xlsm]Geneva investment position repo!R63C55</stp>
        <tr r="BC63" s="1"/>
      </tp>
      <tp t="s">
        <v>CN</v>
        <stp/>
        <stp>##V3_BDPV12</stp>
        <stp>BBG00JC8V4T3 FIGI</stp>
        <stp>CNTRY_OF_RISK</stp>
        <stp>[DIF_Risk_20200430.xlsm]Geneva investment position repo!R176C38</stp>
        <tr r="AL176" s="1"/>
      </tp>
      <tp t="s">
        <v>11/6/2019</v>
        <stp/>
        <stp>##V3_BDPV12</stp>
        <stp>BBG00QRVV6Z8 FIGI</stp>
        <stp>FITCH_EFF_DT</stp>
        <stp>[DIF_Risk_20200430.xlsm]Geneva investment position repo!R155C73</stp>
        <tr r="BU155" s="1"/>
      </tp>
      <tp t="s">
        <v>11/7/2019</v>
        <stp/>
        <stp>##V3_BDPV12</stp>
        <stp>BBG00NTXM180 FIGI</stp>
        <stp>MOODY_EFF_DT</stp>
        <stp>[DIF_Risk_20200430.xlsm]Geneva investment position repo!R136C72</stp>
        <tr r="BT136" s="1"/>
      </tp>
      <tp t="s">
        <v>#N/A Field Not Applicable</v>
        <stp/>
        <stp>##V3_BDPV12</stp>
        <stp>BBG00T5WB757 FIGI</stp>
        <stp>CAPITAL_CONTINGENT_SECURITY</stp>
        <stp>[DIF_Risk_20200430.xlsm]Geneva investment position repo!R124C42</stp>
        <tr r="AP124" s="1"/>
      </tp>
      <tp t="s">
        <v>#N/A Field Not Applicable</v>
        <stp/>
        <stp>##V3_BDPV12</stp>
        <stp>BBG00MNS44N6 FIGI</stp>
        <stp>CAPITAL_CONTINGENT_SECURITY</stp>
        <stp>[DIF_Risk_20200430.xlsm]Geneva investment position repo!R129C42</stp>
        <tr r="AP129" s="1"/>
      </tp>
      <tp>
        <v>7.1718031488564584</v>
        <stp/>
        <stp>##V3_BDPV12</stp>
        <stp>USJ4517MAA74 ISIN</stp>
        <stp>DUR_ADJ_MID</stp>
        <stp>[DIF_Risk_20200430.xlsm]Geneva investment position repo!R114C59</stp>
        <tr r="BG114" s="1"/>
      </tp>
      <tp t="s">
        <v>#N/A Field Not Applicable</v>
        <stp/>
        <stp>##V3_BDPV12</stp>
        <stp>BBG00NHNXCH9 FIGI</stp>
        <stp>CAPITAL_CONTINGENT_SECURITY</stp>
        <stp>[DIF_Risk_20200430.xlsm]Geneva investment position repo!R179C42</stp>
        <tr r="AP179" s="1"/>
      </tp>
      <tp t="s">
        <v>Electric</v>
        <stp/>
        <stp>##V3_BDPV12</stp>
        <stp>BBG005Q0XWK0 FIGI</stp>
        <stp>INDUSTRY_GROUP</stp>
        <stp>[DIF_Risk_20200430.xlsm]Geneva investment position repo!R15C40</stp>
        <tr r="AN15" s="1"/>
      </tp>
      <tp t="s">
        <v>ACTV</v>
        <stp/>
        <stp>##V3_BDPV12</stp>
        <stp>BBG00RPXWXD8 FIGI</stp>
        <stp>EXCH_MARKET_STATUS</stp>
        <stp>[DIF_Risk_20200430.xlsm]Geneva investment position repo!R173C44</stp>
        <tr r="AR173" s="1"/>
        <tr r="AR173" s="1"/>
      </tp>
      <tp>
        <v>6.8640007297858769</v>
        <stp/>
        <stp>##V3_BDPV12</stp>
        <stp>USG7150PAA87 ISIN</stp>
        <stp>YLD_YTM_MID</stp>
        <stp>[DIF_Risk_20200430.xlsm]Geneva investment position repo!R126C61</stp>
        <tr r="BI126" s="1"/>
      </tp>
      <tp t="s">
        <v>Real Estate</v>
        <stp/>
        <stp>##V3_BDPV12</stp>
        <stp>BBG00DXBXRD0 FIGI</stp>
        <stp>INDUSTRY_GROUP</stp>
        <stp>[DIF_Risk_20200430.xlsm]Geneva investment position repo!R93C40</stp>
        <tr r="AN93" s="1"/>
      </tp>
      <tp t="s">
        <v>#N/A Field Not Applicable</v>
        <stp/>
        <stp>##V3_BDPV12</stp>
        <stp>BBG00RZ2MZZ7 FIGI</stp>
        <stp>CAPITAL_CONTINGENT_SECURITY</stp>
        <stp>[DIF_Risk_20200430.xlsm]Geneva investment position repo!R113C42</stp>
        <tr r="AP113" s="1"/>
      </tp>
      <tp t="s">
        <v>Banks</v>
        <stp/>
        <stp>##V3_BDPV12</stp>
        <stp>BBG00RTNXBH9 FIGI</stp>
        <stp>INDUSTRY_GROUP</stp>
        <stp>[DIF_Risk_20200430.xlsm]Geneva investment position repo!R69C40</stp>
        <tr r="AN69" s="1"/>
      </tp>
      <tp t="s">
        <v>Diversified Finan Serv</v>
        <stp/>
        <stp>##V3_BDPV12</stp>
        <stp>BBG00Q3NXL14 FIGI</stp>
        <stp>INDUSTRY_GROUP</stp>
        <stp>[DIF_Risk_20200430.xlsm]Geneva investment position repo!R59C40</stp>
        <tr r="AN59" s="1"/>
      </tp>
      <tp>
        <v>7.2625325517503105</v>
        <stp/>
        <stp>##V3_BDPV12</stp>
        <stp>XS2034868047 ISIN</stp>
        <stp>YLD_YTM_MID</stp>
        <stp>[DIF_Risk_20200430.xlsm]Geneva investment position repo!R86C61</stp>
        <tr r="BI86" s="1"/>
      </tp>
      <tp t="s">
        <v>CN</v>
        <stp/>
        <stp>##V3_BDPV12</stp>
        <stp>BBG00R9LVRX4 FIGI</stp>
        <stp>CNTRY_OF_RISK</stp>
        <stp>[DIF_Risk_20200430.xlsm]Geneva investment position repo!R172C38</stp>
        <tr r="AL172" s="1"/>
      </tp>
      <tp t="s">
        <v>CN</v>
        <stp/>
        <stp>##V3_BDPV12</stp>
        <stp>BBG00LJTVJR4 FIGI</stp>
        <stp>CNTRY_OF_RISK</stp>
        <stp>[DIF_Risk_20200430.xlsm]Geneva investment position repo!R154C38</stp>
        <tr r="AL154" s="1"/>
      </tp>
      <tp t="s">
        <v>HK</v>
        <stp/>
        <stp>##V3_BDPV12</stp>
        <stp>BBG00TJ8VS75 FIGI</stp>
        <stp>CNTRY_OF_RISK</stp>
        <stp>[DIF_Risk_20200430.xlsm]Geneva investment position repo!R167C38</stp>
        <tr r="AL167" s="1"/>
      </tp>
      <tp t="s">
        <v>#N/A Field Not Applicable</v>
        <stp/>
        <stp>##V3_BDPV12</stp>
        <stp>BBG00NWVJPB7 FIGI</stp>
        <stp>SECURITY_TYP2</stp>
        <stp>[DIF_Risk_20200430.xlsm]Geneva investment position repo!R141C21</stp>
        <tr r="U141" s="1"/>
      </tp>
      <tp>
        <v>1.9552572109377384</v>
        <stp/>
        <stp>##V3_BDPV12</stp>
        <stp>XS2034868047 ISIN</stp>
        <stp>DUR_ADJ_MID</stp>
        <stp>[DIF_Risk_20200430.xlsm]Geneva investment position repo!R86C59</stp>
        <tr r="BG86" s="1"/>
      </tp>
      <tp t="s">
        <v>1/24/2023</v>
        <stp/>
        <stp>##V3_BDPV12</stp>
        <stp>BBG00RCY5V08 FIGI</stp>
        <stp>CALC_MATURITY</stp>
        <stp>[DIF_Risk_20200430.xlsm]Geneva investment position repo!R39C55</stp>
        <tr r="BC39" s="1"/>
      </tp>
      <tp t="s">
        <v>#N/A Field Not Applicable</v>
        <stp/>
        <stp>##V3_BDPV12</stp>
        <stp>BBG00KDP8LC7 FIGI</stp>
        <stp>SECURITY_TYP2</stp>
        <stp>[DIF_Risk_20200430.xlsm]Geneva investment position repo!R49C21</stp>
        <tr r="U49" s="1"/>
      </tp>
      <tp>
        <v>11.320340035100331</v>
        <stp/>
        <stp>##V3_BDPV12</stp>
        <stp>XS2024786035 ISIN</stp>
        <stp>YLD_YTM_MID</stp>
        <stp>[DIF_Risk_20200430.xlsm]Geneva investment position repo!R84C61</stp>
        <tr r="BI84" s="1"/>
      </tp>
      <tp>
        <v>3.6736148434338536</v>
        <stp/>
        <stp>##V3_BDPV12</stp>
        <stp>XS1496760239 ISIN</stp>
        <stp>YLD_YTM_MID</stp>
        <stp>[DIF_Risk_20200430.xlsm]Geneva investment position repo!R44C61</stp>
        <tr r="BI44" s="1"/>
      </tp>
      <tp>
        <v>1.2425351745192212</v>
        <stp/>
        <stp>##V3_BDPV12</stp>
        <stp>XS1496760239 ISIN</stp>
        <stp>DUR_ADJ_MID</stp>
        <stp>[DIF_Risk_20200430.xlsm]Geneva investment position repo!R44C59</stp>
        <tr r="BG44" s="1"/>
      </tp>
      <tp>
        <v>1.8714149324497251</v>
        <stp/>
        <stp>##V3_BDPV12</stp>
        <stp>XS2024786035 ISIN</stp>
        <stp>DUR_ADJ_MID</stp>
        <stp>[DIF_Risk_20200430.xlsm]Geneva investment position repo!R84C59</stp>
        <tr r="BG84" s="1"/>
      </tp>
      <tp t="s">
        <v>ID</v>
        <stp/>
        <stp>##V3_BDPV12</stp>
        <stp>BBG00RD4VH41 FIGI</stp>
        <stp>CNTRY_OF_RISK</stp>
        <stp>[DIF_Risk_20200430.xlsm]Geneva investment position repo!R106C38</stp>
        <tr r="AL106" s="1"/>
      </tp>
      <tp t="s">
        <v>#N/A N/A</v>
        <stp/>
        <stp>##V3_BDPV12</stp>
        <stp>BBG00PSJ40G0 FIGI</stp>
        <stp>MOODY_EFF_DT</stp>
        <stp>[DIF_Risk_20200430.xlsm]Geneva investment position repo!R97C72</stp>
        <tr r="BT97" s="1"/>
      </tp>
      <tp t="s">
        <v>CN</v>
        <stp/>
        <stp>##V3_BDPV12</stp>
        <stp>BBG00QQ1W050 FIGI</stp>
        <stp>CNTRY_OF_RISK</stp>
        <stp>[DIF_Risk_20200430.xlsm]Geneva investment position repo!R149C38</stp>
        <tr r="AL149" s="1"/>
      </tp>
      <tp t="s">
        <v>#N/A Field Not Applicable</v>
        <stp/>
        <stp>##V3_BDPV12</stp>
        <stp>BBG000BDWNL9 FIGI</stp>
        <stp>FITCH_EFF_DT</stp>
        <stp>[DIF_Risk_20200430.xlsm]Geneva investment position repo!R24C73</stp>
        <tr r="BU24" s="1"/>
      </tp>
      <tp t="s">
        <v>3/10/2020</v>
        <stp/>
        <stp>##V3_BDPV12</stp>
        <stp>BBG00S9HKR72 FIGI</stp>
        <stp>FITCH_EFF_DT</stp>
        <stp>[DIF_Risk_20200430.xlsm]Geneva investment position repo!R36C73</stp>
        <tr r="BU36" s="1"/>
      </tp>
      <tp t="s">
        <v>#N/A Field Not Applicable</v>
        <stp/>
        <stp>##V3_BDPV12</stp>
        <stp>BBG00NB7K829 FIGI</stp>
        <stp>SECURITY_TYP2</stp>
        <stp>[DIF_Risk_20200430.xlsm]Geneva investment position repo!R162C21</stp>
        <tr r="U162" s="1"/>
      </tp>
      <tp t="s">
        <v>CN</v>
        <stp/>
        <stp>##V3_BDPV12</stp>
        <stp>BBG00MTKPX96 FIGI</stp>
        <stp>CNTRY_OF_RISK</stp>
        <stp>[DIF_Risk_20200430.xlsm]Geneva investment position repo!R57C38</stp>
        <tr r="AL57" s="1"/>
      </tp>
      <tp t="s">
        <v>MY</v>
        <stp/>
        <stp>##V3_BDPV12</stp>
        <stp>BBG00CP5W6B3 FIGI</stp>
        <stp>CNTRY_OF_RISK</stp>
        <stp>[DIF_Risk_20200430.xlsm]Geneva investment position repo!R107C38</stp>
        <tr r="AL107" s="1"/>
      </tp>
      <tp t="s">
        <v>#N/A Field Not Applicable</v>
        <stp/>
        <stp>##V3_BDPV12</stp>
        <stp>BBG00QYPDPC6 FIGI</stp>
        <stp>SECURITY_TYP2</stp>
        <stp>[DIF_Risk_20200430.xlsm]Geneva investment position repo!R68C21</stp>
        <tr r="U68" s="1"/>
      </tp>
      <tp t="s">
        <v>#N/A Field Not Applicable</v>
        <stp/>
        <stp>##V3_BDPV12</stp>
        <stp>BBG00D2WYB33 FIGI</stp>
        <stp>CAPITAL_CONTINGENT_SECURITY</stp>
        <stp>[DIF_Risk_20200430.xlsm]Geneva investment position repo!R126C42</stp>
        <tr r="AP126" s="1"/>
      </tp>
      <tp t="s">
        <v>#N/A N/A</v>
        <stp/>
        <stp>##V3_BDPV12</stp>
        <stp>BBG00PDYXN26 FIGI</stp>
        <stp>FITCH_EFF_DT</stp>
        <stp>[DIF_Risk_20200430.xlsm]Geneva investment position repo!R156C73</stp>
        <tr r="BU156" s="1"/>
      </tp>
      <tp>
        <v>7.312799452429843</v>
        <stp/>
        <stp>##V3_BDPV12</stp>
        <stp>BBG00THTNZZ3 FIGI</stp>
        <stp>DDIS_AVERAGE_YEARS_MATURITY</stp>
        <stp>[DIF_Risk_20200430.xlsm]Geneva investment position repo!R125C30</stp>
        <tr r="AD125" s="1"/>
      </tp>
      <tp t="s">
        <v>Financials</v>
        <stp/>
        <stp>##V3_BDPV12</stp>
        <stp>BBG0016XR1Q8 FIGI</stp>
        <stp>GICS_SECTOR_NAME</stp>
        <stp>[DIF_Risk_20200430.xlsm]Geneva investment position repo!R6C51</stp>
        <tr r="AY6" s="1"/>
      </tp>
      <tp t="s">
        <v>Sovereign</v>
        <stp/>
        <stp>##V3_BDPV12</stp>
        <stp>BBG00T6LY8D4 FIGI</stp>
        <stp>INDUSTRY_GROUP</stp>
        <stp>[DIF_Risk_20200430.xlsm]Geneva investment position repo!R94C40</stp>
        <tr r="AN94" s="1"/>
      </tp>
      <tp t="s">
        <v>3/6/2020</v>
        <stp/>
        <stp>##V3_BDPV12</stp>
        <stp>BBG00RPXTTD1 FIGI</stp>
        <stp>MOODY_EFF_DT</stp>
        <stp>[DIF_Risk_20200430.xlsm]Geneva investment position repo!R137C72</stp>
        <tr r="BT137" s="1"/>
      </tp>
      <tp t="s">
        <v>10/16/2019</v>
        <stp/>
        <stp>##V3_BDPV12</stp>
        <stp>BBG00MNWHQT8 FIGI</stp>
        <stp>FITCH_EFF_DT</stp>
        <stp>[DIF_Risk_20200430.xlsm]Geneva investment position repo!R135C73</stp>
        <tr r="BU135" s="1"/>
      </tp>
      <tp t="s">
        <v>EQUI</v>
        <stp/>
        <stp>##V3_BDPV12</stp>
        <stp>BBG00QV37ZP9 FIGI</stp>
        <stp>MIFID_ASSET_CLASS</stp>
        <stp>[DIF_Risk_20200430.xlsm]Geneva investment position repo!R7C19</stp>
        <tr r="S7" s="1"/>
      </tp>
      <tp t="s">
        <v>Sovereign</v>
        <stp/>
        <stp>##V3_BDPV12</stp>
        <stp>BBG00T6LYC72 FIGI</stp>
        <stp>INDUSTRY_GROUP</stp>
        <stp>[DIF_Risk_20200430.xlsm]Geneva investment position repo!R95C40</stp>
        <tr r="AN95" s="1"/>
      </tp>
      <tp t="s">
        <v>Distribution/Wholesale</v>
        <stp/>
        <stp>##V3_BDPV12</stp>
        <stp>BBG00M5BYXF5 FIGI</stp>
        <stp>INDUSTRY_GROUP</stp>
        <stp>[DIF_Risk_20200430.xlsm]Geneva investment position repo!R32C40</stp>
        <tr r="AN32" s="1"/>
      </tp>
      <tp t="s">
        <v>BBB-</v>
        <stp/>
        <stp>##V3_BDPV12</stp>
        <stp>BBG00L07ZBX8 FIGI</stp>
        <stp>RTG_SP</stp>
        <stp>[DIF_Risk_20200430.xlsm]Geneva investment position repo!R66C31</stp>
        <tr r="AE66" s="1"/>
        <tr r="AE66" s="1"/>
      </tp>
      <tp t="s">
        <v>Real Estate</v>
        <stp/>
        <stp>##V3_BDPV12</stp>
        <stp>BBG00RYDYKF6 FIGI</stp>
        <stp>INDUSTRY_GROUP</stp>
        <stp>[DIF_Risk_20200430.xlsm]Geneva investment position repo!R89C40</stp>
        <tr r="AN89" s="1"/>
      </tp>
      <tp>
        <v>4.9560328926319555</v>
        <stp/>
        <stp>##V3_BDPV12</stp>
        <stp>USG60744AB87 ISIN</stp>
        <stp>DUR_ADJ_MID</stp>
        <stp>[DIF_Risk_20200430.xlsm]Geneva investment position repo!R112C59</stp>
        <tr r="BG112" s="1"/>
      </tp>
      <tp t="s">
        <v>Engineering&amp;Construction</v>
        <stp/>
        <stp>##V3_BDPV12</stp>
        <stp>BBG00RPNYQB5 FIGI</stp>
        <stp>INDUSTRY_GROUP</stp>
        <stp>[DIF_Risk_20200430.xlsm]Geneva investment position repo!R47C40</stp>
        <tr r="AN47" s="1"/>
      </tp>
      <tp>
        <v>8.1067257224348097</v>
        <stp/>
        <stp>##V3_BDPV12</stp>
        <stp>USJ54675AZ63 ISIN</stp>
        <stp>DUR_ADJ_MID</stp>
        <stp>[DIF_Risk_20200430.xlsm]Geneva investment position repo!R118C59</stp>
        <tr r="BG118" s="1"/>
      </tp>
      <tp>
        <v>10.739769543982941</v>
        <stp/>
        <stp>##V3_BDPV12</stp>
        <stp>XS2071413483 ISIN</stp>
        <stp>YLD_YTM_MID</stp>
        <stp>[DIF_Risk_20200430.xlsm]Geneva investment position repo!R30C61</stp>
        <tr r="BI30" s="1"/>
      </tp>
      <tp t="s">
        <v>1/15/2021</v>
        <stp/>
        <stp>##V3_BDPV12</stp>
        <stp>BBG00N0Q0RS1 FIGI</stp>
        <stp>CALC_MATURITY</stp>
        <stp>[DIF_Risk_20200430.xlsm]Geneva investment position repo!R50C55</stp>
        <tr r="BC50" s="1"/>
      </tp>
      <tp>
        <v>3.380371570892899</v>
        <stp/>
        <stp>##V3_BDPV12</stp>
        <stp>XS2071413483 ISIN</stp>
        <stp>DUR_ADJ_MID</stp>
        <stp>[DIF_Risk_20200430.xlsm]Geneva investment position repo!R30C59</stp>
        <tr r="BG30" s="1"/>
      </tp>
      <tp t="s">
        <v>CN</v>
        <stp/>
        <stp>##V3_BDPV12</stp>
        <stp>BBG00RPXWXD8 FIGI</stp>
        <stp>CNTRY_OF_RISK</stp>
        <stp>[DIF_Risk_20200430.xlsm]Geneva investment position repo!R173C38</stp>
        <tr r="AL173" s="1"/>
      </tp>
      <tp>
        <v>1.5200710621548255</v>
        <stp/>
        <stp>##V3_BDPV12</stp>
        <stp>XS1940394502 ISIN</stp>
        <stp>DUR_ADJ_MID</stp>
        <stp>[DIF_Risk_20200430.xlsm]Geneva investment position repo!R79C59</stp>
        <tr r="BG79" s="1"/>
      </tp>
      <tp>
        <v>1.1999852318600248</v>
        <stp/>
        <stp>##V3_BDPV12</stp>
        <stp>XS1820761556 ISIN</stp>
        <stp>DUR_ADJ_MID</stp>
        <stp>[DIF_Risk_20200430.xlsm]Geneva investment position repo!R77C59</stp>
        <tr r="BG77" s="1"/>
      </tp>
      <tp>
        <v>10.390775141883507</v>
        <stp/>
        <stp>##V3_BDPV12</stp>
        <stp>XS1940394502 ISIN</stp>
        <stp>YLD_YTM_MID</stp>
        <stp>[DIF_Risk_20200430.xlsm]Geneva investment position repo!R79C61</stp>
        <tr r="BI79" s="1"/>
      </tp>
      <tp>
        <v>5.3289035183048394</v>
        <stp/>
        <stp>##V3_BDPV12</stp>
        <stp>XS1820761556 ISIN</stp>
        <stp>YLD_YTM_MID</stp>
        <stp>[DIF_Risk_20200430.xlsm]Geneva investment position repo!R77C61</stp>
        <tr r="BI77" s="1"/>
      </tp>
      <tp t="s">
        <v>#N/A Field Not Applicable</v>
        <stp/>
        <stp>##V3_BDPV12</stp>
        <stp>BBG00BWQ0R57 FIGI</stp>
        <stp>SECURITY_TYP2</stp>
        <stp>[DIF_Risk_20200430.xlsm]Geneva investment position repo!R62C21</stp>
        <tr r="U62" s="1"/>
      </tp>
      <tp t="s">
        <v>CN</v>
        <stp/>
        <stp>##V3_BDPV12</stp>
        <stp>BBG00S6SWBM6 FIGI</stp>
        <stp>CNTRY_OF_RISK</stp>
        <stp>[DIF_Risk_20200430.xlsm]Geneva investment position repo!R158C38</stp>
        <tr r="AL158" s="1"/>
      </tp>
      <tp t="s">
        <v>GB</v>
        <stp/>
        <stp>##V3_BDPV12</stp>
        <stp>BBG00T2MWMJ1 FIGI</stp>
        <stp>CNTRY_OF_RISK</stp>
        <stp>[DIF_Risk_20200430.xlsm]Geneva investment position repo!R128C38</stp>
        <tr r="AL128" s="1"/>
      </tp>
      <tp t="s">
        <v>CN</v>
        <stp/>
        <stp>##V3_BDPV12</stp>
        <stp>BBG00PDL9DV1 FIGI</stp>
        <stp>CNTRY_OF_RISK</stp>
        <stp>[DIF_Risk_20200430.xlsm]Geneva investment position repo!R53C38</stp>
        <tr r="AL53" s="1"/>
      </tp>
      <tp t="s">
        <v>HK</v>
        <stp/>
        <stp>##V3_BDPV12</stp>
        <stp>BBG00N14WRV0 FIGI</stp>
        <stp>CNTRY_OF_RISK</stp>
        <stp>[DIF_Risk_20200430.xlsm]Geneva investment position repo!R142C38</stp>
        <tr r="AL142" s="1"/>
      </tp>
      <tp t="s">
        <v>BBG000QWR4M8</v>
        <stp/>
        <stp>##V3_BDPV12</stp>
        <stp>2020 HK Equity</stp>
        <stp>ID_BB_GLOBAL</stp>
        <stp>[DIF_Risk_20200430.xlsm]Geneva investment position repo!R8C18</stp>
        <tr r="R8" s="1"/>
      </tp>
      <tp t="s">
        <v>#N/A Field Not Applicable</v>
        <stp/>
        <stp>##V3_BDPV12</stp>
        <stp>BBG00KMQKL04 FIGI</stp>
        <stp>SECURITY_TYP2</stp>
        <stp>[DIF_Risk_20200430.xlsm]Geneva investment position repo!R169C21</stp>
        <tr r="U169" s="1"/>
      </tp>
      <tp t="s">
        <v>CN</v>
        <stp/>
        <stp>##V3_BDPV12</stp>
        <stp>BBG00PKGT0Y7 FIGI</stp>
        <stp>CNTRY_OF_RISK</stp>
        <stp>[DIF_Risk_20200430.xlsm]Geneva investment position repo!R166C38</stp>
        <tr r="AL166" s="1"/>
      </tp>
      <tp t="s">
        <v>4/21/2030</v>
        <stp/>
        <stp>##V3_BDPV12</stp>
        <stp>BBG00T5WB7F6 FIGI</stp>
        <stp>CALC_MATURITY</stp>
        <stp>[DIF_Risk_20200430.xlsm]Geneva investment position repo!R123C55</stp>
        <tr r="BC123" s="1"/>
      </tp>
      <tp t="s">
        <v>4/21/2050</v>
        <stp/>
        <stp>##V3_BDPV12</stp>
        <stp>BBG00T5WB757 FIGI</stp>
        <stp>CALC_MATURITY</stp>
        <stp>[DIF_Risk_20200430.xlsm]Geneva investment position repo!R124C55</stp>
        <tr r="BC124" s="1"/>
      </tp>
      <tp t="s">
        <v>4/16/2030</v>
        <stp/>
        <stp>##V3_BDPV12</stp>
        <stp>BBG00T21B8F5 FIGI</stp>
        <stp>CALC_MATURITY</stp>
        <stp>[DIF_Risk_20200430.xlsm]Geneva investment position repo!R133C55</stp>
        <tr r="BC133" s="1"/>
      </tp>
      <tp t="s">
        <v>#N/A Field Not Applicable</v>
        <stp/>
        <stp>##V3_BDPV12</stp>
        <stp>BBG000QWR4M8 FIGI</stp>
        <stp>CAPITAL_CONTINGENT_SECURITY</stp>
        <stp>[DIF_Risk_20200430.xlsm]Geneva investment position repo!R8C42</stp>
        <tr r="AP8" s="1"/>
      </tp>
      <tp t="s">
        <v>SA</v>
        <stp/>
        <stp>##V3_BDPV12</stp>
        <stp>BBG00T6LYC72 FIGI</stp>
        <stp>CNTRY_OF_RISK</stp>
        <stp>[DIF_Risk_20200430.xlsm]Geneva investment position repo!R95C38</stp>
        <tr r="AL95" s="1"/>
      </tp>
      <tp t="s">
        <v>#N/A Field Not Applicable</v>
        <stp/>
        <stp>##V3_BDPV12</stp>
        <stp>BBG0016XR1Q8 FIGI</stp>
        <stp>CAPITAL_CONTINGENT_SECURITY</stp>
        <stp>[DIF_Risk_20200430.xlsm]Geneva investment position repo!R6C42</stp>
        <tr r="AP6" s="1"/>
      </tp>
      <tp t="s">
        <v>2/15/2022</v>
        <stp/>
        <stp>##V3_BDPV12</stp>
        <stp>BBG00NB0B2N4 FIGI</stp>
        <stp>CALC_MATURITY</stp>
        <stp>[DIF_Risk_20200430.xlsm]Geneva investment position repo!R150C55</stp>
        <tr r="BC150" s="1"/>
      </tp>
      <tp t="s">
        <v>#N/A Field Not Applicable</v>
        <stp/>
        <stp>##V3_BDPV12</stp>
        <stp>BBG00QRVV8P5 FIGI</stp>
        <stp>CAPITAL_CONTINGENT_SECURITY</stp>
        <stp>[DIF_Risk_20200430.xlsm]Geneva investment position repo!R131C42</stp>
        <tr r="AP131" s="1"/>
      </tp>
      <tp t="s">
        <v>1/7/2020</v>
        <stp/>
        <stp>##V3_BDPV12</stp>
        <stp>BBG00R9SLKK9 FIGI</stp>
        <stp>MOODY_EFF_DT</stp>
        <stp>[DIF_Risk_20200430.xlsm]Geneva investment position repo!R148C72</stp>
        <tr r="BT148" s="1"/>
      </tp>
      <tp t="s">
        <v>#N/A N/A</v>
        <stp/>
        <stp>##V3_BDPV12</stp>
        <stp>BBG00T6LY8D4 FIGI</stp>
        <stp>RTG_SP</stp>
        <stp>[DIF_Risk_20200430.xlsm]Geneva investment position repo!R94C31</stp>
        <tr r="AE94" s="1"/>
      </tp>
      <tp t="s">
        <v>ACTV</v>
        <stp/>
        <stp>##V3_BDPV12</stp>
        <stp>BBG00RZ2MZZ7 FIGI</stp>
        <stp>EXCH_MARKET_STATUS</stp>
        <stp>[DIF_Risk_20200430.xlsm]Geneva investment position repo!R113C44</stp>
        <tr r="AR113" s="1"/>
        <tr r="AR113" s="1"/>
      </tp>
      <tp t="s">
        <v>#N/A N/A</v>
        <stp/>
        <stp>##V3_BDPV12</stp>
        <stp>BBG00LSRS878 FIGI</stp>
        <stp>MOODY_EFF_DT</stp>
        <stp>[DIF_Risk_20200430.xlsm]Geneva investment position repo!R104C72</stp>
        <tr r="BT104" s="1"/>
      </tp>
      <tp t="s">
        <v>#N/A N/A</v>
        <stp/>
        <stp>##V3_BDPV12</stp>
        <stp>BBG00RPNYQB5 FIGI</stp>
        <stp>RTG_SP</stp>
        <stp>[DIF_Risk_20200430.xlsm]Geneva investment position repo!R47C31</stp>
        <tr r="AE47" s="1"/>
      </tp>
      <tp t="s">
        <v>ACTV</v>
        <stp/>
        <stp>##V3_BDPV12</stp>
        <stp>BBG0016XR1Q8 FIGI</stp>
        <stp>EXCH_MARKET_STATUS</stp>
        <stp>[DIF_Risk_20200430.xlsm]Geneva investment position repo!R6C44</stp>
        <tr r="AR6" s="1"/>
        <tr r="AR6" s="1"/>
      </tp>
      <tp t="s">
        <v>#N/A N/A</v>
        <stp/>
        <stp>##V3_BDPV12</stp>
        <stp>BBG00M5BYXF5 FIGI</stp>
        <stp>RTG_SP</stp>
        <stp>[DIF_Risk_20200430.xlsm]Geneva investment position repo!R32C31</stp>
        <tr r="AE32" s="1"/>
      </tp>
      <tp t="s">
        <v>#N/A N/A</v>
        <stp/>
        <stp>##V3_BDPV12</stp>
        <stp>BBG00T6LYC72 FIGI</stp>
        <stp>RTG_SP</stp>
        <stp>[DIF_Risk_20200430.xlsm]Geneva investment position repo!R95C31</stp>
        <tr r="AE95" s="1"/>
      </tp>
      <tp t="s">
        <v>Real Estate</v>
        <stp/>
        <stp>##V3_BDPV12</stp>
        <stp>BBG00L07ZBX8 FIGI</stp>
        <stp>INDUSTRY_GROUP</stp>
        <stp>[DIF_Risk_20200430.xlsm]Geneva investment position repo!R66C40</stp>
        <tr r="AN66" s="1"/>
      </tp>
      <tp t="s">
        <v>4/9/2019</v>
        <stp/>
        <stp>##V3_BDPV12</stp>
        <stp>BBG00N9X3LW2 FIGI</stp>
        <stp>MOODY_EFF_DT</stp>
        <stp>[DIF_Risk_20200430.xlsm]Geneva investment position repo!R180C72</stp>
        <tr r="BT180" s="1"/>
      </tp>
      <tp t="s">
        <v>#N/A N/A</v>
        <stp/>
        <stp>##V3_BDPV12</stp>
        <stp>BBG00RYDYKF6 FIGI</stp>
        <stp>RTG_SP</stp>
        <stp>[DIF_Risk_20200430.xlsm]Geneva investment position repo!R89C31</stp>
        <tr r="AE89" s="1"/>
      </tp>
      <tp>
        <v>4.7180385146725081</v>
        <stp/>
        <stp>##V3_BDPV12</stp>
        <stp>USJ41838AA14 ISIN</stp>
        <stp>DUR_ADJ_MID</stp>
        <stp>[DIF_Risk_20200430.xlsm]Geneva investment position repo!R115C59</stp>
        <tr r="BG115" s="1"/>
      </tp>
      <tp>
        <v>2.9041648473760131</v>
        <stp/>
        <stp>##V3_BDPV12</stp>
        <stp>XS2125922349 ISIN</stp>
        <stp>YLD_YTM_MID</stp>
        <stp>[DIF_Risk_20200430.xlsm]Geneva investment position repo!R35C61</stp>
        <tr r="BI35" s="1"/>
      </tp>
      <tp>
        <v>9.9293915474155785</v>
        <stp/>
        <stp>##V3_BDPV12</stp>
        <stp>XS2127887169 ISIN</stp>
        <stp>YLD_YTM_MID</stp>
        <stp>[DIF_Risk_20200430.xlsm]Geneva investment position repo!R98C61</stp>
        <tr r="BI98" s="1"/>
      </tp>
      <tp>
        <v>9.1602982859318356</v>
        <stp/>
        <stp>##V3_BDPV12</stp>
        <stp>XS1813551584 ISIN</stp>
        <stp>YLD_YTM_MID</stp>
        <stp>[DIF_Risk_20200430.xlsm]Geneva investment position repo!R87C61</stp>
        <tr r="BI87" s="1"/>
      </tp>
      <tp t="s">
        <v>#N/A Field Not Applicable</v>
        <stp/>
        <stp>##V3_BDPV12</stp>
        <stp>BBG00MNWHQT8 FIGI</stp>
        <stp>SECURITY_TYP2</stp>
        <stp>[DIF_Risk_20200430.xlsm]Geneva investment position repo!R135C21</stp>
        <tr r="U135" s="1"/>
      </tp>
      <tp>
        <v>0.71256576102854585</v>
        <stp/>
        <stp>##V3_BDPV12</stp>
        <stp>XS2127887169 ISIN</stp>
        <stp>DUR_ADJ_MID</stp>
        <stp>[DIF_Risk_20200430.xlsm]Geneva investment position repo!R98C59</stp>
        <tr r="BG98" s="1"/>
      </tp>
      <tp>
        <v>0.97680629731534974</v>
        <stp/>
        <stp>##V3_BDPV12</stp>
        <stp>XS1813551584 ISIN</stp>
        <stp>DUR_ADJ_MID</stp>
        <stp>[DIF_Risk_20200430.xlsm]Geneva investment position repo!R87C59</stp>
        <tr r="BG87" s="1"/>
      </tp>
      <tp t="s">
        <v>12/6/2057</v>
        <stp/>
        <stp>##V3_BDPV12</stp>
        <stp>BBG00JCQ6Y42 FIGI</stp>
        <stp>CALC_MATURITY</stp>
        <stp>[DIF_Risk_20200430.xlsm]Geneva investment position repo!R33C55</stp>
        <tr r="BC33" s="1"/>
      </tp>
      <tp t="s">
        <v>SA</v>
        <stp/>
        <stp>##V3_BDPV12</stp>
        <stp>BBG00RPXTTD1 FIGI</stp>
        <stp>CNTRY_OF_RISK</stp>
        <stp>[DIF_Risk_20200430.xlsm]Geneva investment position repo!R137C38</stp>
        <tr r="AL137" s="1"/>
      </tp>
      <tp>
        <v>4.2757862555903046</v>
        <stp/>
        <stp>##V3_BDPV12</stp>
        <stp>XS2125922349 ISIN</stp>
        <stp>DUR_ADJ_MID</stp>
        <stp>[DIF_Risk_20200430.xlsm]Geneva investment position repo!R35C59</stp>
        <tr r="BG35" s="1"/>
      </tp>
      <tp t="s">
        <v>#N/A Field Not Applicable</v>
        <stp/>
        <stp>##V3_BDPV12</stp>
        <stp>BBG00SBW5S62 FIGI</stp>
        <stp>SECURITY_TYP2</stp>
        <stp>[DIF_Risk_20200430.xlsm]Geneva investment position repo!R88C21</stp>
        <tr r="U88" s="1"/>
      </tp>
      <tp>
        <v>7.0798514551281269</v>
        <stp/>
        <stp>##V3_BDPV12</stp>
        <stp>XS1937690128 ISIN</stp>
        <stp>YLD_YTM_MID</stp>
        <stp>[DIF_Risk_20200430.xlsm]Geneva investment position repo!R43C61</stp>
        <tr r="BI43" s="1"/>
      </tp>
      <tp>
        <v>1.1844272911377969</v>
        <stp/>
        <stp>##V3_BDPV12</stp>
        <stp>XS1876052025 ISIN</stp>
        <stp>DUR_ADJ_MID</stp>
        <stp>[DIF_Risk_20200430.xlsm]Geneva investment position repo!R42C59</stp>
        <tr r="BG42" s="1"/>
      </tp>
      <tp t="s">
        <v>ID</v>
        <stp/>
        <stp>##V3_BDPV12</stp>
        <stp>BBG00JVKTCJ1 FIGI</stp>
        <stp>CNTRY_OF_RISK</stp>
        <stp>[DIF_Risk_20200430.xlsm]Geneva investment position repo!R110C38</stp>
        <tr r="AL110" s="1"/>
      </tp>
      <tp>
        <v>6.319911735930007</v>
        <stp/>
        <stp>##V3_BDPV12</stp>
        <stp>XS1876052025 ISIN</stp>
        <stp>YLD_YTM_MID</stp>
        <stp>[DIF_Risk_20200430.xlsm]Geneva investment position repo!R42C61</stp>
        <tr r="BI42" s="1"/>
      </tp>
      <tp>
        <v>1.4856625504169019</v>
        <stp/>
        <stp>##V3_BDPV12</stp>
        <stp>XS1937690128 ISIN</stp>
        <stp>DUR_ADJ_MID</stp>
        <stp>[DIF_Risk_20200430.xlsm]Geneva investment position repo!R43C59</stp>
        <tr r="BG43" s="1"/>
      </tp>
      <tp t="s">
        <v>#N/A Field Not Applicable</v>
        <stp/>
        <stp>##V3_BDPV12</stp>
        <stp>BBG00NB7HXS0 FIGI</stp>
        <stp>SECURITY_TYP2</stp>
        <stp>[DIF_Risk_20200430.xlsm]Geneva investment position repo!R143C21</stp>
        <tr r="U143" s="1"/>
      </tp>
      <tp t="s">
        <v>#N/A Field Not Applicable</v>
        <stp/>
        <stp>##V3_BDPV12</stp>
        <stp>BBG00DKQ0MQ4 FIGI</stp>
        <stp>SECURITY_TYP2</stp>
        <stp>[DIF_Risk_20200430.xlsm]Geneva investment position repo!R78C21</stp>
        <tr r="U78" s="1"/>
      </tp>
      <tp t="s">
        <v>#N/A N/A</v>
        <stp/>
        <stp>##V3_BDPV12</stp>
        <stp>BBG00QT8QWY7 FIGI</stp>
        <stp>FITCH_EFF_DT</stp>
        <stp>[DIF_Risk_20200430.xlsm]Geneva investment position repo!R46C73</stp>
        <tr r="BU46" s="1"/>
      </tp>
      <tp t="s">
        <v>CN</v>
        <stp/>
        <stp>##V3_BDPV12</stp>
        <stp>BBG00PKGTF65 FIGI</stp>
        <stp>CNTRY_OF_RISK</stp>
        <stp>[DIF_Risk_20200430.xlsm]Geneva investment position repo!R164C38</stp>
        <tr r="AL164" s="1"/>
      </tp>
      <tp t="s">
        <v>BBG000PXTGY5</v>
        <stp/>
        <stp>##V3_BDPV12</stp>
        <stp>2319 HK Equity</stp>
        <stp>ID_BB_GLOBAL</stp>
        <stp>[DIF_Risk_20200430.xlsm]Geneva investment position repo!R9C18</stp>
        <tr r="R9" s="1"/>
      </tp>
      <tp t="s">
        <v>#N/A Field Not Applicable</v>
        <stp/>
        <stp>##V3_BDPV12</stp>
        <stp>BBG00L07ZBX8 FIGI</stp>
        <stp>CAPITAL_CONTINGENT_SECURITY</stp>
        <stp>[DIF_Risk_20200430.xlsm]Geneva investment position repo!R66C42</stp>
        <tr r="AP66" s="1"/>
      </tp>
      <tp t="s">
        <v>CN</v>
        <stp/>
        <stp>##V3_BDPV12</stp>
        <stp>BBG00PDL9DC2 FIGI</stp>
        <stp>CNTRY_OF_RISK</stp>
        <stp>[DIF_Risk_20200430.xlsm]Geneva investment position repo!R92C38</stp>
        <tr r="AL92" s="1"/>
      </tp>
      <tp t="s">
        <v>#N/A N/A</v>
        <stp/>
        <stp>##V3_BDPV12</stp>
        <stp>BBG00NDMRLH2 FIGI</stp>
        <stp>FITCH_EFF_DT</stp>
        <stp>[DIF_Risk_20200430.xlsm]Geneva investment position repo!R58C73</stp>
        <tr r="BU58" s="1"/>
      </tp>
      <tp t="s">
        <v>#N/A Field Not Applicable</v>
        <stp/>
        <stp>##V3_BDPV12</stp>
        <stp>BBG000BJ35N5 FIGI</stp>
        <stp>FITCH_EFF_DT</stp>
        <stp>[DIF_Risk_20200430.xlsm]Geneva investment position repo!R25C73</stp>
        <tr r="BU25" s="1"/>
      </tp>
      <tp t="s">
        <v>IN</v>
        <stp/>
        <stp>##V3_BDPV12</stp>
        <stp>BBG00PSJD0B5 FIGI</stp>
        <stp>CNTRY_OF_RISK</stp>
        <stp>[DIF_Risk_20200430.xlsm]Geneva investment position repo!R81C38</stp>
        <tr r="AL81" s="1"/>
      </tp>
      <tp t="s">
        <v>CN</v>
        <stp/>
        <stp>##V3_BDPV12</stp>
        <stp>BBG00PGHK257 FIGI</stp>
        <stp>CNTRY_OF_RISK</stp>
        <stp>[DIF_Risk_20200430.xlsm]Geneva investment position repo!R87C38</stp>
        <tr r="AL87" s="1"/>
      </tp>
      <tp t="s">
        <v>#N/A N/A</v>
        <stp/>
        <stp>##V3_BDPV12</stp>
        <stp>BBG00LVCGFZ3 FIGI</stp>
        <stp>FITCH_EFF_DT</stp>
        <stp>[DIF_Risk_20200430.xlsm]Geneva investment position repo!R77C73</stp>
        <tr r="BU77" s="1"/>
      </tp>
      <tp t="s">
        <v>#N/A Field Not Applicable</v>
        <stp/>
        <stp>##V3_BDPV12</stp>
        <stp>BBG000BZWNT2 FIGI</stp>
        <stp>MOODY_EFF_DT</stp>
        <stp>[DIF_Risk_20200430.xlsm]Geneva investment position repo!R11C72</stp>
        <tr r="BT11" s="1"/>
      </tp>
      <tp t="s">
        <v>HK</v>
        <stp/>
        <stp>##V3_BDPV12</stp>
        <stp>BBG00NDMRLH2 FIGI</stp>
        <stp>CNTRY_OF_RISK</stp>
        <stp>[DIF_Risk_20200430.xlsm]Geneva investment position repo!R58C38</stp>
        <tr r="AL58" s="1"/>
      </tp>
      <tp t="s">
        <v>3/7/2022</v>
        <stp/>
        <stp>##V3_BDPV12</stp>
        <stp>BBG00NGWHP25 FIGI</stp>
        <stp>CALC_MATURITY</stp>
        <stp>[DIF_Risk_20200430.xlsm]Geneva investment position repo!R29C55</stp>
        <tr r="BC29" s="1"/>
      </tp>
      <tp t="s">
        <v>1/14/2030</v>
        <stp/>
        <stp>##V3_BDPV12</stp>
        <stp>BBG00R9SNB81 FIGI</stp>
        <stp>CALC_MATURITY</stp>
        <stp>[DIF_Risk_20200430.xlsm]Geneva investment position repo!R64C55</stp>
        <tr r="BC64" s="1"/>
      </tp>
      <tp t="s">
        <v>4/22/2019</v>
        <stp/>
        <stp>##V3_BDPV12</stp>
        <stp>BBG00HDTX5P9 FIGI</stp>
        <stp>FITCH_EFF_DT</stp>
        <stp>[DIF_Risk_20200430.xlsm]Geneva investment position repo!R111C73</stp>
        <tr r="BU111" s="1"/>
      </tp>
      <tp t="s">
        <v>ACTV</v>
        <stp/>
        <stp>##V3_BDPV12</stp>
        <stp>BBG00JVKTCJ1 FIGI</stp>
        <stp>EXCH_MARKET_STATUS</stp>
        <stp>[DIF_Risk_20200430.xlsm]Geneva investment position repo!R110C44</stp>
        <tr r="AR110" s="1"/>
        <tr r="AR110" s="1"/>
      </tp>
      <tp t="s">
        <v>#N/A Field Not Applicable</v>
        <stp/>
        <stp>##V3_BDPV12</stp>
        <stp>BBG00NGF27D6 FIGI</stp>
        <stp>CAPITAL_CONTINGENT_SECURITY</stp>
        <stp>[DIF_Risk_20200430.xlsm]Geneva investment position repo!R114C42</stp>
        <tr r="AP114" s="1"/>
      </tp>
      <tp t="s">
        <v>ACTV</v>
        <stp/>
        <stp>##V3_BDPV12</stp>
        <stp>BBG00PK1ZYS6 FIGI</stp>
        <stp>EXCH_MARKET_STATUS</stp>
        <stp>[DIF_Risk_20200430.xlsm]Geneva investment position repo!R146C44</stp>
        <tr r="AR146" s="1"/>
        <tr r="AR146" s="1"/>
      </tp>
      <tp t="s">
        <v>#N/A Field Not Applicable</v>
        <stp/>
        <stp>##V3_BDPV12</stp>
        <stp>BBG00N2KDB12 FIGI</stp>
        <stp>CAPITAL_CONTINGENT_SECURITY</stp>
        <stp>[DIF_Risk_20200430.xlsm]Geneva investment position repo!R174C42</stp>
        <tr r="AP174" s="1"/>
      </tp>
      <tp t="s">
        <v>B</v>
        <stp/>
        <stp>##V3_BDPV12</stp>
        <stp>BBG00DXBXRD0 FIGI</stp>
        <stp>RTG_SP</stp>
        <stp>[DIF_Risk_20200430.xlsm]Geneva investment position repo!R93C31</stp>
        <tr r="AE93" s="1"/>
        <tr r="AE93" s="1"/>
      </tp>
      <tp t="s">
        <v>#N/A N/A</v>
        <stp/>
        <stp>##V3_BDPV12</stp>
        <stp>BBG00RTNXBH9 FIGI</stp>
        <stp>RTG_SP</stp>
        <stp>[DIF_Risk_20200430.xlsm]Geneva investment position repo!R69C31</stp>
        <tr r="AE69" s="1"/>
      </tp>
      <tp t="s">
        <v>4/8/2020</v>
        <stp/>
        <stp>##V3_BDPV12</stp>
        <stp>BBG00LSR9049 FIGI</stp>
        <stp>MOODY_EFF_DT</stp>
        <stp>[DIF_Risk_20200430.xlsm]Geneva investment position repo!R108C72</stp>
        <tr r="BT108" s="1"/>
      </tp>
      <tp t="s">
        <v>#N/A N/A</v>
        <stp/>
        <stp>##V3_BDPV12</stp>
        <stp>BBG00Q3NXL14 FIGI</stp>
        <stp>RTG_SP</stp>
        <stp>[DIF_Risk_20200430.xlsm]Geneva investment position repo!R59C31</stp>
        <tr r="AE59" s="1"/>
      </tp>
      <tp t="s">
        <v>Retail-Apparel/Shoe</v>
        <stp/>
        <stp>##V3_BDPV12</stp>
        <stp>BBG000QWR4M8 FIGI</stp>
        <stp>INDUSTRY_SUBGROUP</stp>
        <stp>[DIF_Risk_20200430.xlsm]Geneva investment position repo!R8C41</stp>
        <tr r="AO8" s="1"/>
      </tp>
      <tp>
        <v>6.676958459940507</v>
        <stp/>
        <stp>##V3_BDPV12</stp>
        <stp>FR0013101599 ISIN</stp>
        <stp>DUR_ADJ_MID</stp>
        <stp>[DIF_Risk_20200430.xlsm]Geneva investment position repo!R62C59</stp>
        <tr r="BG62" s="1"/>
      </tp>
      <tp>
        <v>5.8601704245125754</v>
        <stp/>
        <stp>##V3_BDPV12</stp>
        <stp>XS2123967452 ISIN</stp>
        <stp>YLD_YTM_MID</stp>
        <stp>[DIF_Risk_20200430.xlsm]Geneva investment position repo!R41C61</stp>
        <tr r="BI41" s="1"/>
      </tp>
      <tp>
        <v>6.3421877838324079</v>
        <stp/>
        <stp>##V3_BDPV12</stp>
        <stp>XS1795479291 ISIN</stp>
        <stp>YLD_YTM_MID</stp>
        <stp>[DIF_Risk_20200430.xlsm]Geneva investment position repo!R49C61</stp>
        <tr r="BI49" s="1"/>
      </tp>
      <tp>
        <v>0.84425316047480015</v>
        <stp/>
        <stp>##V3_BDPV12</stp>
        <stp>XS1795479291 ISIN</stp>
        <stp>DUR_ADJ_MID</stp>
        <stp>[DIF_Risk_20200430.xlsm]Geneva investment position repo!R49C59</stp>
        <tr r="BG49" s="1"/>
      </tp>
      <tp>
        <v>5.3740119780863127</v>
        <stp/>
        <stp>##V3_BDPV12</stp>
        <stp>FR0013101599 ISIN</stp>
        <stp>YLD_YTM_MID</stp>
        <stp>[DIF_Risk_20200430.xlsm]Geneva investment position repo!R62C61</stp>
        <tr r="BI62" s="1"/>
      </tp>
      <tp>
        <v>0.69310519604765242</v>
        <stp/>
        <stp>##V3_BDPV12</stp>
        <stp>XS2123967452 ISIN</stp>
        <stp>DUR_ADJ_MID</stp>
        <stp>[DIF_Risk_20200430.xlsm]Geneva investment position repo!R41C59</stp>
        <tr r="BG41" s="1"/>
      </tp>
      <tp t="s">
        <v>1/31/2169</v>
        <stp/>
        <stp>##V3_BDPV12</stp>
        <stp>BBG00QNT5B76 FIGI</stp>
        <stp>CALC_MATURITY</stp>
        <stp>[DIF_Risk_20200430.xlsm]Geneva investment position repo!R30C55</stp>
        <tr r="BC30" s="1"/>
      </tp>
      <tp>
        <v>8.032669110259155</v>
        <stp/>
        <stp>##V3_BDPV12</stp>
        <stp>XS1912494538 ISIN</stp>
        <stp>YLD_YTM_MID</stp>
        <stp>[DIF_Risk_20200430.xlsm]Geneva investment position repo!R54C61</stp>
        <tr r="BI54" s="1"/>
      </tp>
      <tp>
        <v>3.7585286033815017</v>
        <stp/>
        <stp>##V3_BDPV12</stp>
        <stp>XS1917106061 ISIN</stp>
        <stp>YLD_YTM_MID</stp>
        <stp>[DIF_Risk_20200430.xlsm]Geneva investment position repo!R91C61</stp>
        <tr r="BI91" s="1"/>
      </tp>
      <tp>
        <v>0.72293567360195521</v>
        <stp/>
        <stp>##V3_BDPV12</stp>
        <stp>XS1784286327 ISIN</stp>
        <stp>DUR_ADJ_MID</stp>
        <stp>[DIF_Risk_20200430.xlsm]Geneva investment position repo!R75C59</stp>
        <tr r="BG75" s="1"/>
      </tp>
      <tp>
        <v>1.4059766664989095</v>
        <stp/>
        <stp>##V3_BDPV12</stp>
        <stp>XS1912494538 ISIN</stp>
        <stp>DUR_ADJ_MID</stp>
        <stp>[DIF_Risk_20200430.xlsm]Geneva investment position repo!R54C59</stp>
        <tr r="BG54" s="1"/>
      </tp>
      <tp>
        <v>1.6335408235664401</v>
        <stp/>
        <stp>##V3_BDPV12</stp>
        <stp>XS1917106061 ISIN</stp>
        <stp>DUR_ADJ_MID</stp>
        <stp>[DIF_Risk_20200430.xlsm]Geneva investment position repo!R91C59</stp>
        <tr r="BG91" s="1"/>
      </tp>
      <tp>
        <v>10.330911570549782</v>
        <stp/>
        <stp>##V3_BDPV12</stp>
        <stp>XS1784286327 ISIN</stp>
        <stp>YLD_YTM_MID</stp>
        <stp>[DIF_Risk_20200430.xlsm]Geneva investment position repo!R75C61</stp>
        <tr r="BI75" s="1"/>
      </tp>
      <tp t="s">
        <v>CN</v>
        <stp/>
        <stp>##V3_BDPV12</stp>
        <stp>BBG00MSJ57C5 FIGI</stp>
        <stp>CNTRY_OF_RISK</stp>
        <stp>[DIF_Risk_20200430.xlsm]Geneva investment position repo!R74C38</stp>
        <tr r="AL74" s="1"/>
      </tp>
      <tp t="s">
        <v>CN</v>
        <stp/>
        <stp>##V3_BDPV12</stp>
        <stp>BBG00LVCGFZ3 FIGI</stp>
        <stp>CNTRY_OF_RISK</stp>
        <stp>[DIF_Risk_20200430.xlsm]Geneva investment position repo!R77C38</stp>
        <tr r="AL77" s="1"/>
      </tp>
      <tp t="s">
        <v>8/6/2023</v>
        <stp/>
        <stp>##V3_BDPV12</stp>
        <stp>BBG00LJTWWM9 FIGI</stp>
        <stp>CALC_MATURITY</stp>
        <stp>[DIF_Risk_20200430.xlsm]Geneva investment position repo!R60C55</stp>
        <tr r="BC60" s="1"/>
      </tp>
      <tp t="s">
        <v>2/28/2021</v>
        <stp/>
        <stp>##V3_BDPV12</stp>
        <stp>BBG00RT2L457 FIGI</stp>
        <stp>CALC_MATURITY</stp>
        <stp>[DIF_Risk_20200430.xlsm]Geneva investment position repo!R177C55</stp>
        <tr r="BC177" s="1"/>
      </tp>
      <tp t="s">
        <v>ID</v>
        <stp/>
        <stp>##V3_BDPV12</stp>
        <stp>BBG00RDBJ3B2 FIGI</stp>
        <stp>CNTRY_OF_RISK</stp>
        <stp>[DIF_Risk_20200430.xlsm]Geneva investment position repo!R34C38</stp>
        <tr r="AL34" s="1"/>
      </tp>
      <tp t="s">
        <v>7/2/2019</v>
        <stp/>
        <stp>##V3_BDPV12</stp>
        <stp>BBG00PMFP1T5 FIGI</stp>
        <stp>MOODY_EFF_DT</stp>
        <stp>[DIF_Risk_20200430.xlsm]Geneva investment position repo!R52C72</stp>
        <tr r="BT52" s="1"/>
      </tp>
      <tp t="s">
        <v>#N/A Field Not Applicable</v>
        <stp/>
        <stp>##V3_BDPV12</stp>
        <stp>BBG00LVCWLT9 FIGI</stp>
        <stp>CAPITAL_CONTINGENT_SECURITY</stp>
        <stp>[DIF_Risk_20200430.xlsm]Geneva investment position repo!R42C42</stp>
        <tr r="AP42" s="1"/>
      </tp>
      <tp t="s">
        <v>CN</v>
        <stp/>
        <stp>##V3_BDPV12</stp>
        <stp>BBG00KKDSP44 FIGI</stp>
        <stp>CNTRY_OF_RISK</stp>
        <stp>[DIF_Risk_20200430.xlsm]Geneva investment position repo!R56C38</stp>
        <tr r="AL56" s="1"/>
      </tp>
      <tp t="s">
        <v>CN</v>
        <stp/>
        <stp>##V3_BDPV12</stp>
        <stp>BBG00RYDWX24 FIGI</stp>
        <stp>CNTRY_OF_RISK</stp>
        <stp>[DIF_Risk_20200430.xlsm]Geneva investment position repo!R85C38</stp>
        <tr r="AL85" s="1"/>
      </tp>
      <tp t="s">
        <v>3/4/2021</v>
        <stp/>
        <stp>##V3_BDPV12</stp>
        <stp>BBG00NG9L0S8 FIGI</stp>
        <stp>CALC_MATURITY</stp>
        <stp>[DIF_Risk_20200430.xlsm]Geneva investment position repo!R134C55</stp>
        <tr r="BC134" s="1"/>
      </tp>
      <tp t="s">
        <v>7/9/2019</v>
        <stp/>
        <stp>##V3_BDPV12</stp>
        <stp>BBG00PNSNLZ7 FIGI</stp>
        <stp>MOODY_EFF_DT</stp>
        <stp>[DIF_Risk_20200430.xlsm]Geneva investment position repo!R161C72</stp>
        <tr r="BT161" s="1"/>
      </tp>
      <tp t="s">
        <v>#N/A Field Not Applicable</v>
        <stp/>
        <stp>##V3_BDPV12</stp>
        <stp>BBG00MTS9QX5 FIGI</stp>
        <stp>CAPITAL_CONTINGENT_SECURITY</stp>
        <stp>[DIF_Risk_20200430.xlsm]Geneva investment position repo!R157C42</stp>
        <tr r="AP157" s="1"/>
      </tp>
      <tp t="s">
        <v>5/30/2018</v>
        <stp/>
        <stp>##V3_BDPV12</stp>
        <stp>BBG00HPPFXF4 FIGI</stp>
        <stp>MOODY_EFF_DT</stp>
        <stp>[DIF_Risk_20200430.xlsm]Geneva investment position repo!R127C72</stp>
        <tr r="BT127" s="1"/>
      </tp>
      <tp t="s">
        <v>BBG00PK1ZYS6</v>
        <stp/>
        <stp>##V3_BDPV12</stp>
        <stp>USY8137FAR92 ISIN</stp>
        <stp>ID_BB_GLOBAL</stp>
        <stp>[DIF_Risk_20200430.xlsm]Geneva investment position repo!R146C18</stp>
        <tr r="R146" s="1"/>
      </tp>
      <tp t="s">
        <v>ACTV</v>
        <stp/>
        <stp>##V3_BDPV12</stp>
        <stp>BBG00D2WYB33 FIGI</stp>
        <stp>EXCH_MARKET_STATUS</stp>
        <stp>[DIF_Risk_20200430.xlsm]Geneva investment position repo!R126C44</stp>
        <tr r="AR126" s="1"/>
        <tr r="AR126" s="1"/>
      </tp>
      <tp t="s">
        <v>ACTV</v>
        <stp/>
        <stp>##V3_BDPV12</stp>
        <stp>BBG00LJTVJR4 FIGI</stp>
        <stp>EXCH_MARKET_STATUS</stp>
        <stp>[DIF_Risk_20200430.xlsm]Geneva investment position repo!R154C44</stp>
        <tr r="AR154" s="1"/>
        <tr r="AR154" s="1"/>
      </tp>
      <tp t="s">
        <v>4/23/2020</v>
        <stp/>
        <stp>##V3_BDPV12</stp>
        <stp>BBG00D2WYB33 FIGI</stp>
        <stp>MOODY_EFF_DT</stp>
        <stp>[DIF_Risk_20200430.xlsm]Geneva investment position repo!R126C72</stp>
        <tr r="BT126" s="1"/>
      </tp>
      <tp t="s">
        <v>ACTV</v>
        <stp/>
        <stp>##V3_BDPV12</stp>
        <stp>BBG00RPXTTD1 FIGI</stp>
        <stp>EXCH_MARKET_STATUS</stp>
        <stp>[DIF_Risk_20200430.xlsm]Geneva investment position repo!R137C44</stp>
        <tr r="AR137" s="1"/>
        <tr r="AR137" s="1"/>
      </tp>
      <tp t="s">
        <v>B</v>
        <stp/>
        <stp>##V3_BDPV12</stp>
        <stp>BBG00LVCWLT9 FIGI</stp>
        <stp>RTG_SP</stp>
        <stp>[DIF_Risk_20200430.xlsm]Geneva investment position repo!R42C31</stp>
        <tr r="AE42" s="1"/>
        <tr r="AE42" s="1"/>
      </tp>
      <tp t="s">
        <v>#N/A Field Not Applicable</v>
        <stp/>
        <stp>##V3_BDPV12</stp>
        <stp>BBG00NB0B2N4 FIGI</stp>
        <stp>CAPITAL_CONTINGENT_SECURITY</stp>
        <stp>[DIF_Risk_20200430.xlsm]Geneva investment position repo!R150C42</stp>
        <tr r="AP150" s="1"/>
      </tp>
      <tp t="s">
        <v>#N/A N/A</v>
        <stp/>
        <stp>##V3_BDPV12</stp>
        <stp>BBG00RYDWX24 FIGI</stp>
        <stp>RTG_SP</stp>
        <stp>[DIF_Risk_20200430.xlsm]Geneva investment position repo!R85C31</stp>
        <tr r="AE85" s="1"/>
      </tp>
      <tp t="s">
        <v>ACTV</v>
        <stp/>
        <stp>##V3_BDPV12</stp>
        <stp>BBG00NL43H88 FIGI</stp>
        <stp>EXCH_MARKET_STATUS</stp>
        <stp>[DIF_Risk_20200430.xlsm]Geneva investment position repo!R121C44</stp>
        <tr r="AR121" s="1"/>
        <tr r="AR121" s="1"/>
      </tp>
      <tp t="s">
        <v>9/19/2018</v>
        <stp/>
        <stp>##V3_BDPV12</stp>
        <stp>BBG00F2W1SP3 FIGI</stp>
        <stp>MOODY_EFF_DT</stp>
        <stp>[DIF_Risk_20200430.xlsm]Geneva investment position repo!R105C72</stp>
        <tr r="BT105" s="1"/>
      </tp>
      <tp t="s">
        <v>Banks</v>
        <stp/>
        <stp>##V3_BDPV12</stp>
        <stp>BBG00RPXTZN6 FIGI</stp>
        <stp>INDUSTRY_GROUP</stp>
        <stp>[DIF_Risk_20200430.xlsm]Geneva investment position repo!R90C40</stp>
        <tr r="AN90" s="1"/>
      </tp>
      <tp t="s">
        <v>BBB</v>
        <stp/>
        <stp>##V3_BDPV12</stp>
        <stp>BBG00LJTWWM9 FIGI</stp>
        <stp>RTG_SP</stp>
        <stp>[DIF_Risk_20200430.xlsm]Geneva investment position repo!R60C31</stp>
        <tr r="AE60" s="1"/>
        <tr r="AE60" s="1"/>
      </tp>
      <tp t="s">
        <v>CN</v>
        <stp/>
        <stp>##V3_BDPV12</stp>
        <stp>BBG00NQDZNG6 FIGI</stp>
        <stp>CNTRY_OF_RISK</stp>
        <stp>[DIF_Risk_20200430.xlsm]Geneva investment position repo!R178C38</stp>
        <tr r="AL178" s="1"/>
      </tp>
      <tp t="s">
        <v>CN</v>
        <stp/>
        <stp>##V3_BDPV12</stp>
        <stp>BBG00H4BZMF0 FIGI</stp>
        <stp>CNTRY_OF_RISK</stp>
        <stp>[DIF_Risk_20200430.xlsm]Geneva investment position repo!R130C38</stp>
        <tr r="AL130" s="1"/>
      </tp>
      <tp t="s">
        <v>#N/A Field Not Applicable</v>
        <stp/>
        <stp>##V3_BDPV12</stp>
        <stp>BBG00SBW5S62 FIGI</stp>
        <stp>CAPITAL_CONTINGENT_SECURITY</stp>
        <stp>[DIF_Risk_20200430.xlsm]Geneva investment position repo!R88C42</stp>
        <tr r="AP88" s="1"/>
      </tp>
      <tp t="s">
        <v>#N/A Field Not Applicable</v>
        <stp/>
        <stp>##V3_BDPV12</stp>
        <stp>BBG00HPPFXF4 FIGI</stp>
        <stp>SECURITY_TYP2</stp>
        <stp>[DIF_Risk_20200430.xlsm]Geneva investment position repo!R127C21</stp>
        <tr r="U127" s="1"/>
      </tp>
      <tp t="s">
        <v>LK</v>
        <stp/>
        <stp>##V3_BDPV12</stp>
        <stp>BBG00PK1ZYS6 FIGI</stp>
        <stp>CNTRY_OF_RISK</stp>
        <stp>[DIF_Risk_20200430.xlsm]Geneva investment position repo!R146C38</stp>
        <tr r="AL146" s="1"/>
      </tp>
      <tp t="s">
        <v>CN</v>
        <stp/>
        <stp>##V3_BDPV12</stp>
        <stp>BBG00HC2ZDQ9 FIGI</stp>
        <stp>CNTRY_OF_RISK</stp>
        <stp>[DIF_Risk_20200430.xlsm]Geneva investment position repo!R151C38</stp>
        <tr r="AL151" s="1"/>
      </tp>
      <tp t="s">
        <v>MO</v>
        <stp/>
        <stp>##V3_BDPV12</stp>
        <stp>BBG00P1GZFC2 FIGI</stp>
        <stp>CNTRY_OF_RISK</stp>
        <stp>[DIF_Risk_20200430.xlsm]Geneva investment position repo!R112C38</stp>
        <tr r="AL112" s="1"/>
      </tp>
      <tp t="s">
        <v>1/10/2025</v>
        <stp/>
        <stp>##V3_BDPV12</stp>
        <stp>BBG00R9SLKK9 FIGI</stp>
        <stp>CALC_MATURITY</stp>
        <stp>[DIF_Risk_20200430.xlsm]Geneva investment position repo!R148C55</stp>
        <tr r="BC148" s="1"/>
      </tp>
      <tp t="s">
        <v>#N/A Field Not Applicable</v>
        <stp/>
        <stp>##V3_BDPV12</stp>
        <stp>BBG000Q16VR4 FIGI</stp>
        <stp>FITCH_EFF_DT</stp>
        <stp>[DIF_Risk_20200430.xlsm]Geneva investment position repo!R18C73</stp>
        <tr r="BU18" s="1"/>
      </tp>
      <tp t="s">
        <v>#N/A Field Not Applicable</v>
        <stp/>
        <stp>##V3_BDPV12</stp>
        <stp>BBG00NV0G541 FIGI</stp>
        <stp>SECURITY_TYP2</stp>
        <stp>[DIF_Risk_20200430.xlsm]Geneva investment position repo!R165C21</stp>
        <tr r="U165" s="1"/>
      </tp>
      <tp t="s">
        <v>9/18/2018</v>
        <stp/>
        <stp>##V3_BDPV12</stp>
        <stp>BBG00LVCWLT9 FIGI</stp>
        <stp>FITCH_EFF_DT</stp>
        <stp>[DIF_Risk_20200430.xlsm]Geneva investment position repo!R42C73</stp>
        <tr r="BU42" s="1"/>
      </tp>
      <tp t="s">
        <v>#N/A N/A</v>
        <stp/>
        <stp>##V3_BDPV12</stp>
        <stp>BBG00Q3NXL14 FIGI</stp>
        <stp>FITCH_EFF_DT</stp>
        <stp>[DIF_Risk_20200430.xlsm]Geneva investment position repo!R59C73</stp>
        <tr r="BU59" s="1"/>
      </tp>
      <tp t="s">
        <v>4/29/2025</v>
        <stp/>
        <stp>##V3_BDPV12</stp>
        <stp>BBG00TDCM2R7 FIGI</stp>
        <stp>CALC_MATURITY</stp>
        <stp>[DIF_Risk_20200430.xlsm]Geneva investment position repo!R147C55</stp>
        <tr r="BC147" s="1"/>
      </tp>
      <tp t="s">
        <v>#N/A Field Not Applicable</v>
        <stp/>
        <stp>##V3_BDPV12</stp>
        <stp>BBG00QYPDPC6 FIGI</stp>
        <stp>CAPITAL_CONTINGENT_SECURITY</stp>
        <stp>[DIF_Risk_20200430.xlsm]Geneva investment position repo!R68C42</stp>
        <tr r="AP68" s="1"/>
      </tp>
      <tp t="s">
        <v>4/28/2020</v>
        <stp/>
        <stp>##V3_BDPV12</stp>
        <stp>BBG00TDCM8F7 FIGI</stp>
        <stp>FITCH_EFF_DT</stp>
        <stp>[DIF_Risk_20200430.xlsm]Geneva investment position repo!R38C73</stp>
        <tr r="BU38" s="1"/>
      </tp>
      <tp t="s">
        <v>#N/A Field Not Applicable</v>
        <stp/>
        <stp>##V3_BDPV12</stp>
        <stp>BBG00TFTG847 FIGI</stp>
        <stp>SECURITY_TYP2</stp>
        <stp>[DIF_Risk_20200430.xlsm]Geneva investment position repo!R117C21</stp>
        <tr r="U117" s="1"/>
      </tp>
      <tp t="s">
        <v>8/22/2021</v>
        <stp/>
        <stp>##V3_BDPV12</stp>
        <stp>BBG00NDFM319 FIGI</stp>
        <stp>CALC_MATURITY</stp>
        <stp>[DIF_Risk_20200430.xlsm]Geneva investment position repo!R140C55</stp>
        <tr r="BC140" s="1"/>
      </tp>
      <tp t="s">
        <v>#N/A Field Not Applicable</v>
        <stp/>
        <stp>##V3_BDPV12</stp>
        <stp>BBG00S9HKR72 FIGI</stp>
        <stp>CAPITAL_CONTINGENT_SECURITY</stp>
        <stp>[DIF_Risk_20200430.xlsm]Geneva investment position repo!R36C42</stp>
        <tr r="AP36" s="1"/>
      </tp>
      <tp t="s">
        <v>4/11/2022</v>
        <stp/>
        <stp>##V3_BDPV12</stp>
        <stp>BBG00NTXM180 FIGI</stp>
        <stp>CALC_MATURITY</stp>
        <stp>[DIF_Risk_20200430.xlsm]Geneva investment position repo!R136C55</stp>
        <tr r="BC136" s="1"/>
      </tp>
      <tp t="s">
        <v>#N/A N/A</v>
        <stp/>
        <stp>##V3_BDPV12</stp>
        <stp>BBG00QRVV8P5 FIGI</stp>
        <stp>FITCH_EFF_DT</stp>
        <stp>[DIF_Risk_20200430.xlsm]Geneva investment position repo!R131C73</stp>
        <tr r="BU131" s="1"/>
      </tp>
      <tp t="s">
        <v>1/23/2020</v>
        <stp/>
        <stp>##V3_BDPV12</stp>
        <stp>BBG00KMQKL04 FIGI</stp>
        <stp>MOODY_EFF_DT</stp>
        <stp>[DIF_Risk_20200430.xlsm]Geneva investment position repo!R169C72</stp>
        <tr r="BT169" s="1"/>
      </tp>
      <tp t="s">
        <v>BBG00NGF27D6</v>
        <stp/>
        <stp>##V3_BDPV12</stp>
        <stp>USJ4517MAA74 ISIN</stp>
        <stp>ID_BB_GLOBAL</stp>
        <stp>[DIF_Risk_20200430.xlsm]Geneva investment position repo!R114C18</stp>
        <tr r="R114" s="1"/>
      </tp>
      <tp t="s">
        <v>#N/A N/A</v>
        <stp/>
        <stp>##V3_BDPV12</stp>
        <stp>BBG00S0GV953 FIGI</stp>
        <stp>RTG_SP</stp>
        <stp>[DIF_Risk_20200430.xlsm]Geneva investment position repo!R98C31</stp>
        <tr r="AE98" s="1"/>
      </tp>
      <tp t="s">
        <v>#N/A N/A</v>
        <stp/>
        <stp>##V3_BDPV12</stp>
        <stp>BBG00TFTG847 FIGI</stp>
        <stp>FITCH_EFF_DT</stp>
        <stp>[DIF_Risk_20200430.xlsm]Geneva investment position repo!R117C73</stp>
        <tr r="BU117" s="1"/>
      </tp>
      <tp t="s">
        <v>#N/A N/A</v>
        <stp/>
        <stp>##V3_BDPV12</stp>
        <stp>BBG00S6SWBM6 FIGI</stp>
        <stp>MOODY_EFF_DT</stp>
        <stp>[DIF_Risk_20200430.xlsm]Geneva investment position repo!R158C72</stp>
        <tr r="BT158" s="1"/>
      </tp>
      <tp t="s">
        <v>ACTV</v>
        <stp/>
        <stp>##V3_BDPV12</stp>
        <stp>BBG00LNF6KZ5 FIGI</stp>
        <stp>EXCH_MARKET_STATUS</stp>
        <stp>[DIF_Risk_20200430.xlsm]Geneva investment position repo!R144C44</stp>
        <tr r="AR144" s="1"/>
        <tr r="AR144" s="1"/>
      </tp>
      <tp t="s">
        <v>ACTV</v>
        <stp/>
        <stp>##V3_BDPV12</stp>
        <stp>BBG000QWR4M8 FIGI</stp>
        <stp>EXCH_MARKET_STATUS</stp>
        <stp>[DIF_Risk_20200430.xlsm]Geneva investment position repo!R8C44</stp>
        <tr r="AR8" s="1"/>
        <tr r="AR8" s="1"/>
      </tp>
      <tp t="s">
        <v>#N/A N/A</v>
        <stp/>
        <stp>##V3_BDPV12</stp>
        <stp>BBG00PCCVDV7 FIGI</stp>
        <stp>RTG_SP</stp>
        <stp>[DIF_Risk_20200430.xlsm]Geneva investment position repo!R76C31</stp>
        <tr r="AE76" s="1"/>
      </tp>
      <tp t="s">
        <v>ACTV</v>
        <stp/>
        <stp>##V3_BDPV12</stp>
        <stp>BBG00KMQKL04 FIGI</stp>
        <stp>EXCH_MARKET_STATUS</stp>
        <stp>[DIF_Risk_20200430.xlsm]Geneva investment position repo!R169C44</stp>
        <tr r="AR169" s="1"/>
        <tr r="AR169" s="1"/>
      </tp>
      <tp t="s">
        <v>ACTV</v>
        <stp/>
        <stp>##V3_BDPV12</stp>
        <stp>BBG00TJ8VS75 FIGI</stp>
        <stp>EXCH_MARKET_STATUS</stp>
        <stp>[DIF_Risk_20200430.xlsm]Geneva investment position repo!R167C44</stp>
        <tr r="AR167" s="1"/>
        <tr r="AR167" s="1"/>
      </tp>
      <tp t="s">
        <v>11/26/2018</v>
        <stp/>
        <stp>##V3_BDPV12</stp>
        <stp>BBG00MNS44N6 FIGI</stp>
        <stp>MOODY_EFF_DT</stp>
        <stp>[DIF_Risk_20200430.xlsm]Geneva investment position repo!R129C72</stp>
        <tr r="BT129" s="1"/>
      </tp>
      <tp>
        <v>9.0206104242045004</v>
        <stp/>
        <stp>##V3_BDPV12</stp>
        <stp>XS2078814147 ISIN</stp>
        <stp>YLD_YTM_MID</stp>
        <stp>[DIF_Risk_20200430.xlsm]Geneva investment position repo!R68C61</stp>
        <tr r="BI68" s="1"/>
      </tp>
      <tp t="s">
        <v>#N/A Field Not Applicable</v>
        <stp/>
        <stp>##V3_BDPV12</stp>
        <stp>BBG00KMRGS75 FIGI</stp>
        <stp>SECURITY_TYP2</stp>
        <stp>[DIF_Risk_20200430.xlsm]Geneva investment position repo!R152C21</stp>
        <tr r="U152" s="1"/>
      </tp>
      <tp t="s">
        <v>4/24/2021</v>
        <stp/>
        <stp>##V3_BDPV12</stp>
        <stp>BBG00KNCMN62 FIGI</stp>
        <stp>CALC_MATURITY</stp>
        <stp>[DIF_Risk_20200430.xlsm]Geneva investment position repo!R102C55</stp>
        <tr r="BC102" s="1"/>
      </tp>
      <tp>
        <v>2.1753439778957193</v>
        <stp/>
        <stp>##V3_BDPV12</stp>
        <stp>XS2078814147 ISIN</stp>
        <stp>DUR_ADJ_MID</stp>
        <stp>[DIF_Risk_20200430.xlsm]Geneva investment position repo!R68C59</stp>
        <tr r="BG68" s="1"/>
      </tp>
      <tp>
        <v>5.4520881694727255</v>
        <stp/>
        <stp>##V3_BDPV12</stp>
        <stp>XS2008565116 ISIN</stp>
        <stp>YLD_YTM_MID</stp>
        <stp>[DIF_Risk_20200430.xlsm]Geneva investment position repo!R53C61</stp>
        <tr r="BI53" s="1"/>
      </tp>
      <tp t="s">
        <v>9/3/2168</v>
        <stp/>
        <stp>##V3_BDPV12</stp>
        <stp>BBG00RZ2MZZ7 FIGI</stp>
        <stp>CALC_MATURITY</stp>
        <stp>[DIF_Risk_20200430.xlsm]Geneva investment position repo!R113C55</stp>
        <tr r="BC113" s="1"/>
      </tp>
      <tp>
        <v>6.4075368438492024</v>
        <stp/>
        <stp>##V3_BDPV12</stp>
        <stp>XS2079799024 ISIN</stp>
        <stp>YLD_YTM_MID</stp>
        <stp>[DIF_Risk_20200430.xlsm]Geneva investment position repo!R46C61</stp>
        <tr r="BI46" s="1"/>
      </tp>
      <tp>
        <v>5.4325135241419691</v>
        <stp/>
        <stp>##V3_BDPV12</stp>
        <stp>XS2100725949 ISIN</stp>
        <stp>DUR_ADJ_MID</stp>
        <stp>[DIF_Risk_20200430.xlsm]Geneva investment position repo!R63C59</stp>
        <tr r="BG63" s="1"/>
      </tp>
      <tp>
        <v>3.6311355398827501</v>
        <stp/>
        <stp>##V3_BDPV12</stp>
        <stp>XS2008565116 ISIN</stp>
        <stp>DUR_ADJ_MID</stp>
        <stp>[DIF_Risk_20200430.xlsm]Geneva investment position repo!R53C59</stp>
        <tr r="BG53" s="1"/>
      </tp>
      <tp>
        <v>2.729427661353963</v>
        <stp/>
        <stp>##V3_BDPV12</stp>
        <stp>XS2079799024 ISIN</stp>
        <stp>DUR_ADJ_MID</stp>
        <stp>[DIF_Risk_20200430.xlsm]Geneva investment position repo!R46C59</stp>
        <tr r="BG46" s="1"/>
      </tp>
      <tp>
        <v>5.5693702291383831</v>
        <stp/>
        <stp>##V3_BDPV12</stp>
        <stp>XS2100725949 ISIN</stp>
        <stp>YLD_YTM_MID</stp>
        <stp>[DIF_Risk_20200430.xlsm]Geneva investment position repo!R63C61</stp>
        <tr r="BI63" s="1"/>
      </tp>
      <tp t="s">
        <v>4/10/2169</v>
        <stp/>
        <stp>##V3_BDPV12</stp>
        <stp>BBG00HVHMY65 FIGI</stp>
        <stp>CALC_MATURITY</stp>
        <stp>[DIF_Risk_20200430.xlsm]Geneva investment position repo!R119C55</stp>
        <tr r="BC119" s="1"/>
      </tp>
      <tp t="s">
        <v>1/14/2025</v>
        <stp/>
        <stp>##V3_BDPV12</stp>
        <stp>BBG00RB0MG61 FIGI</stp>
        <stp>CALC_MATURITY</stp>
        <stp>[DIF_Risk_20200430.xlsm]Geneva investment position repo!R100C55</stp>
        <tr r="BC100" s="1"/>
      </tp>
      <tp t="s">
        <v>CN</v>
        <stp/>
        <stp>##V3_BDPV12</stp>
        <stp>BBG00RYF5CJ7 FIGI</stp>
        <stp>CNTRY_OF_RISK</stp>
        <stp>[DIF_Risk_20200430.xlsm]Geneva investment position repo!R35C38</stp>
        <tr r="AL35" s="1"/>
      </tp>
      <tp t="s">
        <v>#N/A Field Not Applicable</v>
        <stp/>
        <stp>##V3_BDPV12</stp>
        <stp>BBG000P9FRH8 FIGI</stp>
        <stp>MOODY_EFF_DT</stp>
        <stp>[DIF_Risk_20200430.xlsm]Geneva investment position repo!R19C72</stp>
        <tr r="BT19" s="1"/>
      </tp>
      <tp t="s">
        <v>1/10/2020</v>
        <stp/>
        <stp>##V3_BDPV12</stp>
        <stp>BBG00RB35JZ6 FIGI</stp>
        <stp>MOODY_EFF_DT</stp>
        <stp>[DIF_Risk_20200430.xlsm]Geneva investment position repo!R48C72</stp>
        <tr r="BT48" s="1"/>
      </tp>
      <tp t="s">
        <v>4/17/2020</v>
        <stp/>
        <stp>##V3_BDPV12</stp>
        <stp>BBG00T6LYC72 FIGI</stp>
        <stp>FITCH_EFF_DT</stp>
        <stp>[DIF_Risk_20200430.xlsm]Geneva investment position repo!R95C73</stp>
        <tr r="BU95" s="1"/>
      </tp>
      <tp t="s">
        <v>5/28/2018</v>
        <stp/>
        <stp>##V3_BDPV12</stp>
        <stp>BBG00KVGG4W4 FIGI</stp>
        <stp>FITCH_EFF_DT</stp>
        <stp>[DIF_Risk_20200430.xlsm]Geneva investment position repo!R83C73</stp>
        <tr r="BU83" s="1"/>
      </tp>
      <tp t="s">
        <v>IN</v>
        <stp/>
        <stp>##V3_BDPV12</stp>
        <stp>BBG00PSJPXV8 FIGI</stp>
        <stp>CNTRY_OF_RISK</stp>
        <stp>[DIF_Risk_20200430.xlsm]Geneva investment position repo!R82C38</stp>
        <tr r="AL82" s="1"/>
      </tp>
      <tp t="s">
        <v>#N/A Field Not Applicable</v>
        <stp/>
        <stp>##V3_BDPV12</stp>
        <stp>BBG00LLV9WW6 FIGI</stp>
        <stp>MOODY_EFF_DT</stp>
        <stp>[DIF_Risk_20200430.xlsm]Geneva investment position repo!R21C72</stp>
        <tr r="BT21" s="1"/>
      </tp>
      <tp t="s">
        <v>ID</v>
        <stp/>
        <stp>##V3_BDPV12</stp>
        <stp>BBG00DXBXRD0 FIGI</stp>
        <stp>CNTRY_OF_RISK</stp>
        <stp>[DIF_Risk_20200430.xlsm]Geneva investment position repo!R93C38</stp>
        <tr r="AL93" s="1"/>
      </tp>
      <tp t="s">
        <v>HK</v>
        <stp/>
        <stp>##V3_BDPV12</stp>
        <stp>BBG00RYDYKF6 FIGI</stp>
        <stp>CNTRY_OF_RISK</stp>
        <stp>[DIF_Risk_20200430.xlsm]Geneva investment position repo!R89C38</stp>
        <tr r="AL89" s="1"/>
      </tp>
      <tp t="s">
        <v>1/6/2020</v>
        <stp/>
        <stp>##V3_BDPV12</stp>
        <stp>BBG00R9SNB81 FIGI</stp>
        <stp>FITCH_EFF_DT</stp>
        <stp>[DIF_Risk_20200430.xlsm]Geneva investment position repo!R64C73</stp>
        <tr r="BU64" s="1"/>
      </tp>
      <tp t="s">
        <v>#N/A Field Not Applicable</v>
        <stp/>
        <stp>##V3_BDPV12</stp>
        <stp>BBG00NDMRLH2 FIGI</stp>
        <stp>CAPITAL_CONTINGENT_SECURITY</stp>
        <stp>[DIF_Risk_20200430.xlsm]Geneva investment position repo!R58C42</stp>
        <tr r="AP58" s="1"/>
      </tp>
      <tp t="s">
        <v>ID</v>
        <stp/>
        <stp>##V3_BDPV12</stp>
        <stp>BBG00HDTX5P9 FIGI</stp>
        <stp>CNTRY_OF_RISK</stp>
        <stp>[DIF_Risk_20200430.xlsm]Geneva investment position repo!R111C38</stp>
        <tr r="AL111" s="1"/>
      </tp>
      <tp t="s">
        <v>4/1/2019</v>
        <stp/>
        <stp>##V3_BDPV12</stp>
        <stp>BBG00LJTVJR4 FIGI</stp>
        <stp>FITCH_EFF_DT</stp>
        <stp>[DIF_Risk_20200430.xlsm]Geneva investment position repo!R154C73</stp>
        <tr r="BU154" s="1"/>
      </tp>
      <tp t="s">
        <v>2/11/2020</v>
        <stp/>
        <stp>##V3_BDPV12</stp>
        <stp>BBG00RPXWXD8 FIGI</stp>
        <stp>FITCH_EFF_DT</stp>
        <stp>[DIF_Risk_20200430.xlsm]Geneva investment position repo!R173C73</stp>
        <tr r="BU173" s="1"/>
      </tp>
      <tp t="s">
        <v>#N/A Field Not Applicable</v>
        <stp/>
        <stp>##V3_BDPV12</stp>
        <stp>BBG0016XR1Q8 FIGI</stp>
        <stp>BOND_CLASSIFICATION_NAME</stp>
        <stp>[DIF_Risk_20200430.xlsm]Geneva investment position repo!R6C53</stp>
        <tr r="BA6" s="1"/>
      </tp>
      <tp t="s">
        <v>#N/A N/A</v>
        <stp/>
        <stp>##V3_BDPV12</stp>
        <stp>BBG00T5WB757 FIGI</stp>
        <stp>FITCH_EFF_DT</stp>
        <stp>[DIF_Risk_20200430.xlsm]Geneva investment position repo!R124C73</stp>
        <tr r="BU124" s="1"/>
      </tp>
      <tp t="s">
        <v>Real Estate</v>
        <stp/>
        <stp>##V3_BDPV12</stp>
        <stp>BBG00S0GV953 FIGI</stp>
        <stp>INDUSTRY_GROUP</stp>
        <stp>[DIF_Risk_20200430.xlsm]Geneva investment position repo!R98C40</stp>
        <tr r="AN98" s="1"/>
      </tp>
      <tp t="s">
        <v>Real Estate</v>
        <stp/>
        <stp>##V3_BDPV12</stp>
        <stp>BBG00PCCVDV7 FIGI</stp>
        <stp>INDUSTRY_GROUP</stp>
        <stp>[DIF_Risk_20200430.xlsm]Geneva investment position repo!R76C40</stp>
        <tr r="AN76" s="1"/>
      </tp>
      <tp t="s">
        <v>#N/A Field Not Applicable</v>
        <stp/>
        <stp>##V3_BDPV12</stp>
        <stp>BBG00PF578H3 FIGI</stp>
        <stp>CAPITAL_CONTINGENT_SECURITY</stp>
        <stp>[DIF_Risk_20200430.xlsm]Geneva investment position repo!R181C42</stp>
        <tr r="AP181" s="1"/>
      </tp>
      <tp t="s">
        <v>Electric</v>
        <stp/>
        <stp>##V3_BDPV12</stp>
        <stp>BBG000BDV566 FIGI</stp>
        <stp>INDUSTRY_GROUP</stp>
        <stp>[DIF_Risk_20200430.xlsm]Geneva investment position repo!R13C40</stp>
        <tr r="AN13" s="1"/>
      </tp>
      <tp t="s">
        <v>1/23/2020</v>
        <stp/>
        <stp>##V3_BDPV12</stp>
        <stp>BBG00MTS9QX5 FIGI</stp>
        <stp>MOODY_EFF_DT</stp>
        <stp>[DIF_Risk_20200430.xlsm]Geneva investment position repo!R157C72</stp>
        <tr r="BT157" s="1"/>
      </tp>
      <tp t="s">
        <v>EQUI</v>
        <stp/>
        <stp>##V3_BDPV12</stp>
        <stp>BBG000PXTGY5 FIGI</stp>
        <stp>MIFID_ASSET_CLASS</stp>
        <stp>[DIF_Risk_20200430.xlsm]Geneva investment position repo!R9C19</stp>
        <tr r="S9" s="1"/>
      </tp>
      <tp>
        <v>4.9698152521959393</v>
        <stp/>
        <stp>##V3_BDPV12</stp>
        <stp>XS2102904864 ISIN</stp>
        <stp>YLD_YTM_MID</stp>
        <stp>[DIF_Risk_20200430.xlsm]Geneva investment position repo!R47C61</stp>
        <tr r="BI47" s="1"/>
      </tp>
      <tp>
        <v>4.2932649702485595</v>
        <stp/>
        <stp>##V3_BDPV12</stp>
        <stp>XS2102904864 ISIN</stp>
        <stp>DUR_ADJ_MID</stp>
        <stp>[DIF_Risk_20200430.xlsm]Geneva investment position repo!R47C59</stp>
        <tr r="BG47" s="1"/>
      </tp>
      <tp t="s">
        <v>#N/A Field Not Applicable</v>
        <stp/>
        <stp>##V3_BDPV12</stp>
        <stp>BBG00N2K8LG0 FIGI</stp>
        <stp>CAPITAL_CONTINGENT_SECURITY</stp>
        <stp>[DIF_Risk_20200430.xlsm]Geneva investment position repo!R43C42</stp>
        <tr r="AP43" s="1"/>
      </tp>
      <tp>
        <v>6.5775488963156938</v>
        <stp/>
        <stp>##V3_BDPV12</stp>
        <stp>XS1893648904 ISIN</stp>
        <stp>YLD_YTM_MID</stp>
        <stp>[DIF_Risk_20200430.xlsm]Geneva investment position repo!R50C61</stp>
        <tr r="BI50" s="1"/>
      </tp>
      <tp t="s">
        <v>#N/A Field Not Applicable</v>
        <stp/>
        <stp>##V3_BDPV12</stp>
        <stp>BBG00DVX5HS1 FIGI</stp>
        <stp>SECURITY_TYP2</stp>
        <stp>[DIF_Risk_20200430.xlsm]Geneva investment position repo!R44C21</stp>
        <tr r="U44" s="1"/>
      </tp>
      <tp t="s">
        <v>Common Stock</v>
        <stp/>
        <stp>##V3_BDPV12</stp>
        <stp>BBG00GTY47H0 FIGI</stp>
        <stp>SECURITY_TYP2</stp>
        <stp>[DIF_Risk_20200430.xlsm]Geneva investment position repo!R26C21</stp>
        <tr r="U26" s="1"/>
      </tp>
      <tp>
        <v>0.96259711582903396</v>
        <stp/>
        <stp>##V3_BDPV12</stp>
        <stp>XS1823212904 ISIN</stp>
        <stp>DUR_ADJ_MID</stp>
        <stp>[DIF_Risk_20200430.xlsm]Geneva investment position repo!R66C59</stp>
        <tr r="BG66" s="1"/>
      </tp>
      <tp>
        <v>4.3029580474457214</v>
        <stp/>
        <stp>##V3_BDPV12</stp>
        <stp>XS2122408854 ISIN</stp>
        <stp>DUR_ADJ_MID</stp>
        <stp>[DIF_Risk_20200430.xlsm]Geneva investment position repo!R69C59</stp>
        <tr r="BG69" s="1"/>
      </tp>
      <tp t="s">
        <v>#N/A Field Not Applicable</v>
        <stp/>
        <stp>##V3_BDPV12</stp>
        <stp>BBG00SXGDG60 FIGI</stp>
        <stp>SECURITY_TYP2</stp>
        <stp>[DIF_Risk_20200430.xlsm]Geneva investment position repo!R120C21</stp>
        <tr r="U120" s="1"/>
      </tp>
      <tp>
        <v>2.8394138556339867</v>
        <stp/>
        <stp>##V3_BDPV12</stp>
        <stp>XS1823212904 ISIN</stp>
        <stp>YLD_YTM_MID</stp>
        <stp>[DIF_Risk_20200430.xlsm]Geneva investment position repo!R66C61</stp>
        <tr r="BI66" s="1"/>
      </tp>
      <tp>
        <v>2.4629189755784155</v>
        <stp/>
        <stp>##V3_BDPV12</stp>
        <stp>XS2122408854 ISIN</stp>
        <stp>YLD_YTM_MID</stp>
        <stp>[DIF_Risk_20200430.xlsm]Geneva investment position repo!R69C61</stp>
        <tr r="BI69" s="1"/>
      </tp>
      <tp t="s">
        <v>5/5/2030</v>
        <stp/>
        <stp>##V3_BDPV12</stp>
        <stp>BBG00THTNZZ3 FIGI</stp>
        <stp>CALC_MATURITY</stp>
        <stp>[DIF_Risk_20200430.xlsm]Geneva investment position repo!R125C55</stp>
        <tr r="BC125" s="1"/>
      </tp>
      <tp>
        <v>0.5930792703915716</v>
        <stp/>
        <stp>##V3_BDPV12</stp>
        <stp>XS1893648904 ISIN</stp>
        <stp>DUR_ADJ_MID</stp>
        <stp>[DIF_Risk_20200430.xlsm]Geneva investment position repo!R50C59</stp>
        <tr r="BG50" s="1"/>
      </tp>
      <tp t="s">
        <v>CN</v>
        <stp/>
        <stp>##V3_BDPV12</stp>
        <stp>BBG00NHNXCH9 FIGI</stp>
        <stp>CNTRY_OF_RISK</stp>
        <stp>[DIF_Risk_20200430.xlsm]Geneva investment position repo!R179C38</stp>
        <tr r="AL179" s="1"/>
      </tp>
      <tp t="s">
        <v>CN</v>
        <stp/>
        <stp>##V3_BDPV12</stp>
        <stp>BBG00NBG3YQ5 FIGI</stp>
        <stp>CNTRY_OF_RISK</stp>
        <stp>[DIF_Risk_20200430.xlsm]Geneva investment position repo!R91C38</stp>
        <tr r="AL91" s="1"/>
      </tp>
      <tp t="s">
        <v>#N/A Field Not Applicable</v>
        <stp/>
        <stp>##V3_BDPV12</stp>
        <stp>BBG00N2KDB12 FIGI</stp>
        <stp>SECURITY_TYP2</stp>
        <stp>[DIF_Risk_20200430.xlsm]Geneva investment position repo!R174C21</stp>
        <tr r="U174" s="1"/>
      </tp>
      <tp t="s">
        <v>#N/A Field Not Applicable</v>
        <stp/>
        <stp>##V3_BDPV12</stp>
        <stp>BBG00K6FDF25 FIGI</stp>
        <stp>SECURITY_TYP2</stp>
        <stp>[DIF_Risk_20200430.xlsm]Geneva investment position repo!R101C21</stp>
        <tr r="U101" s="1"/>
      </tp>
      <tp t="s">
        <v>#N/A Field Not Applicable</v>
        <stp/>
        <stp>##V3_BDPV12</stp>
        <stp>BBG000P9D267 FIGI</stp>
        <stp>CAPITAL_CONTINGENT_SECURITY</stp>
        <stp>[DIF_Risk_20200430.xlsm]Geneva investment position repo!R20C42</stp>
        <tr r="AP20" s="1"/>
      </tp>
      <tp t="s">
        <v>CN</v>
        <stp/>
        <stp>##V3_BDPV12</stp>
        <stp>BBG00CNK44T9 FIGI</stp>
        <stp>CNTRY_OF_RISK</stp>
        <stp>[DIF_Risk_20200430.xlsm]Geneva investment position repo!R45C38</stp>
        <tr r="AL45" s="1"/>
      </tp>
      <tp t="s">
        <v>#N/A Field Not Applicable</v>
        <stp/>
        <stp>##V3_BDPV12</stp>
        <stp>BBG00B6SDBV4 FIGI</stp>
        <stp>SECURITY_TYP2</stp>
        <stp>[DIF_Risk_20200430.xlsm]Geneva investment position repo!R115C21</stp>
        <tr r="U115" s="1"/>
      </tp>
      <tp t="s">
        <v>9/2/2019</v>
        <stp/>
        <stp>##V3_BDPV12</stp>
        <stp>BBG00GQ752P3 FIGI</stp>
        <stp>FITCH_EFF_DT</stp>
        <stp>[DIF_Risk_20200430.xlsm]Geneva investment position repo!R99C73</stp>
        <tr r="BU99" s="1"/>
      </tp>
      <tp t="s">
        <v>CN</v>
        <stp/>
        <stp>##V3_BDPV12</stp>
        <stp>BBG00PDYXN26 FIGI</stp>
        <stp>CNTRY_OF_RISK</stp>
        <stp>[DIF_Risk_20200430.xlsm]Geneva investment position repo!R156C38</stp>
        <tr r="AL156" s="1"/>
      </tp>
      <tp t="s">
        <v>#N/A Field Not Applicable</v>
        <stp/>
        <stp>##V3_BDPV12</stp>
        <stp>BBG00H5KNJZ7 FIGI</stp>
        <stp>CAPITAL_CONTINGENT_SECURITY</stp>
        <stp>[DIF_Risk_20200430.xlsm]Geneva investment position repo!R80C42</stp>
        <tr r="AP80" s="1"/>
      </tp>
      <tp t="s">
        <v>7/16/2023</v>
        <stp/>
        <stp>##V3_BDPV12</stp>
        <stp>BBG00PNSNLZ7 FIGI</stp>
        <stp>CALC_MATURITY</stp>
        <stp>[DIF_Risk_20200430.xlsm]Geneva investment position repo!R161C55</stp>
        <tr r="BC161" s="1"/>
      </tp>
      <tp t="s">
        <v>#N/A Field Not Applicable</v>
        <stp/>
        <stp>##V3_BDPV12</stp>
        <stp>BBG00RPNYQB5 FIGI</stp>
        <stp>CAPITAL_CONTINGENT_SECURITY</stp>
        <stp>[DIF_Risk_20200430.xlsm]Geneva investment position repo!R47C42</stp>
        <tr r="AP47" s="1"/>
      </tp>
      <tp t="s">
        <v>CN</v>
        <stp/>
        <stp>##V3_BDPV12</stp>
        <stp>BBG00KVGG4W4 FIGI</stp>
        <stp>CNTRY_OF_RISK</stp>
        <stp>[DIF_Risk_20200430.xlsm]Geneva investment position repo!R83C38</stp>
        <tr r="AL83" s="1"/>
      </tp>
      <tp t="s">
        <v>5/20/2020</v>
        <stp/>
        <stp>##V3_BDPV12</stp>
        <stp>BBG00RPXTZN6 FIGI</stp>
        <stp>CALC_MATURITY</stp>
        <stp>[DIF_Risk_20200430.xlsm]Geneva investment position repo!R90C55</stp>
        <tr r="BC90" s="1"/>
      </tp>
      <tp t="s">
        <v>Common Stock</v>
        <stp/>
        <stp>##V3_BDPV12</stp>
        <stp>BBG000BZWNT2 FIGI</stp>
        <stp>SECURITY_TYP2</stp>
        <stp>[DIF_Risk_20200430.xlsm]Geneva investment position repo!R11C21</stp>
        <tr r="U11" s="1"/>
      </tp>
      <tp t="s">
        <v>#N/A N/A</v>
        <stp/>
        <stp>##V3_BDPV12</stp>
        <stp>BBG00CNK44T9 FIGI</stp>
        <stp>MOODY_EFF_DT</stp>
        <stp>[DIF_Risk_20200430.xlsm]Geneva investment position repo!R45C72</stp>
        <tr r="BT45" s="1"/>
      </tp>
      <tp t="s">
        <v>CN</v>
        <stp/>
        <stp>##V3_BDPV12</stp>
        <stp>BBG00LLFHRL5 FIGI</stp>
        <stp>CNTRY_OF_RISK</stp>
        <stp>[DIF_Risk_20200430.xlsm]Geneva investment position repo!R61C38</stp>
        <tr r="AL61" s="1"/>
      </tp>
      <tp t="s">
        <v>#N/A N/A</v>
        <stp/>
        <stp>##V3_BDPV12</stp>
        <stp>BBG00LLFHRL5 FIGI</stp>
        <stp>FITCH_EFF_DT</stp>
        <stp>[DIF_Risk_20200430.xlsm]Geneva investment position repo!R61C73</stp>
        <tr r="BU61" s="1"/>
      </tp>
      <tp t="s">
        <v>HK</v>
        <stp/>
        <stp>##V3_BDPV12</stp>
        <stp>BBG00GSCY4N6 FIGI</stp>
        <stp>CNTRY_OF_RISK</stp>
        <stp>[DIF_Risk_20200430.xlsm]Geneva investment position repo!R116C38</stp>
        <tr r="AL116" s="1"/>
      </tp>
      <tp t="s">
        <v>CN</v>
        <stp/>
        <stp>##V3_BDPV12</stp>
        <stp>BBG00PMFP1T5 FIGI</stp>
        <stp>CNTRY_OF_RISK</stp>
        <stp>[DIF_Risk_20200430.xlsm]Geneva investment position repo!R52C38</stp>
        <tr r="AL52" s="1"/>
      </tp>
      <tp t="s">
        <v>#N/A N/A</v>
        <stp/>
        <stp>##V3_BDPV12</stp>
        <stp>BBG00DKQ0MQ4 FIGI</stp>
        <stp>MOODY_EFF_DT</stp>
        <stp>[DIF_Risk_20200430.xlsm]Geneva investment position repo!R78C72</stp>
        <tr r="BT78" s="1"/>
      </tp>
      <tp t="s">
        <v>11/22/2019</v>
        <stp/>
        <stp>##V3_BDPV12</stp>
        <stp>BBG00QYPDPC6 FIGI</stp>
        <stp>MOODY_EFF_DT</stp>
        <stp>[DIF_Risk_20200430.xlsm]Geneva investment position repo!R68C72</stp>
        <tr r="BT68" s="1"/>
      </tp>
      <tp t="s">
        <v>4/27/2020</v>
        <stp/>
        <stp>##V3_BDPV12</stp>
        <stp>BBG00THTNZZ3 FIGI</stp>
        <stp>MOODY_EFF_DT</stp>
        <stp>[DIF_Risk_20200430.xlsm]Geneva investment position repo!R125C72</stp>
        <tr r="BT125" s="1"/>
      </tp>
      <tp t="s">
        <v>4/3/2019</v>
        <stp/>
        <stp>##V3_BDPV12</stp>
        <stp>BBG00KMRGS75 FIGI</stp>
        <stp>MOODY_EFF_DT</stp>
        <stp>[DIF_Risk_20200430.xlsm]Geneva investment position repo!R152C72</stp>
        <tr r="BT152" s="1"/>
      </tp>
      <tp t="s">
        <v>Electric</v>
        <stp/>
        <stp>##V3_BDPV12</stp>
        <stp>BBG000BDWNL9 FIGI</stp>
        <stp>INDUSTRY_GROUP</stp>
        <stp>[DIF_Risk_20200430.xlsm]Geneva investment position repo!R24C40</stp>
        <tr r="AN24" s="1"/>
      </tp>
      <tp t="s">
        <v>Telecommunications</v>
        <stp/>
        <stp>##V3_BDPV12</stp>
        <stp>BBG000BZWNT2 FIGI</stp>
        <stp>INDUSTRY_GROUP</stp>
        <stp>[DIF_Risk_20200430.xlsm]Geneva investment position repo!R11C40</stp>
        <tr r="AN11" s="1"/>
      </tp>
      <tp t="s">
        <v>10/7/2015</v>
        <stp/>
        <stp>##V3_BDPV12</stp>
        <stp>BBG00B6SDBV4 FIGI</stp>
        <stp>MOODY_EFF_DT</stp>
        <stp>[DIF_Risk_20200430.xlsm]Geneva investment position repo!R115C72</stp>
        <tr r="BT115" s="1"/>
      </tp>
      <tp t="s">
        <v>#N/A N/A</v>
        <stp/>
        <stp>##V3_BDPV12</stp>
        <stp>BBG00T5WB7F6 FIGI</stp>
        <stp>FITCH_EFF_DT</stp>
        <stp>[DIF_Risk_20200430.xlsm]Geneva investment position repo!R123C73</stp>
        <tr r="BU123" s="1"/>
      </tp>
      <tp t="s">
        <v>8/18/2019</v>
        <stp/>
        <stp>##V3_BDPV12</stp>
        <stp>BBG00NWVJPB7 FIGI</stp>
        <stp>FITCH_EFF_DT</stp>
        <stp>[DIF_Risk_20200430.xlsm]Geneva investment position repo!R141C73</stp>
        <tr r="BU141" s="1"/>
      </tp>
      <tp t="s">
        <v>#N/A N/A</v>
        <stp/>
        <stp>##V3_BDPV12</stp>
        <stp>BBG00RPXTZN6 FIGI</stp>
        <stp>RTG_SP</stp>
        <stp>[DIF_Risk_20200430.xlsm]Geneva investment position repo!R90C31</stp>
        <tr r="AE90" s="1"/>
      </tp>
      <tp t="s">
        <v>Commercial Services</v>
        <stp/>
        <stp>##V3_BDPV12</stp>
        <stp>BBG00LJTWWM9 FIGI</stp>
        <stp>INDUSTRY_GROUP</stp>
        <stp>[DIF_Risk_20200430.xlsm]Geneva investment position repo!R60C40</stp>
        <tr r="AN60" s="1"/>
      </tp>
      <tp t="s">
        <v>ACTV</v>
        <stp/>
        <stp>##V3_BDPV12</stp>
        <stp>BBG000PXTGY5 FIGI</stp>
        <stp>EXCH_MARKET_STATUS</stp>
        <stp>[DIF_Risk_20200430.xlsm]Geneva investment position repo!R9C44</stp>
        <tr r="AR9" s="1"/>
        <tr r="AR9" s="1"/>
      </tp>
      <tp t="s">
        <v>Diversified Finan Serv</v>
        <stp/>
        <stp>##V3_BDPV12</stp>
        <stp>BBG000BGW354 FIGI</stp>
        <stp>INDUSTRY_GROUP</stp>
        <stp>[DIF_Risk_20200430.xlsm]Geneva investment position repo!R17C40</stp>
        <tr r="AN17" s="1"/>
      </tp>
      <tp t="s">
        <v>ACTV</v>
        <stp/>
        <stp>##V3_BDPV12</stp>
        <stp>BBG00KNCMN62 FIGI</stp>
        <stp>EXCH_MARKET_STATUS</stp>
        <stp>[DIF_Risk_20200430.xlsm]Geneva investment position repo!R102C44</stp>
        <tr r="AR102" s="1"/>
        <tr r="AR102" s="1"/>
      </tp>
      <tp t="s">
        <v>Real Estate</v>
        <stp/>
        <stp>##V3_BDPV12</stp>
        <stp>BBG00LVCWLT9 FIGI</stp>
        <stp>INDUSTRY_GROUP</stp>
        <stp>[DIF_Risk_20200430.xlsm]Geneva investment position repo!R42C40</stp>
        <tr r="AN42" s="1"/>
      </tp>
      <tp t="s">
        <v>ACTV</v>
        <stp/>
        <stp>##V3_BDPV12</stp>
        <stp>BBG00H4BZMF0 FIGI</stp>
        <stp>EXCH_MARKET_STATUS</stp>
        <stp>[DIF_Risk_20200430.xlsm]Geneva investment position repo!R130C44</stp>
        <tr r="AR130" s="1"/>
        <tr r="AR130" s="1"/>
      </tp>
      <tp t="s">
        <v>Real Estate</v>
        <stp/>
        <stp>##V3_BDPV12</stp>
        <stp>BBG00RYDWX24 FIGI</stp>
        <stp>INDUSTRY_GROUP</stp>
        <stp>[DIF_Risk_20200430.xlsm]Geneva investment position repo!R85C40</stp>
        <tr r="AN85" s="1"/>
      </tp>
      <tp t="s">
        <v>Water</v>
        <stp/>
        <stp>##V3_BDPV12</stp>
        <stp>BBG000BDW8M1 FIGI</stp>
        <stp>INDUSTRY_GROUP</stp>
        <stp>[DIF_Risk_20200430.xlsm]Geneva investment position repo!R14C40</stp>
        <tr r="AN14" s="1"/>
      </tp>
      <tp t="s">
        <v>#N/A Field Not Applicable</v>
        <stp/>
        <stp>##V3_BDPV12</stp>
        <stp>BBG000BGW354 FIGI</stp>
        <stp>CAPITAL_CONTINGENT_SECURITY</stp>
        <stp>[DIF_Risk_20200430.xlsm]Geneva investment position repo!R17C42</stp>
        <tr r="AP17" s="1"/>
      </tp>
      <tp t="s">
        <v>KY</v>
        <stp/>
        <stp>##V3_BDPV12</stp>
        <stp>BBG00D2WYB33 FIGI</stp>
        <stp>CNTRY_OF_RISK</stp>
        <stp>[DIF_Risk_20200430.xlsm]Geneva investment position repo!R126C38</stp>
        <tr r="AL126" s="1"/>
      </tp>
      <tp t="s">
        <v>#N/A Field Not Applicable</v>
        <stp/>
        <stp>##V3_BDPV12</stp>
        <stp>BBG00QJ3FR72 FIGI</stp>
        <stp>CAPITAL_CONTINGENT_SECURITY</stp>
        <stp>[DIF_Risk_20200430.xlsm]Geneva investment position repo!R37C42</stp>
        <tr r="AP37" s="1"/>
      </tp>
      <tp t="s">
        <v>#N/A Field Not Applicable</v>
        <stp/>
        <stp>##V3_BDPV12</stp>
        <stp>BBG00226B1T3 FIGI</stp>
        <stp>CAPITAL_CONTINGENT_SECURITY</stp>
        <stp>[DIF_Risk_20200430.xlsm]Geneva investment position repo!R16C42</stp>
        <tr r="AP16" s="1"/>
      </tp>
      <tp t="s">
        <v>8/1/2019</v>
        <stp/>
        <stp>##V3_BDPV12</stp>
        <stp>BBG00PV1L0V9 FIGI</stp>
        <stp>FITCH_EFF_DT</stp>
        <stp>[DIF_Risk_20200430.xlsm]Geneva investment position repo!R86C73</stp>
        <tr r="BU86" s="1"/>
      </tp>
      <tp t="s">
        <v>#N/A Field Not Applicable</v>
        <stp/>
        <stp>##V3_BDPV12</stp>
        <stp>BBG00RPJBQ56 FIGI</stp>
        <stp>CAPITAL_CONTINGENT_SECURITY</stp>
        <stp>[DIF_Risk_20200430.xlsm]Geneva investment position repo!R27C42</stp>
        <tr r="AP27" s="1"/>
      </tp>
      <tp t="s">
        <v>#N/A Field Not Applicable</v>
        <stp/>
        <stp>##V3_BDPV12</stp>
        <stp>BBG005Q0XWK0 FIGI</stp>
        <stp>MOODY_EFF_DT</stp>
        <stp>[DIF_Risk_20200430.xlsm]Geneva investment position repo!R15C72</stp>
        <tr r="BT15" s="1"/>
      </tp>
      <tp t="s">
        <v>#N/A N/A</v>
        <stp/>
        <stp>##V3_BDPV12</stp>
        <stp>BBG00PDL9DC2 FIGI</stp>
        <stp>FITCH_EFF_DT</stp>
        <stp>[DIF_Risk_20200430.xlsm]Geneva investment position repo!R92C73</stp>
        <tr r="BU92" s="1"/>
      </tp>
      <tp t="s">
        <v>#N/A Field Not Applicable</v>
        <stp/>
        <stp>##V3_BDPV12</stp>
        <stp>BBG00NB0B2N4 FIGI</stp>
        <stp>SECURITY_TYP2</stp>
        <stp>[DIF_Risk_20200430.xlsm]Geneva investment position repo!R150C21</stp>
        <tr r="U150" s="1"/>
      </tp>
      <tp t="s">
        <v>SG</v>
        <stp/>
        <stp>##V3_BDPV12</stp>
        <stp>BBG00TDCM8F7 FIGI</stp>
        <stp>CNTRY_OF_RISK</stp>
        <stp>[DIF_Risk_20200430.xlsm]Geneva investment position repo!R38C38</stp>
        <tr r="AL38" s="1"/>
      </tp>
      <tp t="s">
        <v>#N/A N/A</v>
        <stp/>
        <stp>##V3_BDPV12</stp>
        <stp>BBG00LJTWWM9 FIGI</stp>
        <stp>FITCH_EFF_DT</stp>
        <stp>[DIF_Risk_20200430.xlsm]Geneva investment position repo!R60C73</stp>
        <tr r="BU60" s="1"/>
      </tp>
      <tp t="s">
        <v>CN</v>
        <stp/>
        <stp>##V3_BDPV12</stp>
        <stp>BBG00S0GV953 FIGI</stp>
        <stp>CNTRY_OF_RISK</stp>
        <stp>[DIF_Risk_20200430.xlsm]Geneva investment position repo!R98C38</stp>
        <tr r="AL98" s="1"/>
      </tp>
      <tp t="s">
        <v>#N/A Field Not Applicable</v>
        <stp/>
        <stp>##V3_BDPV12</stp>
        <stp>BBG00T21B8F5 FIGI</stp>
        <stp>SECURITY_TYP2</stp>
        <stp>[DIF_Risk_20200430.xlsm]Geneva investment position repo!R133C21</stp>
        <tr r="U133" s="1"/>
      </tp>
      <tp t="s">
        <v>CN</v>
        <stp/>
        <stp>##V3_BDPV12</stp>
        <stp>BBG00PCCVDV7 FIGI</stp>
        <stp>CNTRY_OF_RISK</stp>
        <stp>[DIF_Risk_20200430.xlsm]Geneva investment position repo!R76C38</stp>
        <tr r="AL76" s="1"/>
      </tp>
      <tp t="s">
        <v>#N/A N/A</v>
        <stp/>
        <stp>##V3_BDPV12</stp>
        <stp>BBG00KDP8LC7 FIGI</stp>
        <stp>FITCH_EFF_DT</stp>
        <stp>[DIF_Risk_20200430.xlsm]Geneva investment position repo!R49C73</stp>
        <tr r="BU49" s="1"/>
      </tp>
      <tp t="s">
        <v>#N/A Field Not Applicable</v>
        <stp/>
        <stp>##V3_BDPV12</stp>
        <stp>BBG00T5WB757 FIGI</stp>
        <stp>SECURITY_TYP2</stp>
        <stp>[DIF_Risk_20200430.xlsm]Geneva investment position repo!R124C21</stp>
        <tr r="U124" s="1"/>
      </tp>
      <tp t="s">
        <v>#N/A Field Not Applicable</v>
        <stp/>
        <stp>##V3_BDPV12</stp>
        <stp>BBG00T5WB7F6 FIGI</stp>
        <stp>SECURITY_TYP2</stp>
        <stp>[DIF_Risk_20200430.xlsm]Geneva investment position repo!R123C21</stp>
        <tr r="U123" s="1"/>
      </tp>
      <tp t="s">
        <v>4/6/2020</v>
        <stp/>
        <stp>##V3_BDPV12</stp>
        <stp>BBG00T5WB757 FIGI</stp>
        <stp>MOODY_EFF_DT</stp>
        <stp>[DIF_Risk_20200430.xlsm]Geneva investment position repo!R124C72</stp>
        <tr r="BT124" s="1"/>
      </tp>
      <tp t="s">
        <v>#N/A Field Not Applicable</v>
        <stp/>
        <stp>##V3_BDPV12</stp>
        <stp>BBG00QRVV6Z8 FIGI</stp>
        <stp>CAPITAL_CONTINGENT_SECURITY</stp>
        <stp>[DIF_Risk_20200430.xlsm]Geneva investment position repo!R155C42</stp>
        <tr r="AP155" s="1"/>
      </tp>
      <tp t="s">
        <v>Banks</v>
        <stp/>
        <stp>##V3_BDPV12</stp>
        <stp>BBG00PMFP1T5 FIGI</stp>
        <stp>INDUSTRY_GROUP</stp>
        <stp>[DIF_Risk_20200430.xlsm]Geneva investment position repo!R52C40</stp>
        <tr r="AN52" s="1"/>
      </tp>
      <tp t="s">
        <v>Banks</v>
        <stp/>
        <stp>##V3_BDPV12</stp>
        <stp>BBG000DVPPK1 FIGI</stp>
        <stp>INDUSTRY_GROUP</stp>
        <stp>[DIF_Risk_20200430.xlsm]Geneva investment position repo!R10C40</stp>
        <tr r="AN10" s="1"/>
      </tp>
      <tp t="s">
        <v>4/9/2020</v>
        <stp/>
        <stp>##V3_BDPV12</stp>
        <stp>BBG00RPXWXD8 FIGI</stp>
        <stp>MOODY_EFF_DT</stp>
        <stp>[DIF_Risk_20200430.xlsm]Geneva investment position repo!R173C72</stp>
        <tr r="BT173" s="1"/>
      </tp>
      <tp t="s">
        <v>4/3/2019</v>
        <stp/>
        <stp>##V3_BDPV12</stp>
        <stp>BBG00LJTVJR4 FIGI</stp>
        <stp>MOODY_EFF_DT</stp>
        <stp>[DIF_Risk_20200430.xlsm]Geneva investment position repo!R154C72</stp>
        <tr r="BT154" s="1"/>
      </tp>
      <tp t="s">
        <v>ACTV</v>
        <stp/>
        <stp>##V3_BDPV12</stp>
        <stp>BBG00N9X3LW2 FIGI</stp>
        <stp>EXCH_MARKET_STATUS</stp>
        <stp>[DIF_Risk_20200430.xlsm]Geneva investment position repo!R180C44</stp>
        <tr r="AR180" s="1"/>
        <tr r="AR180" s="1"/>
      </tp>
      <tp t="s">
        <v>Real Estate</v>
        <stp/>
        <stp>##V3_BDPV12</stp>
        <stp>BBG00MTKPX96 FIGI</stp>
        <stp>INDUSTRY_GROUP</stp>
        <stp>[DIF_Risk_20200430.xlsm]Geneva investment position repo!R57C40</stp>
        <tr r="AN57" s="1"/>
      </tp>
      <tp t="s">
        <v>#N/A N/A</v>
        <stp/>
        <stp>##V3_BDPV12</stp>
        <stp>BBG00MTS9QX5 FIGI</stp>
        <stp>FITCH_EFF_DT</stp>
        <stp>[DIF_Risk_20200430.xlsm]Geneva investment position repo!R157C73</stp>
        <tr r="BU157" s="1"/>
      </tp>
      <tp t="s">
        <v>Mining</v>
        <stp/>
        <stp>##V3_BDPV12</stp>
        <stp>BBG00PQ3PWZ3 FIGI</stp>
        <stp>INDUSTRY_GROUP</stp>
        <stp>[DIF_Risk_20200430.xlsm]Geneva investment position repo!R84C40</stp>
        <tr r="AN84" s="1"/>
      </tp>
      <tp t="s">
        <v>BB-</v>
        <stp/>
        <stp>##V3_BDPV12</stp>
        <stp>BBG00KKDSP44 FIGI</stp>
        <stp>RTG_SP</stp>
        <stp>[DIF_Risk_20200430.xlsm]Geneva investment position repo!R56C31</stp>
        <tr r="AE56" s="1"/>
        <tr r="AE56" s="1"/>
      </tp>
      <tp t="s">
        <v>Energy-Alternate Sources</v>
        <stp/>
        <stp>##V3_BDPV12</stp>
        <stp>BBG00PSJPXV8 FIGI</stp>
        <stp>INDUSTRY_GROUP</stp>
        <stp>[DIF_Risk_20200430.xlsm]Geneva investment position repo!R82C40</stp>
        <tr r="AN82" s="1"/>
      </tp>
      <tp t="s">
        <v>#N/A Field Not Applicable</v>
        <stp/>
        <stp>##V3_BDPV12</stp>
        <stp>BBG00RCY5V08 FIGI</stp>
        <stp>CAPITAL_CONTINGENT_SECURITY</stp>
        <stp>[DIF_Risk_20200430.xlsm]Geneva investment position repo!R39C42</stp>
        <tr r="AP39" s="1"/>
      </tp>
      <tp t="s">
        <v>9/30/2168</v>
        <stp/>
        <stp>##V3_BDPV12</stp>
        <stp>BBG00DVX5HS1 FIGI</stp>
        <stp>CALC_MATURITY</stp>
        <stp>[DIF_Risk_20200430.xlsm]Geneva investment position repo!R44C55</stp>
        <tr r="BC44" s="1"/>
      </tp>
      <tp>
        <v>0.72597481607972614</v>
        <stp/>
        <stp>##V3_BDPV12</stp>
        <stp>XS1924328807 ISIN</stp>
        <stp>DUR_ADJ_MID</stp>
        <stp>[DIF_Risk_20200430.xlsm]Geneva investment position repo!R57C59</stp>
        <tr r="BG57" s="1"/>
      </tp>
      <tp>
        <v>12.80327744390404</v>
        <stp/>
        <stp>##V3_BDPV12</stp>
        <stp>XS2125118971 ISIN</stp>
        <stp>YLD_YTM_MID</stp>
        <stp>[DIF_Risk_20200430.xlsm]Geneva investment position repo!R85C61</stp>
        <tr r="BI85" s="1"/>
      </tp>
      <tp>
        <v>1.8959560884894988</v>
        <stp/>
        <stp>##V3_BDPV12</stp>
        <stp>XS2125118971 ISIN</stp>
        <stp>DUR_ADJ_MID</stp>
        <stp>[DIF_Risk_20200430.xlsm]Geneva investment position repo!R85C59</stp>
        <tr r="BG85" s="1"/>
      </tp>
      <tp>
        <v>5.4376704836393372</v>
        <stp/>
        <stp>##V3_BDPV12</stp>
        <stp>XS1924328807 ISIN</stp>
        <stp>YLD_YTM_MID</stp>
        <stp>[DIF_Risk_20200430.xlsm]Geneva investment position repo!R57C61</stp>
        <tr r="BI57" s="1"/>
      </tp>
      <tp t="s">
        <v>CN</v>
        <stp/>
        <stp>##V3_BDPV12</stp>
        <stp>BBG00K7D75S0 FIGI</stp>
        <stp>CNTRY_OF_RISK</stp>
        <stp>[DIF_Risk_20200430.xlsm]Geneva investment position repo!R75C38</stp>
        <tr r="AL75" s="1"/>
      </tp>
      <tp t="s">
        <v>2/21/2024</v>
        <stp/>
        <stp>##V3_BDPV12</stp>
        <stp>BBG00NB7HXS0 FIGI</stp>
        <stp>CALC_MATURITY</stp>
        <stp>[DIF_Risk_20200430.xlsm]Geneva investment position repo!R143C55</stp>
        <tr r="BC143" s="1"/>
      </tp>
      <tp t="s">
        <v>12/3/2020</v>
        <stp/>
        <stp>##V3_BDPV12</stp>
        <stp>BBG00MNWHQT8 FIGI</stp>
        <stp>CALC_MATURITY</stp>
        <stp>[DIF_Risk_20200430.xlsm]Geneva investment position repo!R135C55</stp>
        <tr r="BC135" s="1"/>
      </tp>
      <tp t="s">
        <v>#N/A N/A</v>
        <stp/>
        <stp>##V3_BDPV12</stp>
        <stp>BBG00DXBXRD0 FIGI</stp>
        <stp>MOODY_EFF_DT</stp>
        <stp>[DIF_Risk_20200430.xlsm]Geneva investment position repo!R93C72</stp>
        <tr r="BT93" s="1"/>
      </tp>
      <tp t="s">
        <v>#N/A Field Not Applicable</v>
        <stp/>
        <stp>##V3_BDPV12</stp>
        <stp>BBG00RPXTZN6 FIGI</stp>
        <stp>SECURITY_TYP2</stp>
        <stp>[DIF_Risk_20200430.xlsm]Geneva investment position repo!R90C21</stp>
        <tr r="U90" s="1"/>
      </tp>
      <tp t="s">
        <v>#N/A N/A</v>
        <stp/>
        <stp>##V3_BDPV12</stp>
        <stp>BBG00RDBJ3B2 FIGI</stp>
        <stp>FITCH_EFF_DT</stp>
        <stp>[DIF_Risk_20200430.xlsm]Geneva investment position repo!R34C73</stp>
        <tr r="BU34" s="1"/>
      </tp>
      <tp t="s">
        <v>2/27/2020</v>
        <stp/>
        <stp>##V3_BDPV12</stp>
        <stp>BBG00RTNXBH9 FIGI</stp>
        <stp>MOODY_EFF_DT</stp>
        <stp>[DIF_Risk_20200430.xlsm]Geneva investment position repo!R69C72</stp>
        <tr r="BT69" s="1"/>
      </tp>
      <tp t="s">
        <v>#N/A Field Not Applicable</v>
        <stp/>
        <stp>##V3_BDPV12</stp>
        <stp>BBG00GTY47H0 FIGI</stp>
        <stp>MOODY_EFF_DT</stp>
        <stp>[DIF_Risk_20200430.xlsm]Geneva investment position repo!R26C72</stp>
        <tr r="BT26" s="1"/>
      </tp>
      <tp t="s">
        <v>BBG00QJ3FR72</v>
        <stp/>
        <stp>##V3_BDPV12</stp>
        <stp>USV6703DAA29 ISIN</stp>
        <stp>ID_BB_GLOBAL</stp>
        <stp>[DIF_Risk_20200430.xlsm]Geneva investment position repo!R37C18</stp>
        <tr r="R37" s="1"/>
      </tp>
      <tp t="s">
        <v>#N/A Field Not Applicable</v>
        <stp/>
        <stp>##V3_BDPV12</stp>
        <stp>BBG000BJ35N5 FIGI</stp>
        <stp>CAPITAL_CONTINGENT_SECURITY</stp>
        <stp>[DIF_Risk_20200430.xlsm]Geneva investment position repo!R25C42</stp>
        <tr r="AP25" s="1"/>
      </tp>
      <tp t="s">
        <v>4/17/2019</v>
        <stp/>
        <stp>##V3_BDPV12</stp>
        <stp>BBG00NWVJPB7 FIGI</stp>
        <stp>MOODY_EFF_DT</stp>
        <stp>[DIF_Risk_20200430.xlsm]Geneva investment position repo!R141C72</stp>
        <tr r="BT141" s="1"/>
      </tp>
      <tp t="s">
        <v>4/6/2020</v>
        <stp/>
        <stp>##V3_BDPV12</stp>
        <stp>BBG00T5WB7F6 FIGI</stp>
        <stp>MOODY_EFF_DT</stp>
        <stp>[DIF_Risk_20200430.xlsm]Geneva investment position repo!R123C72</stp>
        <tr r="BT123" s="1"/>
      </tp>
      <tp t="s">
        <v>10/19/2015</v>
        <stp/>
        <stp>##V3_BDPV12</stp>
        <stp>BBG00B6SDBV4 FIGI</stp>
        <stp>FITCH_EFF_DT</stp>
        <stp>[DIF_Risk_20200430.xlsm]Geneva investment position repo!R115C73</stp>
        <tr r="BU115" s="1"/>
      </tp>
      <tp t="s">
        <v>4/1/2019</v>
        <stp/>
        <stp>##V3_BDPV12</stp>
        <stp>BBG00KMRGS75 FIGI</stp>
        <stp>FITCH_EFF_DT</stp>
        <stp>[DIF_Risk_20200430.xlsm]Geneva investment position repo!R152C73</stp>
        <tr r="BU152" s="1"/>
      </tp>
      <tp t="s">
        <v>5/4/2020</v>
        <stp/>
        <stp>##V3_BDPV12</stp>
        <stp>BBG00THTNZZ3 FIGI</stp>
        <stp>FITCH_EFF_DT</stp>
        <stp>[DIF_Risk_20200430.xlsm]Geneva investment position repo!R125C73</stp>
        <tr r="BU125" s="1"/>
      </tp>
      <tp t="s">
        <v>#N/A N/A</v>
        <stp/>
        <stp>##V3_BDPV12</stp>
        <stp>BBG00NDMRLH2 FIGI</stp>
        <stp>RTG_SP</stp>
        <stp>[DIF_Risk_20200430.xlsm]Geneva investment position repo!R58C31</stp>
        <tr r="AE58" s="1"/>
      </tp>
      <tp t="s">
        <v>Engineering&amp;Construction</v>
        <stp/>
        <stp>##V3_BDPV12</stp>
        <stp>BBG00LD1QR26 FIGI</stp>
        <stp>INDUSTRY_GROUP</stp>
        <stp>[DIF_Risk_20200430.xlsm]Geneva investment position repo!R12C40</stp>
        <tr r="AN12" s="1"/>
      </tp>
      <tp t="s">
        <v>Real Estate</v>
        <stp/>
        <stp>##V3_BDPV12</stp>
        <stp>BBG00PQ3QH67 FIGI</stp>
        <stp>INDUSTRY_GROUP</stp>
        <stp>[DIF_Risk_20200430.xlsm]Geneva investment position repo!R73C40</stp>
        <tr r="AN73" s="1"/>
      </tp>
      <tp t="s">
        <v>Engineering&amp;Construction</v>
        <stp/>
        <stp>##V3_BDPV12</stp>
        <stp>BBG00QT8QWY7 FIGI</stp>
        <stp>INDUSTRY_GROUP</stp>
        <stp>[DIF_Risk_20200430.xlsm]Geneva investment position repo!R46C40</stp>
        <tr r="AN46" s="1"/>
      </tp>
      <tp t="s">
        <v>Insurance</v>
        <stp/>
        <stp>##V3_BDPV12</stp>
        <stp>BBG00SY1QXH9 FIGI</stp>
        <stp>INDUSTRY_GROUP</stp>
        <stp>[DIF_Risk_20200430.xlsm]Geneva investment position repo!R31C40</stp>
        <tr r="AN31" s="1"/>
      </tp>
      <tp t="s">
        <v>#N/A Field Not Applicable</v>
        <stp/>
        <stp>##V3_BDPV12</stp>
        <stp>BBG000BDV566 FIGI</stp>
        <stp>CAPITAL_CONTINGENT_SECURITY</stp>
        <stp>[DIF_Risk_20200430.xlsm]Geneva investment position repo!R13C42</stp>
        <tr r="AP13" s="1"/>
      </tp>
      <tp>
        <v>5.5791839885072925</v>
        <stp/>
        <stp>##V3_BDPV12</stp>
        <stp>XS1618597535 ISIN</stp>
        <stp>YLD_YTM_MID</stp>
        <stp>[DIF_Risk_20200430.xlsm]Geneva investment position repo!R99C61</stp>
        <tr r="BI99" s="1"/>
      </tp>
      <tp>
        <v>3.07443457997134</v>
        <stp/>
        <stp>##V3_BDPV12</stp>
        <stp>XS2125715800 ISIN</stp>
        <stp>YLD_YTM_MID</stp>
        <stp>[DIF_Risk_20200430.xlsm]Geneva investment position repo!R51C61</stp>
        <tr r="BI51" s="1"/>
      </tp>
      <tp>
        <v>11.68301741250262</v>
        <stp/>
        <stp>##V3_BDPV12</stp>
        <stp>XS2125715800 ISIN</stp>
        <stp>DUR_ADJ_MID</stp>
        <stp>[DIF_Risk_20200430.xlsm]Geneva investment position repo!R51C59</stp>
        <tr r="BG51" s="1"/>
      </tp>
      <tp>
        <v>2.5130024811284386</v>
        <stp/>
        <stp>##V3_BDPV12</stp>
        <stp>XS1618597535 ISIN</stp>
        <stp>DUR_ADJ_MID</stp>
        <stp>[DIF_Risk_20200430.xlsm]Geneva investment position repo!R99C59</stp>
        <tr r="BG99" s="1"/>
      </tp>
      <tp t="s">
        <v>CN</v>
        <stp/>
        <stp>##V3_BDPV12</stp>
        <stp>BBG00N6M20C8 FIGI</stp>
        <stp>CNTRY_OF_RISK</stp>
        <stp>[DIF_Risk_20200430.xlsm]Geneva investment position repo!R79C38</stp>
        <tr r="AL79" s="1"/>
      </tp>
      <tp t="s">
        <v>10/15/2019</v>
        <stp/>
        <stp>##V3_BDPV12</stp>
        <stp>BBG00QN3F2R0 FIGI</stp>
        <stp>MOODY_EFF_DT</stp>
        <stp>[DIF_Risk_20200430.xlsm]Geneva investment position repo!R28C72</stp>
        <tr r="BT28" s="1"/>
      </tp>
      <tp t="s">
        <v>#N/A N/A</v>
        <stp/>
        <stp>##V3_BDPV12</stp>
        <stp>BBG00NV886P8 FIGI</stp>
        <stp>FITCH_EFF_DT</stp>
        <stp>[DIF_Risk_20200430.xlsm]Geneva investment position repo!R72C73</stp>
        <tr r="BU72" s="1"/>
      </tp>
      <tp t="s">
        <v>#N/A Field Not Applicable</v>
        <stp/>
        <stp>##V3_BDPV12</stp>
        <stp>BBG00LJTWWM9 FIGI</stp>
        <stp>SECURITY_TYP2</stp>
        <stp>[DIF_Risk_20200430.xlsm]Geneva investment position repo!R60C21</stp>
        <tr r="U60" s="1"/>
      </tp>
      <tp t="s">
        <v>#N/A N/A</v>
        <stp/>
        <stp>##V3_BDPV12</stp>
        <stp>BBG00S0GV953 FIGI</stp>
        <stp>FITCH_EFF_DT</stp>
        <stp>[DIF_Risk_20200430.xlsm]Geneva investment position repo!R98C73</stp>
        <tr r="BU98" s="1"/>
      </tp>
      <tp t="s">
        <v>2/24/2020</v>
        <stp/>
        <stp>##V3_BDPV12</stp>
        <stp>BBG00RYDYKF6 FIGI</stp>
        <stp>MOODY_EFF_DT</stp>
        <stp>[DIF_Risk_20200430.xlsm]Geneva investment position repo!R89C72</stp>
        <tr r="BT89" s="1"/>
      </tp>
      <tp t="s">
        <v>CN</v>
        <stp/>
        <stp>##V3_BDPV12</stp>
        <stp>BBG00RYGHZS1 FIGI</stp>
        <stp>CNTRY_OF_RISK</stp>
        <stp>[DIF_Risk_20200430.xlsm]Geneva investment position repo!R51C38</stp>
        <tr r="AL51" s="1"/>
      </tp>
      <tp t="s">
        <v>7/25/2019</v>
        <stp/>
        <stp>##V3_BDPV12</stp>
        <stp>BBG00PSJPXV8 FIGI</stp>
        <stp>FITCH_EFF_DT</stp>
        <stp>[DIF_Risk_20200430.xlsm]Geneva investment position repo!R82C73</stp>
        <tr r="BU82" s="1"/>
      </tp>
      <tp t="s">
        <v>#N/A N/A</v>
        <stp/>
        <stp>##V3_BDPV12</stp>
        <stp>BBG00DVX5HS1 FIGI</stp>
        <stp>FITCH_EFF_DT</stp>
        <stp>[DIF_Risk_20200430.xlsm]Geneva investment position repo!R44C73</stp>
        <tr r="BU44" s="1"/>
      </tp>
      <tp t="s">
        <v>3/1/2022</v>
        <stp/>
        <stp>##V3_BDPV12</stp>
        <stp>BBG00NG9J699 FIGI</stp>
        <stp>CALC_MATURITY</stp>
        <stp>[DIF_Risk_20200430.xlsm]Geneva investment position repo!R139C55</stp>
        <tr r="BC139" s="1"/>
      </tp>
      <tp t="s">
        <v>#N/A Field Not Applicable</v>
        <stp/>
        <stp>##V3_BDPV12</stp>
        <stp>BBG00QT8QWY7 FIGI</stp>
        <stp>CAPITAL_CONTINGENT_SECURITY</stp>
        <stp>[DIF_Risk_20200430.xlsm]Geneva investment position repo!R46C42</stp>
        <tr r="AP46" s="1"/>
      </tp>
      <tp t="s">
        <v>#N/A N/A</v>
        <stp/>
        <stp>##V3_BDPV12</stp>
        <stp>BBG00D2WYB33 FIGI</stp>
        <stp>FITCH_EFF_DT</stp>
        <stp>[DIF_Risk_20200430.xlsm]Geneva investment position repo!R126C73</stp>
        <tr r="BU126" s="1"/>
      </tp>
      <tp t="s">
        <v>#N/A Field Not Applicable</v>
        <stp/>
        <stp>##V3_BDPV12</stp>
        <stp>BBG00QV37ZP9 FIGI</stp>
        <stp>SP_EFF_DT</stp>
        <stp>[DIF_Risk_20200430.xlsm]Geneva investment position repo!R7C71</stp>
        <tr r="BS7" s="1"/>
      </tp>
      <tp t="s">
        <v>7/16/2018</v>
        <stp/>
        <stp>##V3_BDPV12</stp>
        <stp>BBG00HPPFXF4 FIGI</stp>
        <stp>FITCH_EFF_DT</stp>
        <stp>[DIF_Risk_20200430.xlsm]Geneva investment position repo!R127C73</stp>
        <tr r="BU127" s="1"/>
      </tp>
      <tp t="s">
        <v>ACTV</v>
        <stp/>
        <stp>##V3_BDPV12</stp>
        <stp>BBG00NQDZNG6 FIGI</stp>
        <stp>EXCH_MARKET_STATUS</stp>
        <stp>[DIF_Risk_20200430.xlsm]Geneva investment position repo!R178C44</stp>
        <tr r="AR178" s="1"/>
        <tr r="AR178" s="1"/>
      </tp>
      <tp t="s">
        <v>7/10/2019</v>
        <stp/>
        <stp>##V3_BDPV12</stp>
        <stp>BBG00PNSNLZ7 FIGI</stp>
        <stp>FITCH_EFF_DT</stp>
        <stp>[DIF_Risk_20200430.xlsm]Geneva investment position repo!R161C73</stp>
        <tr r="BU161" s="1"/>
      </tp>
      <tp t="s">
        <v>BB-</v>
        <stp/>
        <stp>##V3_BDPV12</stp>
        <stp>BBG00QT8QWY7 FIGI</stp>
        <stp>RTG_SP</stp>
        <stp>[DIF_Risk_20200430.xlsm]Geneva investment position repo!R46C31</stp>
        <tr r="AE46" s="1"/>
        <tr r="AE46" s="1"/>
      </tp>
      <tp t="s">
        <v>7/19/2019</v>
        <stp/>
        <stp>##V3_BDPV12</stp>
        <stp>BBG00F2W1SP3 FIGI</stp>
        <stp>FITCH_EFF_DT</stp>
        <stp>[DIF_Risk_20200430.xlsm]Geneva investment position repo!R105C73</stp>
        <tr r="BU105" s="1"/>
      </tp>
      <tp t="s">
        <v>#N/A Field Not Applicable</v>
        <stp/>
        <stp>##V3_BDPV12</stp>
        <stp>BBG000QWR4M8 FIGI</stp>
        <stp>BOND_CLASSIFICATION_NAME</stp>
        <stp>[DIF_Risk_20200430.xlsm]Geneva investment position repo!R8C53</stp>
        <tr r="BA8" s="1"/>
      </tp>
      <tp t="s">
        <v>ACTV</v>
        <stp/>
        <stp>##V3_BDPV12</stp>
        <stp>BBG00B6SDBV4 FIGI</stp>
        <stp>EXCH_MARKET_STATUS</stp>
        <stp>[DIF_Risk_20200430.xlsm]Geneva investment position repo!R115C44</stp>
        <tr r="AR115" s="1"/>
        <tr r="AR115" s="1"/>
      </tp>
      <tp t="s">
        <v>ACTV</v>
        <stp/>
        <stp>##V3_BDPV12</stp>
        <stp>BBG00R9LVRX4 FIGI</stp>
        <stp>EXCH_MARKET_STATUS</stp>
        <stp>[DIF_Risk_20200430.xlsm]Geneva investment position repo!R172C44</stp>
        <tr r="AR172" s="1"/>
        <tr r="AR172" s="1"/>
      </tp>
      <tp t="s">
        <v>A</v>
        <stp/>
        <stp>##V3_BDPV12</stp>
        <stp>BBG00SY1QXH9 FIGI</stp>
        <stp>RTG_SP</stp>
        <stp>[DIF_Risk_20200430.xlsm]Geneva investment position repo!R31C31</stp>
        <tr r="AE31" s="1"/>
        <tr r="AE31" s="1"/>
      </tp>
      <tp t="s">
        <v>Consumer Discretionary</v>
        <stp/>
        <stp>##V3_BDPV12</stp>
        <stp>BBG00QV37ZP9 FIGI</stp>
        <stp>GICS_SECTOR_NAME</stp>
        <stp>[DIF_Risk_20200430.xlsm]Geneva investment position repo!R7C51</stp>
        <tr r="AY7" s="1"/>
      </tp>
      <tp t="s">
        <v>Banks</v>
        <stp/>
        <stp>##V3_BDPV12</stp>
        <stp>BBG00NDMRLH2 FIGI</stp>
        <stp>INDUSTRY_GROUP</stp>
        <stp>[DIF_Risk_20200430.xlsm]Geneva investment position repo!R58C40</stp>
        <tr r="AN58" s="1"/>
      </tp>
      <tp t="s">
        <v>#N/A N/A</v>
        <stp/>
        <stp>##V3_BDPV12</stp>
        <stp>BBG00PQ3QH67 FIGI</stp>
        <stp>RTG_SP</stp>
        <stp>[DIF_Risk_20200430.xlsm]Geneva investment position repo!R73C31</stp>
        <tr r="AE73" s="1"/>
      </tp>
      <tp>
        <v>8.7944352821478269</v>
        <stp/>
        <stp>##V3_BDPV12</stp>
        <stp>XS2159975700 ISIN</stp>
        <stp>DUR_ADJ_MID</stp>
        <stp>[DIF_Risk_20200430.xlsm]Geneva investment position repo!R94C59</stp>
        <tr r="BG94" s="1"/>
      </tp>
      <tp>
        <v>5.7121859624237761</v>
        <stp/>
        <stp>##V3_BDPV12</stp>
        <stp>XS1959497782 ISIN</stp>
        <stp>YLD_YTM_MID</stp>
        <stp>[DIF_Risk_20200430.xlsm]Geneva investment position repo!R29C61</stp>
        <tr r="BI29" s="1"/>
      </tp>
      <tp>
        <v>2.8106357587727393</v>
        <stp/>
        <stp>##V3_BDPV12</stp>
        <stp>XS2159975700 ISIN</stp>
        <stp>YLD_YTM_MID</stp>
        <stp>[DIF_Risk_20200430.xlsm]Geneva investment position repo!R94C61</stp>
        <tr r="BI94" s="1"/>
      </tp>
      <tp>
        <v>1.636849726061816</v>
        <stp/>
        <stp>##V3_BDPV12</stp>
        <stp>XS1959497782 ISIN</stp>
        <stp>DUR_ADJ_MID</stp>
        <stp>[DIF_Risk_20200430.xlsm]Geneva investment position repo!R29C59</stp>
        <tr r="BG29" s="1"/>
      </tp>
      <tp t="s">
        <v>BBG0016XR1Q8</v>
        <stp/>
        <stp>##V3_BDPV12</stp>
        <stp>1299 HK Equity</stp>
        <stp>ID_BB_GLOBAL</stp>
        <stp>[DIF_Risk_20200430.xlsm]Geneva investment position repo!R6C18</stp>
        <tr r="R6" s="1"/>
      </tp>
      <tp t="s">
        <v>10/25/2022</v>
        <stp/>
        <stp>##V3_BDPV12</stp>
        <stp>BBG00NWVJPB7 FIGI</stp>
        <stp>CALC_MATURITY</stp>
        <stp>[DIF_Risk_20200430.xlsm]Geneva investment position repo!R141C55</stp>
        <tr r="BC141" s="1"/>
      </tp>
      <tp t="s">
        <v>#N/A Field Not Applicable</v>
        <stp/>
        <stp>##V3_BDPV12</stp>
        <stp>BBG00KDP8LC7 FIGI</stp>
        <stp>CAPITAL_CONTINGENT_SECURITY</stp>
        <stp>[DIF_Risk_20200430.xlsm]Geneva investment position repo!R49C42</stp>
        <tr r="AP49" s="1"/>
      </tp>
      <tp t="s">
        <v>2/21/2022</v>
        <stp/>
        <stp>##V3_BDPV12</stp>
        <stp>BBG00NB7K829 FIGI</stp>
        <stp>CALC_MATURITY</stp>
        <stp>[DIF_Risk_20200430.xlsm]Geneva investment position repo!R162C55</stp>
        <tr r="BC162" s="1"/>
      </tp>
      <tp t="s">
        <v>#N/A N/A</v>
        <stp/>
        <stp>##V3_BDPV12</stp>
        <stp>BBG00RPXTZN6 FIGI</stp>
        <stp>MOODY_EFF_DT</stp>
        <stp>[DIF_Risk_20200430.xlsm]Geneva investment position repo!R90C72</stp>
        <tr r="BT90" s="1"/>
      </tp>
      <tp t="s">
        <v>#N/A Field Not Applicable</v>
        <stp/>
        <stp>##V3_BDPV12</stp>
        <stp>BBG00PQ3PWZ3 FIGI</stp>
        <stp>CAPITAL_CONTINGENT_SECURITY</stp>
        <stp>[DIF_Risk_20200430.xlsm]Geneva investment position repo!R84C42</stp>
        <tr r="AP84" s="1"/>
      </tp>
      <tp t="s">
        <v>SG</v>
        <stp/>
        <stp>##V3_BDPV12</stp>
        <stp>BBG00RTNXBH9 FIGI</stp>
        <stp>CNTRY_OF_RISK</stp>
        <stp>[DIF_Risk_20200430.xlsm]Geneva investment position repo!R69C38</stp>
        <tr r="AL69" s="1"/>
      </tp>
      <tp t="s">
        <v>BBG00PSJPXV8</v>
        <stp/>
        <stp>##V3_BDPV12</stp>
        <stp>USV3855GAB69 ISIN</stp>
        <stp>ID_BB_GLOBAL</stp>
        <stp>[DIF_Risk_20200430.xlsm]Geneva investment position repo!R82C18</stp>
        <tr r="R82" s="1"/>
      </tp>
      <tp t="s">
        <v>CN</v>
        <stp/>
        <stp>##V3_BDPV12</stp>
        <stp>BBG00M5BYXF5 FIGI</stp>
        <stp>CNTRY_OF_RISK</stp>
        <stp>[DIF_Risk_20200430.xlsm]Geneva investment position repo!R32C38</stp>
        <tr r="AL32" s="1"/>
      </tp>
      <tp t="s">
        <v>#N/A N/A</v>
        <stp/>
        <stp>##V3_BDPV12</stp>
        <stp>BBG00S6SWBM6 FIGI</stp>
        <stp>FITCH_EFF_DT</stp>
        <stp>[DIF_Risk_20200430.xlsm]Geneva investment position repo!R158C73</stp>
        <tr r="BU158" s="1"/>
      </tp>
      <tp t="s">
        <v>#N/A N/A</v>
        <stp/>
        <stp>##V3_BDPV12</stp>
        <stp>BBG00PMFP1T5 FIGI</stp>
        <stp>RTG_SP</stp>
        <stp>[DIF_Risk_20200430.xlsm]Geneva investment position repo!R52C31</stp>
        <tr r="AE52" s="1"/>
      </tp>
      <tp t="s">
        <v>4/23/2020</v>
        <stp/>
        <stp>##V3_BDPV12</stp>
        <stp>BBG00TFTG847 FIGI</stp>
        <stp>MOODY_EFF_DT</stp>
        <stp>[DIF_Risk_20200430.xlsm]Geneva investment position repo!R117C72</stp>
        <tr r="BT117" s="1"/>
      </tp>
      <tp t="s">
        <v>BBG00T2MWMJ1</v>
        <stp/>
        <stp>##V3_BDPV12</stp>
        <stp>US74435KAA34 ISIN</stp>
        <stp>ID_BB_GLOBAL</stp>
        <stp>[DIF_Risk_20200430.xlsm]Geneva investment position repo!R128C18</stp>
        <tr r="R128" s="1"/>
      </tp>
      <tp t="s">
        <v>ACTV</v>
        <stp/>
        <stp>##V3_BDPV12</stp>
        <stp>BBG00QDN9PZ4 FIGI</stp>
        <stp>EXCH_MARKET_STATUS</stp>
        <stp>[DIF_Risk_20200430.xlsm]Geneva investment position repo!R138C44</stp>
        <tr r="AR138" s="1"/>
        <tr r="AR138" s="1"/>
      </tp>
      <tp t="s">
        <v>11/4/2019</v>
        <stp/>
        <stp>##V3_BDPV12</stp>
        <stp>BBG00QRVV8P5 FIGI</stp>
        <stp>MOODY_EFF_DT</stp>
        <stp>[DIF_Risk_20200430.xlsm]Geneva investment position repo!R131C72</stp>
        <tr r="BT131" s="1"/>
      </tp>
      <tp t="s">
        <v>#N/A N/A</v>
        <stp/>
        <stp>##V3_BDPV12</stp>
        <stp>BBG00KMQKL04 FIGI</stp>
        <stp>FITCH_EFF_DT</stp>
        <stp>[DIF_Risk_20200430.xlsm]Geneva investment position repo!R169C73</stp>
        <tr r="BU169" s="1"/>
      </tp>
      <tp t="s">
        <v>9/10/2019</v>
        <stp/>
        <stp>##V3_BDPV12</stp>
        <stp>BBG00MNS44N6 FIGI</stp>
        <stp>FITCH_EFF_DT</stp>
        <stp>[DIF_Risk_20200430.xlsm]Geneva investment position repo!R129C73</stp>
        <tr r="BU129" s="1"/>
      </tp>
      <tp t="s">
        <v>#N/A N/A</v>
        <stp/>
        <stp>##V3_BDPV12</stp>
        <stp>BBG00PQ3PWZ3 FIGI</stp>
        <stp>RTG_SP</stp>
        <stp>[DIF_Risk_20200430.xlsm]Geneva investment position repo!R84C31</stp>
        <tr r="AE84" s="1"/>
      </tp>
      <tp t="s">
        <v>Real Estate</v>
        <stp/>
        <stp>##V3_BDPV12</stp>
        <stp>BBG00KKDSP44 FIGI</stp>
        <stp>INDUSTRY_GROUP</stp>
        <stp>[DIF_Risk_20200430.xlsm]Geneva investment position repo!R56C40</stp>
        <tr r="AN56" s="1"/>
      </tp>
      <tp t="s">
        <v>#N/A N/A</v>
        <stp/>
        <stp>##V3_BDPV12</stp>
        <stp>BBG00PSJPXV8 FIGI</stp>
        <stp>RTG_SP</stp>
        <stp>[DIF_Risk_20200430.xlsm]Geneva investment position repo!R82C31</stp>
        <tr r="AE82" s="1"/>
      </tp>
      <tp t="s">
        <v>#N/A N/A</v>
        <stp/>
        <stp>##V3_BDPV12</stp>
        <stp>BBG00MTKPX96 FIGI</stp>
        <stp>RTG_SP</stp>
        <stp>[DIF_Risk_20200430.xlsm]Geneva investment position repo!R57C31</stp>
        <tr r="AE57" s="1"/>
      </tp>
      <tp>
        <v>3.384687423756207</v>
        <stp/>
        <stp>##V3_BDPV12</stp>
        <stp>XS1897158892 ISIN</stp>
        <stp>DUR_ADJ_MID</stp>
        <stp>[DIF_Risk_20200430.xlsm]Geneva investment position repo!R58C59</stp>
        <tr r="BG58" s="1"/>
      </tp>
      <tp t="s">
        <v>4/23/2023</v>
        <stp/>
        <stp>##V3_BDPV12</stp>
        <stp>BBG00KMQKL04 FIGI</stp>
        <stp>CALC_MATURITY</stp>
        <stp>[DIF_Risk_20200430.xlsm]Geneva investment position repo!R169C55</stp>
        <tr r="BC169" s="1"/>
      </tp>
      <tp>
        <v>3.2873021408431518</v>
        <stp/>
        <stp>##V3_BDPV12</stp>
        <stp>XS1897158892 ISIN</stp>
        <stp>YLD_YTM_MID</stp>
        <stp>[DIF_Risk_20200430.xlsm]Geneva investment position repo!R58C61</stp>
        <tr r="BI58" s="1"/>
      </tp>
      <tp>
        <v>2.8130271860774836</v>
        <stp/>
        <stp>##V3_BDPV12</stp>
        <stp>XS1819966687 ISIN</stp>
        <stp>DUR_ADJ_MID</stp>
        <stp>[DIF_Risk_20200430.xlsm]Geneva investment position repo!R83C59</stp>
        <tr r="BG83" s="1"/>
      </tp>
      <tp>
        <v>2.1990275118419782</v>
        <stp/>
        <stp>##V3_BDPV12</stp>
        <stp>XS1819966687 ISIN</stp>
        <stp>YLD_YTM_MID</stp>
        <stp>[DIF_Risk_20200430.xlsm]Geneva investment position repo!R83C61</stp>
        <tr r="BI83" s="1"/>
      </tp>
      <tp t="s">
        <v>BBG00QV37ZP9</v>
        <stp/>
        <stp>##V3_BDPV12</stp>
        <stp>9988 HK Equity</stp>
        <stp>ID_BB_GLOBAL</stp>
        <stp>[DIF_Risk_20200430.xlsm]Geneva investment position repo!R7C18</stp>
        <tr r="R7" s="1"/>
      </tp>
      <tp t="s">
        <v>7/5/2024</v>
        <stp/>
        <stp>##V3_BDPV12</stp>
        <stp>BBG00PKGT0Y7 FIGI</stp>
        <stp>CALC_MATURITY</stp>
        <stp>[DIF_Risk_20200430.xlsm]Geneva investment position repo!R166C55</stp>
        <tr r="BC166" s="1"/>
      </tp>
      <tp t="s">
        <v>MY</v>
        <stp/>
        <stp>##V3_BDPV12</stp>
        <stp>BBG00T5WB7F6 FIGI</stp>
        <stp>CNTRY_OF_RISK</stp>
        <stp>[DIF_Risk_20200430.xlsm]Geneva investment position repo!R123C38</stp>
        <tr r="AL123" s="1"/>
      </tp>
      <tp t="s">
        <v>MY</v>
        <stp/>
        <stp>##V3_BDPV12</stp>
        <stp>BBG00T5WB757 FIGI</stp>
        <stp>CNTRY_OF_RISK</stp>
        <stp>[DIF_Risk_20200430.xlsm]Geneva investment position repo!R124C38</stp>
        <tr r="AL124" s="1"/>
      </tp>
      <tp t="s">
        <v>4/16/2020</v>
        <stp/>
        <stp>##V3_BDPV12</stp>
        <stp>BBG00T6LYC72 FIGI</stp>
        <stp>MOODY_EFF_DT</stp>
        <stp>[DIF_Risk_20200430.xlsm]Geneva investment position repo!R95C72</stp>
        <tr r="BT95" s="1"/>
      </tp>
      <tp t="s">
        <v>Common Stock</v>
        <stp/>
        <stp>##V3_BDPV12</stp>
        <stp>BBG000BGW354 FIGI</stp>
        <stp>SECURITY_TYP2</stp>
        <stp>[DIF_Risk_20200430.xlsm]Geneva investment position repo!R17C21</stp>
        <tr r="U17" s="1"/>
      </tp>
      <tp t="s">
        <v>5/18/2018</v>
        <stp/>
        <stp>##V3_BDPV12</stp>
        <stp>BBG00KVGG4W4 FIGI</stp>
        <stp>MOODY_EFF_DT</stp>
        <stp>[DIF_Risk_20200430.xlsm]Geneva investment position repo!R83C72</stp>
        <tr r="BT83" s="1"/>
      </tp>
      <tp t="s">
        <v>#N/A Field Not Applicable</v>
        <stp/>
        <stp>##V3_BDPV12</stp>
        <stp>BBG00RB35JZ6 FIGI</stp>
        <stp>CAPITAL_CONTINGENT_SECURITY</stp>
        <stp>[DIF_Risk_20200430.xlsm]Geneva investment position repo!R48C42</stp>
        <tr r="AP48" s="1"/>
      </tp>
      <tp t="s">
        <v>QA</v>
        <stp/>
        <stp>##V3_BDPV12</stp>
        <stp>BBG00T21B8F5 FIGI</stp>
        <stp>CNTRY_OF_RISK</stp>
        <stp>[DIF_Risk_20200430.xlsm]Geneva investment position repo!R133C38</stp>
        <tr r="AL133" s="1"/>
      </tp>
      <tp t="s">
        <v>#N/A Field Not Applicable</v>
        <stp/>
        <stp>##V3_BDPV12</stp>
        <stp>BBG00PMFP1T5 FIGI</stp>
        <stp>SECURITY_TYP2</stp>
        <stp>[DIF_Risk_20200430.xlsm]Geneva investment position repo!R52C21</stp>
        <tr r="U52" s="1"/>
      </tp>
      <tp t="s">
        <v>#N/A Field Not Applicable</v>
        <stp/>
        <stp>##V3_BDPV12</stp>
        <stp>BBG00LLFHRL5 FIGI</stp>
        <stp>SECURITY_TYP2</stp>
        <stp>[DIF_Risk_20200430.xlsm]Geneva investment position repo!R61C21</stp>
        <tr r="U61" s="1"/>
      </tp>
      <tp t="s">
        <v>#N/A Field Not Applicable</v>
        <stp/>
        <stp>##V3_BDPV12</stp>
        <stp>BBG00KVGG4W4 FIGI</stp>
        <stp>SECURITY_TYP2</stp>
        <stp>[DIF_Risk_20200430.xlsm]Geneva investment position repo!R83C21</stp>
        <tr r="U83" s="1"/>
      </tp>
      <tp t="s">
        <v>#N/A N/A</v>
        <stp/>
        <stp>##V3_BDPV12</stp>
        <stp>BBG00R9SNB81 FIGI</stp>
        <stp>MOODY_EFF_DT</stp>
        <stp>[DIF_Risk_20200430.xlsm]Geneva investment position repo!R64C72</stp>
        <tr r="BT64" s="1"/>
      </tp>
      <tp t="s">
        <v>#N/A Field Not Applicable</v>
        <stp/>
        <stp>##V3_BDPV12</stp>
        <stp>BBG00LLV9WW6 FIGI</stp>
        <stp>FITCH_EFF_DT</stp>
        <stp>[DIF_Risk_20200430.xlsm]Geneva investment position repo!R21C73</stp>
        <tr r="BU21" s="1"/>
      </tp>
      <tp t="s">
        <v>CN</v>
        <stp/>
        <stp>##V3_BDPV12</stp>
        <stp>BBG00NB0B2N4 FIGI</stp>
        <stp>CNTRY_OF_RISK</stp>
        <stp>[DIF_Risk_20200430.xlsm]Geneva investment position repo!R150C38</stp>
        <tr r="AL150" s="1"/>
      </tp>
      <tp t="s">
        <v>4/22/2019</v>
        <stp/>
        <stp>##V3_BDPV12</stp>
        <stp>BBG00JVKTCJ1 FIGI</stp>
        <stp>FITCH_EFF_DT</stp>
        <stp>[DIF_Risk_20200430.xlsm]Geneva investment position repo!R110C73</stp>
        <tr r="BU110" s="1"/>
      </tp>
      <tp t="s">
        <v>#N/A Field Not Applicable</v>
        <stp/>
        <stp>##V3_BDPV12</stp>
        <stp>BBG00RPXWXD8 FIGI</stp>
        <stp>CAPITAL_CONTINGENT_SECURITY</stp>
        <stp>[DIF_Risk_20200430.xlsm]Geneva investment position repo!R173C42</stp>
        <tr r="AP173" s="1"/>
      </tp>
      <tp t="s">
        <v>#N/A Field Not Applicable</v>
        <stp/>
        <stp>##V3_BDPV12</stp>
        <stp>BBG00PNSNLZ7 FIGI</stp>
        <stp>CAPITAL_CONTINGENT_SECURITY</stp>
        <stp>[DIF_Risk_20200430.xlsm]Geneva investment position repo!R161C42</stp>
        <tr r="AP161" s="1"/>
      </tp>
      <tp t="s">
        <v>4/17/2020</v>
        <stp/>
        <stp>##V3_BDPV12</stp>
        <stp>BBG00RHHSFZ2 FIGI</stp>
        <stp>FITCH_EFF_DT</stp>
        <stp>[DIF_Risk_20200430.xlsm]Geneva investment position repo!R122C73</stp>
        <tr r="BU122" s="1"/>
      </tp>
      <tp t="s">
        <v>#N/A Field Not Applicable</v>
        <stp/>
        <stp>##V3_BDPV12</stp>
        <stp>BBG00RPXTTD1 FIGI</stp>
        <stp>CAPITAL_CONTINGENT_SECURITY</stp>
        <stp>[DIF_Risk_20200430.xlsm]Geneva investment position repo!R137C42</stp>
        <tr r="AP137" s="1"/>
      </tp>
      <tp t="s">
        <v>Transportation</v>
        <stp/>
        <stp>##V3_BDPV12</stp>
        <stp>BBG000MKLJD1 FIGI</stp>
        <stp>INDUSTRY_GROUP</stp>
        <stp>[DIF_Risk_20200430.xlsm]Geneva investment position repo!R22C40</stp>
        <tr r="AN22" s="1"/>
      </tp>
      <tp t="s">
        <v>#N/A Field Not Applicable</v>
        <stp/>
        <stp>##V3_BDPV12</stp>
        <stp>BBG00HDTX5P9 FIGI</stp>
        <stp>CAPITAL_CONTINGENT_SECURITY</stp>
        <stp>[DIF_Risk_20200430.xlsm]Geneva investment position repo!R111C42</stp>
        <tr r="AP111" s="1"/>
      </tp>
      <tp t="s">
        <v>#N/A Field Not Applicable</v>
        <stp/>
        <stp>##V3_BDPV12</stp>
        <stp>BBG00LNF6KZ5 FIGI</stp>
        <stp>CAPITAL_CONTINGENT_SECURITY</stp>
        <stp>[DIF_Risk_20200430.xlsm]Geneva investment position repo!R144C42</stp>
        <tr r="AP144" s="1"/>
      </tp>
      <tp t="s">
        <v>Oil&amp;Gas Services</v>
        <stp/>
        <stp>##V3_BDPV12</stp>
        <stp>BBG00PV1L0V9 FIGI</stp>
        <stp>INDUSTRY_GROUP</stp>
        <stp>[DIF_Risk_20200430.xlsm]Geneva investment position repo!R86C40</stp>
        <tr r="AN86" s="1"/>
      </tp>
      <tp t="s">
        <v>4/8/2020</v>
        <stp/>
        <stp>##V3_BDPV12</stp>
        <stp>BBG00T2MWMJ1 FIGI</stp>
        <stp>MOODY_EFF_DT</stp>
        <stp>[DIF_Risk_20200430.xlsm]Geneva investment position repo!R128C72</stp>
        <tr r="BT128" s="1"/>
      </tp>
      <tp t="s">
        <v>ACTV</v>
        <stp/>
        <stp>##V3_BDPV12</stp>
        <stp>BBG00NWVJPB7 FIGI</stp>
        <stp>EXCH_MARKET_STATUS</stp>
        <stp>[DIF_Risk_20200430.xlsm]Geneva investment position repo!R141C44</stp>
        <tr r="AR141" s="1"/>
        <tr r="AR141" s="1"/>
      </tp>
      <tp t="s">
        <v>#N/A Field Not Applicable</v>
        <stp/>
        <stp>##V3_BDPV12</stp>
        <stp>BBG00NG9L0S8 FIGI</stp>
        <stp>CAPITAL_CONTINGENT_SECURITY</stp>
        <stp>[DIF_Risk_20200430.xlsm]Geneva investment position repo!R134C42</stp>
        <tr r="AP134" s="1"/>
      </tp>
      <tp t="s">
        <v>#N/A N/A</v>
        <stp/>
        <stp>##V3_BDPV12</stp>
        <stp>BBG00QDN9PZ4 FIGI</stp>
        <stp>FITCH_EFF_DT</stp>
        <stp>[DIF_Risk_20200430.xlsm]Geneva investment position repo!R138C73</stp>
        <tr r="BU138" s="1"/>
      </tp>
      <tp t="s">
        <v>ACTV</v>
        <stp/>
        <stp>##V3_BDPV12</stp>
        <stp>BBG00PDYXN26 FIGI</stp>
        <stp>EXCH_MARKET_STATUS</stp>
        <stp>[DIF_Risk_20200430.xlsm]Geneva investment position repo!R156C44</stp>
        <tr r="AR156" s="1"/>
        <tr r="AR156" s="1"/>
      </tp>
      <tp t="s">
        <v>8/8/2168</v>
        <stp/>
        <stp>##V3_BDPV12</stp>
        <stp>BBG00N6M20C8 FIGI</stp>
        <stp>CALC_MATURITY</stp>
        <stp>[DIF_Risk_20200430.xlsm]Geneva investment position repo!R79C55</stp>
        <tr r="BC79" s="1"/>
      </tp>
      <tp t="s">
        <v>2/25/2030</v>
        <stp/>
        <stp>##V3_BDPV12</stp>
        <stp>BBG00RPXTTD1 FIGI</stp>
        <stp>CALC_MATURITY</stp>
        <stp>[DIF_Risk_20200430.xlsm]Geneva investment position repo!R137C55</stp>
        <tr r="BC137" s="1"/>
      </tp>
      <tp t="s">
        <v>#N/A Field Not Applicable</v>
        <stp/>
        <stp>##V3_BDPV12</stp>
        <stp>BBG00RH7GJ34 FIGI</stp>
        <stp>CAPITAL_CONTINGENT_SECURITY</stp>
        <stp>[DIF_Risk_20200430.xlsm]Geneva investment position repo!R67C42</stp>
        <tr r="AP67" s="1"/>
      </tp>
      <tp t="s">
        <v>1/30/2025</v>
        <stp/>
        <stp>##V3_BDPV12</stp>
        <stp>BBG00JVKTCJ1 FIGI</stp>
        <stp>CALC_MATURITY</stp>
        <stp>[DIF_Risk_20200430.xlsm]Geneva investment position repo!R110C55</stp>
        <tr r="BC110" s="1"/>
      </tp>
      <tp t="s">
        <v>#N/A Field Not Applicable</v>
        <stp/>
        <stp>##V3_BDPV12</stp>
        <stp>BBG00PQ3QH67 FIGI</stp>
        <stp>CAPITAL_CONTINGENT_SECURITY</stp>
        <stp>[DIF_Risk_20200430.xlsm]Geneva investment position repo!R73C42</stp>
        <tr r="AP73" s="1"/>
      </tp>
      <tp t="s">
        <v>1/10/2022</v>
        <stp/>
        <stp>##V3_BDPV12</stp>
        <stp>BBG00PKGTF65 FIGI</stp>
        <stp>CALC_MATURITY</stp>
        <stp>[DIF_Risk_20200430.xlsm]Geneva investment position repo!R164C55</stp>
        <tr r="BC164" s="1"/>
      </tp>
      <tp t="s">
        <v>5/16/2017</v>
        <stp/>
        <stp>##V3_BDPV12</stp>
        <stp>BBG00GQ752P3 FIGI</stp>
        <stp>MOODY_EFF_DT</stp>
        <stp>[DIF_Risk_20200430.xlsm]Geneva investment position repo!R99C72</stp>
        <tr r="BT99" s="1"/>
      </tp>
      <tp t="s">
        <v>3/4/2021</v>
        <stp/>
        <stp>##V3_BDPV12</stp>
        <stp>BBG00S0GV953 FIGI</stp>
        <stp>CALC_MATURITY</stp>
        <stp>[DIF_Risk_20200430.xlsm]Geneva investment position repo!R98C55</stp>
        <tr r="BC98" s="1"/>
      </tp>
      <tp t="s">
        <v>6/14/2022</v>
        <stp/>
        <stp>##V3_BDPV12</stp>
        <stp>BBG00PCCVDV7 FIGI</stp>
        <stp>CALC_MATURITY</stp>
        <stp>[DIF_Risk_20200430.xlsm]Geneva investment position repo!R76C55</stp>
        <tr r="BC76" s="1"/>
      </tp>
      <tp t="s">
        <v>#N/A Field Not Applicable</v>
        <stp/>
        <stp>##V3_BDPV12</stp>
        <stp>BBG00RYDYKF6 FIGI</stp>
        <stp>SECURITY_TYP2</stp>
        <stp>[DIF_Risk_20200430.xlsm]Geneva investment position repo!R89C21</stp>
        <tr r="U89" s="1"/>
      </tp>
      <tp t="s">
        <v>#N/A Field Not Applicable</v>
        <stp/>
        <stp>##V3_BDPV12</stp>
        <stp>BBG00DXBXRD0 FIGI</stp>
        <stp>SECURITY_TYP2</stp>
        <stp>[DIF_Risk_20200430.xlsm]Geneva investment position repo!R93C21</stp>
        <tr r="U93" s="1"/>
      </tp>
      <tp t="s">
        <v>Common Stock</v>
        <stp/>
        <stp>##V3_BDPV12</stp>
        <stp>BBG000BDV566 FIGI</stp>
        <stp>SECURITY_TYP2</stp>
        <stp>[DIF_Risk_20200430.xlsm]Geneva investment position repo!R13C21</stp>
        <tr r="U13" s="1"/>
      </tp>
      <tp t="s">
        <v>7/24/2018</v>
        <stp/>
        <stp>##V3_BDPV12</stp>
        <stp>BBG00LLFHRL5 FIGI</stp>
        <stp>MOODY_EFF_DT</stp>
        <stp>[DIF_Risk_20200430.xlsm]Geneva investment position repo!R61C72</stp>
        <tr r="BT61" s="1"/>
      </tp>
      <tp t="s">
        <v>#N/A Field Not Applicable</v>
        <stp/>
        <stp>##V3_BDPV12</stp>
        <stp>BBG00RYDYKF6 FIGI</stp>
        <stp>CAPITAL_CONTINGENT_SECURITY</stp>
        <stp>[DIF_Risk_20200430.xlsm]Geneva investment position repo!R89C42</stp>
        <tr r="AP89" s="1"/>
      </tp>
      <tp t="s">
        <v>#N/A N/A</v>
        <stp/>
        <stp>##V3_BDPV12</stp>
        <stp>BBG00CNK44T9 FIGI</stp>
        <stp>FITCH_EFF_DT</stp>
        <stp>[DIF_Risk_20200430.xlsm]Geneva investment position repo!R45C73</stp>
        <tr r="BU45" s="1"/>
      </tp>
      <tp t="s">
        <v>#N/A Field Not Applicable</v>
        <stp/>
        <stp>##V3_BDPV12</stp>
        <stp>BBG00PSJPXV8 FIGI</stp>
        <stp>SECURITY_TYP2</stp>
        <stp>[DIF_Risk_20200430.xlsm]Geneva investment position repo!R82C21</stp>
        <tr r="U82" s="1"/>
      </tp>
      <tp t="s">
        <v>11/22/2019</v>
        <stp/>
        <stp>##V3_BDPV12</stp>
        <stp>BBG00QYPDPC6 FIGI</stp>
        <stp>FITCH_EFF_DT</stp>
        <stp>[DIF_Risk_20200430.xlsm]Geneva investment position repo!R68C73</stp>
        <tr r="BU68" s="1"/>
      </tp>
      <tp t="s">
        <v>7/27/2018</v>
        <stp/>
        <stp>##V3_BDPV12</stp>
        <stp>BBG00DKQ0MQ4 FIGI</stp>
        <stp>FITCH_EFF_DT</stp>
        <stp>[DIF_Risk_20200430.xlsm]Geneva investment position repo!R78C73</stp>
        <tr r="BU78" s="1"/>
      </tp>
      <tp t="s">
        <v>4/29/2025</v>
        <stp/>
        <stp>##V3_BDPV12</stp>
        <stp>BBG00TDCM8F7 FIGI</stp>
        <stp>CALC_MATURITY</stp>
        <stp>[DIF_Risk_20200430.xlsm]Geneva investment position repo!R38C55</stp>
        <tr r="BC38" s="1"/>
      </tp>
      <tp t="s">
        <v>#N/A N/A</v>
        <stp/>
        <stp>##V3_BDPV12</stp>
        <stp>BBG00R9SN7F2 FIGI</stp>
        <stp>RTG_SP</stp>
        <stp>[DIF_Risk_20200430.xlsm]Geneva investment position repo!R63C31</stp>
        <tr r="AE63" s="1"/>
      </tp>
      <tp t="s">
        <v>#N/A Field Not Applicable</v>
        <stp/>
        <stp>##V3_BDPV12</stp>
        <stp>BBG00NWVJPB7 FIGI</stp>
        <stp>CAPITAL_CONTINGENT_SECURITY</stp>
        <stp>[DIF_Risk_20200430.xlsm]Geneva investment position repo!R141C42</stp>
        <tr r="AP141" s="1"/>
      </tp>
      <tp t="s">
        <v>#N/A N/A</v>
        <stp/>
        <stp>##V3_BDPV12</stp>
        <stp>BBG00HVHMY65 FIGI</stp>
        <stp>MOODY_EFF_DT</stp>
        <stp>[DIF_Risk_20200430.xlsm]Geneva investment position repo!R119C72</stp>
        <tr r="BT119" s="1"/>
      </tp>
      <tp t="s">
        <v>Diversified Finan Serv</v>
        <stp/>
        <stp>##V3_BDPV12</stp>
        <stp>BBG00TDCM8F7 FIGI</stp>
        <stp>INDUSTRY_GROUP</stp>
        <stp>[DIF_Risk_20200430.xlsm]Geneva investment position repo!R38C40</stp>
        <tr r="AN38" s="1"/>
      </tp>
      <tp t="s">
        <v>ACTV</v>
        <stp/>
        <stp>##V3_BDPV12</stp>
        <stp>BBG00RD35MV1 FIGI</stp>
        <stp>EXCH_MARKET_STATUS</stp>
        <stp>[DIF_Risk_20200430.xlsm]Geneva investment position repo!R118C44</stp>
        <tr r="AR118" s="1"/>
        <tr r="AR118" s="1"/>
      </tp>
      <tp t="s">
        <v>#N/A N/A</v>
        <stp/>
        <stp>##V3_BDPV12</stp>
        <stp>BBG00H5KNJZ7 FIGI</stp>
        <stp>RTG_SP</stp>
        <stp>[DIF_Risk_20200430.xlsm]Geneva investment position repo!R80C31</stp>
        <tr r="AE80" s="1"/>
      </tp>
      <tp t="s">
        <v>5/28/2019</v>
        <stp/>
        <stp>##V3_BDPV12</stp>
        <stp>BBG00P7N38J5 FIGI</stp>
        <stp>FITCH_EFF_DT</stp>
        <stp>[DIF_Risk_20200430.xlsm]Geneva investment position repo!R175C73</stp>
        <tr r="BU175" s="1"/>
      </tp>
      <tp>
        <v>1.9357322913739461</v>
        <stp/>
        <stp>##V3_BDPV12</stp>
        <stp>USY59515AA72 ISIN</stp>
        <stp>DUR_ADJ_MID</stp>
        <stp>[DIF_Risk_20200430.xlsm]Geneva investment position repo!R111C59</stp>
        <tr r="BG111" s="1"/>
      </tp>
      <tp t="s">
        <v>#N/A N/A</v>
        <stp/>
        <stp>##V3_BDPV12</stp>
        <stp>BBG00R9SNB81 FIGI</stp>
        <stp>RTG_SP</stp>
        <stp>[DIF_Risk_20200430.xlsm]Geneva investment position repo!R64C31</stp>
        <tr r="AE64" s="1"/>
      </tp>
      <tp t="s">
        <v>#N/A N/A</v>
        <stp/>
        <stp>##V3_BDPV12</stp>
        <stp>BBG00NDM7WZ0 FIGI</stp>
        <stp>MOODY_EFF_DT</stp>
        <stp>[DIF_Risk_20200430.xlsm]Geneva investment position repo!R103C72</stp>
        <tr r="BT103" s="1"/>
      </tp>
      <tp t="s">
        <v>#N/A N/A</v>
        <stp/>
        <stp>##V3_BDPV12</stp>
        <stp>BBG00PKD4F69 FIGI</stp>
        <stp>MOODY_EFF_DT</stp>
        <stp>[DIF_Risk_20200430.xlsm]Geneva investment position repo!R145C72</stp>
        <tr r="BT145" s="1"/>
      </tp>
      <tp t="s">
        <v>ACTV</v>
        <stp/>
        <stp>##V3_BDPV12</stp>
        <stp>BBG00N0J9QB8 FIGI</stp>
        <stp>EXCH_MARKET_STATUS</stp>
        <stp>[DIF_Risk_20200430.xlsm]Geneva investment position repo!R132C44</stp>
        <tr r="AR132" s="1"/>
        <tr r="AR132" s="1"/>
      </tp>
      <tp>
        <v>8.217781864611343</v>
        <stp/>
        <stp>##V3_BDPV12</stp>
        <stp>USY68856AT38 ISIN</stp>
        <stp>DUR_ADJ_MID</stp>
        <stp>[DIF_Risk_20200430.xlsm]Geneva investment position repo!R123C59</stp>
        <tr r="BG123" s="1"/>
      </tp>
      <tp t="s">
        <v>3/8/2021</v>
        <stp/>
        <stp>##V3_BDPV12</stp>
        <stp>BBG00K7D75S0 FIGI</stp>
        <stp>CALC_MATURITY</stp>
        <stp>[DIF_Risk_20200430.xlsm]Geneva investment position repo!R75C55</stp>
        <tr r="BC75" s="1"/>
      </tp>
      <tp t="s">
        <v>#N/A Field Not Applicable</v>
        <stp/>
        <stp>##V3_BDPV12</stp>
        <stp>BBG00CNK44T9 FIGI</stp>
        <stp>SECURITY_TYP2</stp>
        <stp>[DIF_Risk_20200430.xlsm]Geneva investment position repo!R45C21</stp>
        <tr r="U45" s="1"/>
      </tp>
      <tp t="s">
        <v>#N/A Field Not Applicable</v>
        <stp/>
        <stp>##V3_BDPV12</stp>
        <stp>BBG00NBG3YQ5 FIGI</stp>
        <stp>SECURITY_TYP2</stp>
        <stp>[DIF_Risk_20200430.xlsm]Geneva investment position repo!R91C21</stp>
        <tr r="U91" s="1"/>
      </tp>
      <tp t="s">
        <v>7/22/2019</v>
        <stp/>
        <stp>##V3_BDPV12</stp>
        <stp>BBG00PV1L0V9 FIGI</stp>
        <stp>MOODY_EFF_DT</stp>
        <stp>[DIF_Risk_20200430.xlsm]Geneva investment position repo!R86C72</stp>
        <tr r="BT86" s="1"/>
      </tp>
      <tp t="s">
        <v>#N/A Field Not Applicable</v>
        <stp/>
        <stp>##V3_BDPV12</stp>
        <stp>BBG00RRMFK74 FIGI</stp>
        <stp>CAPITAL_CONTINGENT_SECURITY</stp>
        <stp>[DIF_Risk_20200430.xlsm]Geneva investment position repo!R41C42</stp>
        <tr r="AP41" s="1"/>
      </tp>
      <tp t="s">
        <v>CN</v>
        <stp/>
        <stp>##V3_BDPV12</stp>
        <stp>BBG00DVX5HS1 FIGI</stp>
        <stp>CNTRY_OF_RISK</stp>
        <stp>[DIF_Risk_20200430.xlsm]Geneva investment position repo!R44C38</stp>
        <tr r="AL44" s="1"/>
      </tp>
      <tp t="s">
        <v>#N/A Field Not Applicable</v>
        <stp/>
        <stp>##V3_BDPV12</stp>
        <stp>BBG005Q0XWK0 FIGI</stp>
        <stp>FITCH_EFF_DT</stp>
        <stp>[DIF_Risk_20200430.xlsm]Geneva investment position repo!R15C73</stp>
        <tr r="BU15" s="1"/>
      </tp>
      <tp t="s">
        <v>2/12/2023</v>
        <stp/>
        <stp>##V3_BDPV12</stp>
        <stp>BBG00QRVV6Z8 FIGI</stp>
        <stp>CALC_MATURITY</stp>
        <stp>[DIF_Risk_20200430.xlsm]Geneva investment position repo!R155C55</stp>
        <tr r="BC155" s="1"/>
      </tp>
      <tp t="s">
        <v>11/8/2022</v>
        <stp/>
        <stp>##V3_BDPV12</stp>
        <stp>BBG00QRVV8P5 FIGI</stp>
        <stp>CALC_MATURITY</stp>
        <stp>[DIF_Risk_20200430.xlsm]Geneva investment position repo!R131C55</stp>
        <tr r="BC131" s="1"/>
      </tp>
      <tp t="s">
        <v>8/27/2168</v>
        <stp/>
        <stp>##V3_BDPV12</stp>
        <stp>BBG00RTNXBH9 FIGI</stp>
        <stp>CALC_MATURITY</stp>
        <stp>[DIF_Risk_20200430.xlsm]Geneva investment position repo!R69C55</stp>
        <tr r="BC69" s="1"/>
      </tp>
      <tp t="s">
        <v>10/18/2021</v>
        <stp/>
        <stp>##V3_BDPV12</stp>
        <stp>BBG00M5BYXF5 FIGI</stp>
        <stp>CALC_MATURITY</stp>
        <stp>[DIF_Risk_20200430.xlsm]Geneva investment position repo!R32C55</stp>
        <tr r="BC32" s="1"/>
      </tp>
      <tp t="s">
        <v>#N/A N/A</v>
        <stp/>
        <stp>##V3_BDPV12</stp>
        <stp>BBG00PMFP1T5 FIGI</stp>
        <stp>FITCH_EFF_DT</stp>
        <stp>[DIF_Risk_20200430.xlsm]Geneva investment position repo!R52C73</stp>
        <tr r="BU52" s="1"/>
      </tp>
      <tp t="s">
        <v>11/30/2020</v>
        <stp/>
        <stp>##V3_BDPV12</stp>
        <stp>BBG00JC8V4T3 FIGI</stp>
        <stp>CALC_MATURITY</stp>
        <stp>[DIF_Risk_20200430.xlsm]Geneva investment position repo!R176C55</stp>
        <tr r="BC176" s="1"/>
      </tp>
      <tp t="s">
        <v>ACTV</v>
        <stp/>
        <stp>##V3_BDPV12</stp>
        <stp>BBG00MTS9QX5 FIGI</stp>
        <stp>EXCH_MARKET_STATUS</stp>
        <stp>[DIF_Risk_20200430.xlsm]Geneva investment position repo!R157C44</stp>
        <tr r="AR157" s="1"/>
        <tr r="AR157" s="1"/>
      </tp>
      <tp t="s">
        <v>1/5/2020</v>
        <stp/>
        <stp>##V3_BDPV12</stp>
        <stp>BBG00R9LVRX4 FIGI</stp>
        <stp>FITCH_EFF_DT</stp>
        <stp>[DIF_Risk_20200430.xlsm]Geneva investment position repo!R172C73</stp>
        <tr r="BU172" s="1"/>
      </tp>
      <tp t="s">
        <v>Y</v>
        <stp/>
        <stp>##V3_BDPV12</stp>
        <stp>BBG00HPPFXF4 FIGI</stp>
        <stp>CAPITAL_CONTINGENT_SECURITY</stp>
        <stp>[DIF_Risk_20200430.xlsm]Geneva investment position repo!R127C42</stp>
        <tr r="AP127" s="1"/>
        <tr r="AP127" s="1"/>
      </tp>
      <tp t="s">
        <v>A-</v>
        <stp/>
        <stp>##V3_BDPV12</stp>
        <stp>BBG00TDCM8F7 FIGI</stp>
        <stp>RTG_SP</stp>
        <stp>[DIF_Risk_20200430.xlsm]Geneva investment position repo!R38C31</stp>
        <tr r="AE38" s="1"/>
        <tr r="AE38" s="1"/>
      </tp>
      <tp t="s">
        <v>#N/A Field Not Applicable</v>
        <stp/>
        <stp>##V3_BDPV12</stp>
        <stp>BBG00NQDZNG6 FIGI</stp>
        <stp>CAPITAL_CONTINGENT_SECURITY</stp>
        <stp>[DIF_Risk_20200430.xlsm]Geneva investment position repo!R178C42</stp>
        <tr r="AP178" s="1"/>
      </tp>
      <tp t="s">
        <v>Real Estate</v>
        <stp/>
        <stp>##V3_BDPV12</stp>
        <stp>BBG00R9SN7F2 FIGI</stp>
        <stp>INDUSTRY_GROUP</stp>
        <stp>[DIF_Risk_20200430.xlsm]Geneva investment position repo!R63C40</stp>
        <tr r="AN63" s="1"/>
      </tp>
      <tp t="s">
        <v>ACTV</v>
        <stp/>
        <stp>##V3_BDPV12</stp>
        <stp>BBG00MNWHQT8 FIGI</stp>
        <stp>EXCH_MARKET_STATUS</stp>
        <stp>[DIF_Risk_20200430.xlsm]Geneva investment position repo!R135C44</stp>
        <tr r="AR135" s="1"/>
        <tr r="AR135" s="1"/>
      </tp>
      <tp t="s">
        <v>#N/A Field Not Applicable</v>
        <stp/>
        <stp>##V3_BDPV12</stp>
        <stp>BBG00TDCM2R7 FIGI</stp>
        <stp>CAPITAL_CONTINGENT_SECURITY</stp>
        <stp>[DIF_Risk_20200430.xlsm]Geneva investment position repo!R147C42</stp>
        <tr r="AP147" s="1"/>
      </tp>
      <tp t="s">
        <v>ACTV</v>
        <stp/>
        <stp>##V3_BDPV12</stp>
        <stp>BBG00PNSNLZ7 FIGI</stp>
        <stp>EXCH_MARKET_STATUS</stp>
        <stp>[DIF_Risk_20200430.xlsm]Geneva investment position repo!R161C44</stp>
        <tr r="AR161" s="1"/>
        <tr r="AR161" s="1"/>
      </tp>
      <tp t="s">
        <v>Real Estate</v>
        <stp/>
        <stp>##V3_BDPV12</stp>
        <stp>BBG00R9SNB81 FIGI</stp>
        <stp>INDUSTRY_GROUP</stp>
        <stp>[DIF_Risk_20200430.xlsm]Geneva investment position repo!R64C40</stp>
        <tr r="AN64" s="1"/>
      </tp>
      <tp t="s">
        <v>ACTV</v>
        <stp/>
        <stp>##V3_BDPV12</stp>
        <stp>BBG00N14WRV0 FIGI</stp>
        <stp>EXCH_MARKET_STATUS</stp>
        <stp>[DIF_Risk_20200430.xlsm]Geneva investment position repo!R142C44</stp>
        <tr r="AR142" s="1"/>
        <tr r="AR142" s="1"/>
      </tp>
      <tp t="s">
        <v>Energy-Alternate Sources</v>
        <stp/>
        <stp>##V3_BDPV12</stp>
        <stp>BBG00H5KNJZ7 FIGI</stp>
        <stp>INDUSTRY_GROUP</stp>
        <stp>[DIF_Risk_20200430.xlsm]Geneva investment position repo!R80C40</stp>
        <tr r="AN80" s="1"/>
      </tp>
      <tp t="s">
        <v>Food-Dairy Products</v>
        <stp/>
        <stp>##V3_BDPV12</stp>
        <stp>BBG000PXTGY5 FIGI</stp>
        <stp>INDUSTRY_SUBGROUP</stp>
        <stp>[DIF_Risk_20200430.xlsm]Geneva investment position repo!R9C41</stp>
        <tr r="AO9" s="1"/>
      </tp>
      <tp t="s">
        <v>1/13/2026</v>
        <stp/>
        <stp>##V3_BDPV12</stp>
        <stp>BBG00R9LVRX4 FIGI</stp>
        <stp>CALC_MATURITY</stp>
        <stp>[DIF_Risk_20200430.xlsm]Geneva investment position repo!R172C55</stp>
        <tr r="BC172" s="1"/>
      </tp>
      <tp t="s">
        <v>7/27/2020</v>
        <stp/>
        <stp>##V3_BDPV12</stp>
        <stp>BBG00LJTVJR4 FIGI</stp>
        <stp>CALC_MATURITY</stp>
        <stp>[DIF_Risk_20200430.xlsm]Geneva investment position repo!R154C55</stp>
        <tr r="BC154" s="1"/>
      </tp>
      <tp t="s">
        <v>5/7/2030</v>
        <stp/>
        <stp>##V3_BDPV12</stp>
        <stp>BBG00TJ8VS75 FIGI</stp>
        <stp>CALC_MATURITY</stp>
        <stp>[DIF_Risk_20200430.xlsm]Geneva investment position repo!R167C55</stp>
        <tr r="BC167" s="1"/>
      </tp>
      <tp t="s">
        <v>#N/A Field Not Applicable</v>
        <stp/>
        <stp>##V3_BDPV12</stp>
        <stp>BBG00RYF5CJ7 FIGI</stp>
        <stp>SECURITY_TYP2</stp>
        <stp>[DIF_Risk_20200430.xlsm]Geneva investment position repo!R35C21</stp>
        <tr r="U35" s="1"/>
      </tp>
      <tp t="s">
        <v>1/22/2025</v>
        <stp/>
        <stp>##V3_BDPV12</stp>
        <stp>BBG00RD4VH41 FIGI</stp>
        <stp>CALC_MATURITY</stp>
        <stp>[DIF_Risk_20200430.xlsm]Geneva investment position repo!R106C55</stp>
        <tr r="BC106" s="1"/>
      </tp>
      <tp t="s">
        <v>#N/A Field Not Applicable</v>
        <stp/>
        <stp>##V3_BDPV12</stp>
        <stp>BBG000Q16VR4 FIGI</stp>
        <stp>MOODY_EFF_DT</stp>
        <stp>[DIF_Risk_20200430.xlsm]Geneva investment position repo!R18C72</stp>
        <tr r="BT18" s="1"/>
      </tp>
      <tp t="s">
        <v>2/1/2024</v>
        <stp/>
        <stp>##V3_BDPV12</stp>
        <stp>BBG00QQ1W050 FIGI</stp>
        <stp>CALC_MATURITY</stp>
        <stp>[DIF_Risk_20200430.xlsm]Geneva investment position repo!R149C55</stp>
        <tr r="BC149" s="1"/>
      </tp>
      <tp t="s">
        <v>#N/A N/A</v>
        <stp/>
        <stp>##V3_BDPV12</stp>
        <stp>BBG00Q3NXL14 FIGI</stp>
        <stp>MOODY_EFF_DT</stp>
        <stp>[DIF_Risk_20200430.xlsm]Geneva investment position repo!R59C72</stp>
        <tr r="BT59" s="1"/>
      </tp>
      <tp t="s">
        <v>8/29/2018</v>
        <stp/>
        <stp>##V3_BDPV12</stp>
        <stp>BBG00LVCWLT9 FIGI</stp>
        <stp>MOODY_EFF_DT</stp>
        <stp>[DIF_Risk_20200430.xlsm]Geneva investment position repo!R42C72</stp>
        <tr r="BT42" s="1"/>
      </tp>
      <tp t="s">
        <v>#N/A Field Not Applicable</v>
        <stp/>
        <stp>##V3_BDPV12</stp>
        <stp>BBG00LLV9WW6 FIGI</stp>
        <stp>CAPITAL_CONTINGENT_SECURITY</stp>
        <stp>[DIF_Risk_20200430.xlsm]Geneva investment position repo!R21C42</stp>
        <tr r="AP21" s="1"/>
      </tp>
      <tp t="s">
        <v>#N/A Field Not Applicable</v>
        <stp/>
        <stp>##V3_BDPV12</stp>
        <stp>BBG00RYDWX24 FIGI</stp>
        <stp>SECURITY_TYP2</stp>
        <stp>[DIF_Risk_20200430.xlsm]Geneva investment position repo!R85C21</stp>
        <tr r="U85" s="1"/>
      </tp>
      <tp t="s">
        <v>#N/A N/A</v>
        <stp/>
        <stp>##V3_BDPV12</stp>
        <stp>BBG00TDCM8F7 FIGI</stp>
        <stp>MOODY_EFF_DT</stp>
        <stp>[DIF_Risk_20200430.xlsm]Geneva investment position repo!R38C72</stp>
        <tr r="BT38" s="1"/>
      </tp>
      <tp t="s">
        <v>#N/A Field Not Applicable</v>
        <stp/>
        <stp>##V3_BDPV12</stp>
        <stp>BBG00KKDSP44 FIGI</stp>
        <stp>SECURITY_TYP2</stp>
        <stp>[DIF_Risk_20200430.xlsm]Geneva investment position repo!R56C21</stp>
        <tr r="U56" s="1"/>
      </tp>
      <tp t="s">
        <v>#N/A Field Not Applicable</v>
        <stp/>
        <stp>##V3_BDPV12</stp>
        <stp>BBG00LJTWWM9 FIGI</stp>
        <stp>CAPITAL_CONTINGENT_SECURITY</stp>
        <stp>[DIF_Risk_20200430.xlsm]Geneva investment position repo!R60C42</stp>
        <tr r="AP60" s="1"/>
      </tp>
      <tp t="s">
        <v>#N/A Field Not Applicable</v>
        <stp/>
        <stp>##V3_BDPV12</stp>
        <stp>BBG00RDBJ3B2 FIGI</stp>
        <stp>SECURITY_TYP2</stp>
        <stp>[DIF_Risk_20200430.xlsm]Geneva investment position repo!R34C21</stp>
        <tr r="U34" s="1"/>
      </tp>
      <tp t="s">
        <v>10/29/2026</v>
        <stp/>
        <stp>##V3_BDPV12</stp>
        <stp>BBG00CP5W6B3 FIGI</stp>
        <stp>CALC_MATURITY</stp>
        <stp>[DIF_Risk_20200430.xlsm]Geneva investment position repo!R107C55</stp>
        <tr r="BC107" s="1"/>
      </tp>
      <tp t="s">
        <v>#N/A Field Not Applicable</v>
        <stp/>
        <stp>##V3_BDPV12</stp>
        <stp>BBG00LVCGFZ3 FIGI</stp>
        <stp>SECURITY_TYP2</stp>
        <stp>[DIF_Risk_20200430.xlsm]Geneva investment position repo!R77C21</stp>
        <tr r="U77" s="1"/>
      </tp>
      <tp t="s">
        <v>3/2/2035</v>
        <stp/>
        <stp>##V3_BDPV12</stp>
        <stp>BBG00RYGHZS1 FIGI</stp>
        <stp>CALC_MATURITY</stp>
        <stp>[DIF_Risk_20200430.xlsm]Geneva investment position repo!R51C55</stp>
        <tr r="BC51" s="1"/>
      </tp>
      <tp t="s">
        <v>#N/A N/A</v>
        <stp/>
        <stp>##V3_BDPV12</stp>
        <stp>BBG00NDFM319 FIGI</stp>
        <stp>MOODY_EFF_DT</stp>
        <stp>[DIF_Risk_20200430.xlsm]Geneva investment position repo!R140C72</stp>
        <tr r="BT140" s="1"/>
      </tp>
      <tp t="s">
        <v>#N/A N/A</v>
        <stp/>
        <stp>##V3_BDPV12</stp>
        <stp>BBG00PV1L0V9 FIGI</stp>
        <stp>RTG_SP</stp>
        <stp>[DIF_Risk_20200430.xlsm]Geneva investment position repo!R86C31</stp>
        <tr r="AE86" s="1"/>
      </tp>
      <tp t="s">
        <v>1/18/2019</v>
        <stp/>
        <stp>##V3_BDPV12</stp>
        <stp>BBG00N2KDB12 FIGI</stp>
        <stp>FITCH_EFF_DT</stp>
        <stp>[DIF_Risk_20200430.xlsm]Geneva investment position repo!R174C73</stp>
        <tr r="BU174" s="1"/>
      </tp>
      <tp t="s">
        <v>ACTV</v>
        <stp/>
        <stp>##V3_BDPV12</stp>
        <stp>BBG00NQF0SC2 FIGI</stp>
        <stp>EXCH_MARKET_STATUS</stp>
        <stp>[DIF_Risk_20200430.xlsm]Geneva investment position repo!R160C44</stp>
        <tr r="AR160" s="1"/>
        <tr r="AR160" s="1"/>
      </tp>
      <tp t="s">
        <v>#N/A Field Not Applicable</v>
        <stp/>
        <stp>##V3_BDPV12</stp>
        <stp>BBG00JC8V4T3 FIGI</stp>
        <stp>CAPITAL_CONTINGENT_SECURITY</stp>
        <stp>[DIF_Risk_20200430.xlsm]Geneva investment position repo!R176C42</stp>
        <tr r="AP176" s="1"/>
      </tp>
      <tp t="s">
        <v>2/20/2025</v>
        <stp/>
        <stp>##V3_BDPV12</stp>
        <stp>BBG00RPXWXD8 FIGI</stp>
        <stp>CALC_MATURITY</stp>
        <stp>[DIF_Risk_20200430.xlsm]Geneva investment position repo!R173C55</stp>
        <tr r="BC173" s="1"/>
      </tp>
      <tp t="s">
        <v>Common Stock</v>
        <stp/>
        <stp>##V3_BDPV12</stp>
        <stp>BBG000GD4N44 FIGI</stp>
        <stp>SECURITY_TYP2</stp>
        <stp>[DIF_Risk_20200430.xlsm]Geneva investment position repo!R23C21</stp>
        <tr r="U23" s="1"/>
      </tp>
      <tp t="s">
        <v>#N/A Field Not Applicable</v>
        <stp/>
        <stp>##V3_BDPV12</stp>
        <stp>BBG00KKDSP44 FIGI</stp>
        <stp>CAPITAL_CONTINGENT_SECURITY</stp>
        <stp>[DIF_Risk_20200430.xlsm]Geneva investment position repo!R56C42</stp>
        <tr r="AP56" s="1"/>
      </tp>
      <tp t="s">
        <v>3/11/2021</v>
        <stp/>
        <stp>##V3_BDPV12</stp>
        <stp>BBG00S6SWBM6 FIGI</stp>
        <stp>CALC_MATURITY</stp>
        <stp>[DIF_Risk_20200430.xlsm]Geneva investment position repo!R158C55</stp>
        <tr r="BC158" s="1"/>
      </tp>
      <tp t="s">
        <v>4/14/2030</v>
        <stp/>
        <stp>##V3_BDPV12</stp>
        <stp>BBG00T2MWMJ1 FIGI</stp>
        <stp>CALC_MATURITY</stp>
        <stp>[DIF_Risk_20200430.xlsm]Geneva investment position repo!R128C55</stp>
        <tr r="BC128" s="1"/>
      </tp>
      <tp t="s">
        <v>#N/A N/A</v>
        <stp/>
        <stp>##V3_BDPV12</stp>
        <stp>BBG00RB35JZ6 FIGI</stp>
        <stp>FITCH_EFF_DT</stp>
        <stp>[DIF_Risk_20200430.xlsm]Geneva investment position repo!R48C73</stp>
        <tr r="BU48" s="1"/>
      </tp>
      <tp t="s">
        <v>1/17/2029</v>
        <stp/>
        <stp>##V3_BDPV12</stp>
        <stp>BBG00N14WRV0 FIGI</stp>
        <stp>CALC_MATURITY</stp>
        <stp>[DIF_Risk_20200430.xlsm]Geneva investment position repo!R142C55</stp>
        <tr r="BC142" s="1"/>
      </tp>
      <tp t="s">
        <v>#N/A Field Not Applicable</v>
        <stp/>
        <stp>##V3_BDPV12</stp>
        <stp>BBG000P9FRH8 FIGI</stp>
        <stp>FITCH_EFF_DT</stp>
        <stp>[DIF_Risk_20200430.xlsm]Geneva investment position repo!R19C73</stp>
        <tr r="BU19" s="1"/>
      </tp>
      <tp t="s">
        <v>#N/A Field Not Applicable</v>
        <stp/>
        <stp>##V3_BDPV12</stp>
        <stp>BBG00M5BYXF5 FIGI</stp>
        <stp>SECURITY_TYP2</stp>
        <stp>[DIF_Risk_20200430.xlsm]Geneva investment position repo!R32C21</stp>
        <tr r="U32" s="1"/>
      </tp>
      <tp t="s">
        <v>#N/A Field Not Applicable</v>
        <stp/>
        <stp>##V3_BDPV12</stp>
        <stp>BBG00RTNXBH9 FIGI</stp>
        <stp>SECURITY_TYP2</stp>
        <stp>[DIF_Risk_20200430.xlsm]Geneva investment position repo!R69C21</stp>
        <tr r="U69" s="1"/>
      </tp>
      <tp t="s">
        <v>7/15/2019</v>
        <stp/>
        <stp>##V3_BDPV12</stp>
        <stp>BBG00PSJPXV8 FIGI</stp>
        <stp>MOODY_EFF_DT</stp>
        <stp>[DIF_Risk_20200430.xlsm]Geneva investment position repo!R82C72</stp>
        <tr r="BT82" s="1"/>
      </tp>
      <tp t="s">
        <v>2/23/2020</v>
        <stp/>
        <stp>##V3_BDPV12</stp>
        <stp>BBG00RYDYKF6 FIGI</stp>
        <stp>FITCH_EFF_DT</stp>
        <stp>[DIF_Risk_20200430.xlsm]Geneva investment position repo!R89C73</stp>
        <tr r="BU89" s="1"/>
      </tp>
      <tp t="s">
        <v>#N/A N/A</v>
        <stp/>
        <stp>##V3_BDPV12</stp>
        <stp>BBG00S0GV953 FIGI</stp>
        <stp>MOODY_EFF_DT</stp>
        <stp>[DIF_Risk_20200430.xlsm]Geneva investment position repo!R98C72</stp>
        <tr r="BT98" s="1"/>
      </tp>
      <tp t="s">
        <v>9/22/2016</v>
        <stp/>
        <stp>##V3_BDPV12</stp>
        <stp>BBG00DVX5HS1 FIGI</stp>
        <stp>MOODY_EFF_DT</stp>
        <stp>[DIF_Risk_20200430.xlsm]Geneva investment position repo!R44C72</stp>
        <tr r="BT44" s="1"/>
      </tp>
      <tp t="s">
        <v>#N/A N/A</v>
        <stp/>
        <stp>##V3_BDPV12</stp>
        <stp>BBG00PGHK257 FIGI</stp>
        <stp>RTG_SP</stp>
        <stp>[DIF_Risk_20200430.xlsm]Geneva investment position repo!R87C31</stp>
        <tr r="AE87" s="1"/>
      </tp>
      <tp t="s">
        <v>ACTV</v>
        <stp/>
        <stp>##V3_BDPV12</stp>
        <stp>BBG00N14RT60 FIGI</stp>
        <stp>EXCH_MARKET_STATUS</stp>
        <stp>[DIF_Risk_20200430.xlsm]Geneva investment position repo!R153C44</stp>
        <tr r="AR153" s="1"/>
        <tr r="AR153" s="1"/>
      </tp>
      <tp t="s">
        <v>BBG00D2WYB33</v>
        <stp/>
        <stp>##V3_BDPV12</stp>
        <stp>USG7150PAA87 ISIN</stp>
        <stp>ID_BB_GLOBAL</stp>
        <stp>[DIF_Risk_20200430.xlsm]Geneva investment position repo!R126C18</stp>
        <tr r="R126" s="1"/>
      </tp>
      <tp t="s">
        <v>4/9/2020</v>
        <stp/>
        <stp>##V3_BDPV12</stp>
        <stp>BBG00R9LVRX4 FIGI</stp>
        <stp>MOODY_EFF_DT</stp>
        <stp>[DIF_Risk_20200430.xlsm]Geneva investment position repo!R172C72</stp>
        <tr r="BT172" s="1"/>
      </tp>
      <tp t="s">
        <v>#N/A N/A</v>
        <stp/>
        <stp>##V3_BDPV12</stp>
        <stp>BBG00S9HKR72 FIGI</stp>
        <stp>RTG_SP</stp>
        <stp>[DIF_Risk_20200430.xlsm]Geneva investment position repo!R36C31</stp>
        <tr r="AE36" s="1"/>
      </tp>
      <tp t="s">
        <v>Real Estate</v>
        <stp/>
        <stp>##V3_BDPV12</stp>
        <stp>BBG00NGWHP25 FIGI</stp>
        <stp>INDUSTRY_GROUP</stp>
        <stp>[DIF_Risk_20200430.xlsm]Geneva investment position repo!R29C40</stp>
        <tr r="AN29" s="1"/>
      </tp>
      <tp t="s">
        <v>Commercial Services</v>
        <stp/>
        <stp>##V3_BDPV12</stp>
        <stp>BBG00LLFHRL5 FIGI</stp>
        <stp>INDUSTRY_GROUP</stp>
        <stp>[DIF_Risk_20200430.xlsm]Geneva investment position repo!R61C40</stp>
        <tr r="AN61" s="1"/>
      </tp>
      <tp>
        <v>2.4466396476025536</v>
        <stp/>
        <stp>##V3_BDPV12</stp>
        <stp>USY68856AT38 ISIN</stp>
        <stp>YLD_YTM_MID</stp>
        <stp>[DIF_Risk_20200430.xlsm]Geneva investment position repo!R123C61</stp>
        <tr r="BI123" s="1"/>
      </tp>
      <tp t="s">
        <v>#N/A Field Not Applicable</v>
        <stp/>
        <stp>##V3_BDPV12</stp>
        <stp>BBG000QWR4M8 FIGI</stp>
        <stp>SP_EFF_DT</stp>
        <stp>[DIF_Risk_20200430.xlsm]Geneva investment position repo!R8C71</stp>
        <tr r="BS8" s="1"/>
      </tp>
      <tp t="s">
        <v>ACTV</v>
        <stp/>
        <stp>##V3_BDPV12</stp>
        <stp>BBG00L1B1VB5 FIGI</stp>
        <stp>EXCH_MARKET_STATUS</stp>
        <stp>[DIF_Risk_20200430.xlsm]Geneva investment position repo!R163C44</stp>
        <tr r="AR163" s="1"/>
        <tr r="AR163" s="1"/>
      </tp>
      <tp>
        <v>9.2004600751502963</v>
        <stp/>
        <stp>##V3_BDPV12</stp>
        <stp>USY59515AA72 ISIN</stp>
        <stp>YLD_YTM_MID</stp>
        <stp>[DIF_Risk_20200430.xlsm]Geneva investment position repo!R111C61</stp>
        <tr r="BI111" s="1"/>
      </tp>
      <tp t="s">
        <v>ACTV</v>
        <stp/>
        <stp>##V3_BDPV12</stp>
        <stp>BBG00RD4VH41 FIGI</stp>
        <stp>EXCH_MARKET_STATUS</stp>
        <stp>[DIF_Risk_20200430.xlsm]Geneva investment position repo!R106C44</stp>
        <tr r="AR106" s="1"/>
        <tr r="AR106" s="1"/>
      </tp>
      <tp t="s">
        <v>Real Estate</v>
        <stp/>
        <stp>##V3_BDPV12</stp>
        <stp>BBG00RYGHZS1 FIGI</stp>
        <stp>INDUSTRY_GROUP</stp>
        <stp>[DIF_Risk_20200430.xlsm]Geneva investment position repo!R51C40</stp>
        <tr r="AN51" s="1"/>
      </tp>
      <tp t="s">
        <v>3/4/2169</v>
        <stp/>
        <stp>##V3_BDPV12</stp>
        <stp>BBG00RYF5CJ7 FIGI</stp>
        <stp>CALC_MATURITY</stp>
        <stp>[DIF_Risk_20200430.xlsm]Geneva investment position repo!R35C55</stp>
        <tr r="BC35" s="1"/>
      </tp>
      <tp t="s">
        <v>#N/A Field Not Applicable</v>
        <stp/>
        <stp>##V3_BDPV12</stp>
        <stp>BBG00P1GZFC2 FIGI</stp>
        <stp>SECURITY_TYP2</stp>
        <stp>[DIF_Risk_20200430.xlsm]Geneva investment position repo!R112C21</stp>
        <tr r="U112" s="1"/>
      </tp>
      <tp t="s">
        <v>#N/A Field Not Applicable</v>
        <stp/>
        <stp>##V3_BDPV12</stp>
        <stp>BBG00N0Q0RS1 FIGI</stp>
        <stp>CAPITAL_CONTINGENT_SECURITY</stp>
        <stp>[DIF_Risk_20200430.xlsm]Geneva investment position repo!R50C42</stp>
        <tr r="AP50" s="1"/>
      </tp>
      <tp t="s">
        <v>#N/A Field Not Applicable</v>
        <stp/>
        <stp>##V3_BDPV12</stp>
        <stp>BBG00PK1ZYS6 FIGI</stp>
        <stp>SECURITY_TYP2</stp>
        <stp>[DIF_Risk_20200430.xlsm]Geneva investment position repo!R146C21</stp>
        <tr r="U146" s="1"/>
      </tp>
      <tp t="s">
        <v>#N/A Field Not Applicable</v>
        <stp/>
        <stp>##V3_BDPV12</stp>
        <stp>BBG00HC2ZDQ9 FIGI</stp>
        <stp>SECURITY_TYP2</stp>
        <stp>[DIF_Risk_20200430.xlsm]Geneva investment position repo!R151C21</stp>
        <tr r="U151" s="1"/>
      </tp>
      <tp t="s">
        <v>#N/A Field Not Applicable</v>
        <stp/>
        <stp>##V3_BDPV12</stp>
        <stp>BBG00NQDZNG6 FIGI</stp>
        <stp>SECURITY_TYP2</stp>
        <stp>[DIF_Risk_20200430.xlsm]Geneva investment position repo!R178C21</stp>
        <tr r="U178" s="1"/>
      </tp>
      <tp t="s">
        <v>#N/A Field Not Applicable</v>
        <stp/>
        <stp>##V3_BDPV12</stp>
        <stp>BBG00H4BZMF0 FIGI</stp>
        <stp>SECURITY_TYP2</stp>
        <stp>[DIF_Risk_20200430.xlsm]Geneva investment position repo!R130C21</stp>
        <tr r="U130" s="1"/>
      </tp>
      <tp t="s">
        <v>4/23/2021</v>
        <stp/>
        <stp>##V3_BDPV12</stp>
        <stp>BBG00KKDSP44 FIGI</stp>
        <stp>CALC_MATURITY</stp>
        <stp>[DIF_Risk_20200430.xlsm]Geneva investment position repo!R56C55</stp>
        <tr r="BC56" s="1"/>
      </tp>
      <tp t="s">
        <v>8/27/2022</v>
        <stp/>
        <stp>##V3_BDPV12</stp>
        <stp>BBG00RYDWX24 FIGI</stp>
        <stp>CALC_MATURITY</stp>
        <stp>[DIF_Risk_20200430.xlsm]Geneva investment position repo!R85C55</stp>
        <tr r="BC85" s="1"/>
      </tp>
      <tp t="s">
        <v>US</v>
        <stp/>
        <stp>##V3_BDPV12</stp>
        <stp>BBG00TFTG847 FIGI</stp>
        <stp>CNTRY_OF_RISK</stp>
        <stp>[DIF_Risk_20200430.xlsm]Geneva investment position repo!R117C38</stp>
        <tr r="AL117" s="1"/>
      </tp>
      <tp t="s">
        <v>#N/A N/A</v>
        <stp/>
        <stp>##V3_BDPV12</stp>
        <stp>BBG00RPXTZN6 FIGI</stp>
        <stp>FITCH_EFF_DT</stp>
        <stp>[DIF_Risk_20200430.xlsm]Geneva investment position repo!R90C73</stp>
        <tr r="BU90" s="1"/>
      </tp>
      <tp t="s">
        <v>#N/A Field Not Applicable</v>
        <stp/>
        <stp>##V3_BDPV12</stp>
        <stp>BBG00Q3NXL14 FIGI</stp>
        <stp>CAPITAL_CONTINGENT_SECURITY</stp>
        <stp>[DIF_Risk_20200430.xlsm]Geneva investment position repo!R59C42</stp>
        <tr r="AP59" s="1"/>
      </tp>
      <tp t="s">
        <v>9/6/2021</v>
        <stp/>
        <stp>##V3_BDPV12</stp>
        <stp>BBG00LVCGFZ3 FIGI</stp>
        <stp>CALC_MATURITY</stp>
        <stp>[DIF_Risk_20200430.xlsm]Geneva investment position repo!R77C55</stp>
        <tr r="BC77" s="1"/>
      </tp>
      <tp t="s">
        <v>CN</v>
        <stp/>
        <stp>##V3_BDPV12</stp>
        <stp>BBG00LJTWWM9 FIGI</stp>
        <stp>CNTRY_OF_RISK</stp>
        <stp>[DIF_Risk_20200430.xlsm]Geneva investment position repo!R60C38</stp>
        <tr r="AL60" s="1"/>
      </tp>
      <tp t="s">
        <v>#N/A Field Not Applicable</v>
        <stp/>
        <stp>##V3_BDPV12</stp>
        <stp>BBG00RYGHZS1 FIGI</stp>
        <stp>SECURITY_TYP2</stp>
        <stp>[DIF_Risk_20200430.xlsm]Geneva investment position repo!R51C21</stp>
        <tr r="U51" s="1"/>
      </tp>
      <tp t="s">
        <v>1/23/2025</v>
        <stp/>
        <stp>##V3_BDPV12</stp>
        <stp>BBG00RDBJ3B2 FIGI</stp>
        <stp>CALC_MATURITY</stp>
        <stp>[DIF_Risk_20200430.xlsm]Geneva investment position repo!R34C55</stp>
        <tr r="BC34" s="1"/>
      </tp>
      <tp t="s">
        <v>CN</v>
        <stp/>
        <stp>##V3_BDPV12</stp>
        <stp>BBG00NV0G541 FIGI</stp>
        <stp>CNTRY_OF_RISK</stp>
        <stp>[DIF_Risk_20200430.xlsm]Geneva investment position repo!R165C38</stp>
        <tr r="AL165" s="1"/>
      </tp>
      <tp t="s">
        <v>BBG00H5KNJZ7</v>
        <stp/>
        <stp>##V3_BDPV12</stp>
        <stp>USN3700LAB10 ISIN</stp>
        <stp>ID_BB_GLOBAL</stp>
        <stp>[DIF_Risk_20200430.xlsm]Geneva investment position repo!R80C18</stp>
        <tr r="R80" s="1"/>
      </tp>
      <tp t="s">
        <v>#N/A N/A</v>
        <stp/>
        <stp>##V3_BDPV12</stp>
        <stp>BBG00RDBJ3B2 FIGI</stp>
        <stp>RTG_SP</stp>
        <stp>[DIF_Risk_20200430.xlsm]Geneva investment position repo!R34C31</stp>
        <tr r="AE34" s="1"/>
      </tp>
      <tp t="s">
        <v>4/9/2020</v>
        <stp/>
        <stp>##V3_BDPV12</stp>
        <stp>BBG00N2KDB12 FIGI</stp>
        <stp>MOODY_EFF_DT</stp>
        <stp>[DIF_Risk_20200430.xlsm]Geneva investment position repo!R174C72</stp>
        <tr r="BT174" s="1"/>
      </tp>
      <tp t="s">
        <v>8/18/2019</v>
        <stp/>
        <stp>##V3_BDPV12</stp>
        <stp>BBG00NDFM319 FIGI</stp>
        <stp>FITCH_EFF_DT</stp>
        <stp>[DIF_Risk_20200430.xlsm]Geneva investment position repo!R140C73</stp>
        <tr r="BU140" s="1"/>
      </tp>
      <tp t="s">
        <v>#N/A Field Not Applicable</v>
        <stp/>
        <stp>##V3_BDPV12</stp>
        <stp>BBG00NB7HXS0 FIGI</stp>
        <stp>CAPITAL_CONTINGENT_SECURITY</stp>
        <stp>[DIF_Risk_20200430.xlsm]Geneva investment position repo!R143C42</stp>
        <tr r="AP143" s="1"/>
      </tp>
      <tp t="s">
        <v>BB</v>
        <stp/>
        <stp>##V3_BDPV12</stp>
        <stp>BBG005BTJ9P5 FIGI</stp>
        <stp>RTG_SP</stp>
        <stp>[DIF_Risk_20200430.xlsm]Geneva investment position repo!R65C31</stp>
        <tr r="AE65" s="1"/>
        <tr r="AE65" s="1"/>
      </tp>
      <tp t="s">
        <v>ACTV</v>
        <stp/>
        <stp>##V3_BDPV12</stp>
        <stp>BBG00Q2B8JR6 FIGI</stp>
        <stp>EXCH_MARKET_STATUS</stp>
        <stp>[DIF_Risk_20200430.xlsm]Geneva investment position repo!R170C44</stp>
        <tr r="AR170" s="1"/>
        <tr r="AR170" s="1"/>
      </tp>
      <tp t="s">
        <v>CN</v>
        <stp/>
        <stp>##V3_BDPV12</stp>
        <stp>BBG00KMRGS75 FIGI</stp>
        <stp>CNTRY_OF_RISK</stp>
        <stp>[DIF_Risk_20200430.xlsm]Geneva investment position repo!R152C38</stp>
        <tr r="AL152" s="1"/>
      </tp>
      <tp t="s">
        <v>1/15/2169</v>
        <stp/>
        <stp>##V3_BDPV12</stp>
        <stp>BBG00PMFP1T5 FIGI</stp>
        <stp>CALC_MATURITY</stp>
        <stp>[DIF_Risk_20200430.xlsm]Geneva investment position repo!R52C55</stp>
        <tr r="BC52" s="1"/>
      </tp>
      <tp t="s">
        <v>#N/A Field Not Applicable</v>
        <stp/>
        <stp>##V3_BDPV12</stp>
        <stp>BBG00HDTX5P9 FIGI</stp>
        <stp>SECURITY_TYP2</stp>
        <stp>[DIF_Risk_20200430.xlsm]Geneva investment position repo!R111C21</stp>
        <tr r="U111" s="1"/>
      </tp>
      <tp t="s">
        <v>6/10/2019</v>
        <stp/>
        <stp>##V3_BDPV12</stp>
        <stp>BBG00PDL9DC2 FIGI</stp>
        <stp>MOODY_EFF_DT</stp>
        <stp>[DIF_Risk_20200430.xlsm]Geneva investment position repo!R92C72</stp>
        <tr r="BT92" s="1"/>
      </tp>
      <tp t="s">
        <v>Common Stock</v>
        <stp/>
        <stp>##V3_BDPV12</stp>
        <stp>BBG000BDW8M1 FIGI</stp>
        <stp>SECURITY_TYP2</stp>
        <stp>[DIF_Risk_20200430.xlsm]Geneva investment position repo!R14C21</stp>
        <tr r="U14" s="1"/>
      </tp>
      <tp t="s">
        <v>#N/A Field Not Applicable</v>
        <stp/>
        <stp>##V3_BDPV12</stp>
        <stp>BBG00LLFHRL5 FIGI</stp>
        <stp>CAPITAL_CONTINGENT_SECURITY</stp>
        <stp>[DIF_Risk_20200430.xlsm]Geneva investment position repo!R61C42</stp>
        <tr r="AP61" s="1"/>
      </tp>
      <tp t="s">
        <v>5/25/2023</v>
        <stp/>
        <stp>##V3_BDPV12</stp>
        <stp>BBG00KVGG4W4 FIGI</stp>
        <stp>CALC_MATURITY</stp>
        <stp>[DIF_Risk_20200430.xlsm]Geneva investment position repo!R83C55</stp>
        <tr r="BC83" s="1"/>
      </tp>
      <tp t="s">
        <v>7/24/2018</v>
        <stp/>
        <stp>##V3_BDPV12</stp>
        <stp>BBG00LJTWWM9 FIGI</stp>
        <stp>MOODY_EFF_DT</stp>
        <stp>[DIF_Risk_20200430.xlsm]Geneva investment position repo!R60C72</stp>
        <tr r="BT60" s="1"/>
      </tp>
      <tp t="s">
        <v>MO</v>
        <stp/>
        <stp>##V3_BDPV12</stp>
        <stp>BBG00RPXTZN6 FIGI</stp>
        <stp>CNTRY_OF_RISK</stp>
        <stp>[DIF_Risk_20200430.xlsm]Geneva investment position repo!R90C38</stp>
        <tr r="AL90" s="1"/>
      </tp>
      <tp t="s">
        <v>3/6/2021</v>
        <stp/>
        <stp>##V3_BDPV12</stp>
        <stp>BBG00K67R1J1 FIGI</stp>
        <stp>CALC_MATURITY</stp>
        <stp>[DIF_Risk_20200430.xlsm]Geneva investment position repo!R171C55</stp>
        <tr r="BC171" s="1"/>
      </tp>
      <tp t="s">
        <v>8/6/2028</v>
        <stp/>
        <stp>##V3_BDPV12</stp>
        <stp>BBG00LLFHRL5 FIGI</stp>
        <stp>CALC_MATURITY</stp>
        <stp>[DIF_Risk_20200430.xlsm]Geneva investment position repo!R61C55</stp>
        <tr r="BC61" s="1"/>
      </tp>
      <tp t="s">
        <v>4/10/2018</v>
        <stp/>
        <stp>##V3_BDPV12</stp>
        <stp>BBG00KDP8LC7 FIGI</stp>
        <stp>MOODY_EFF_DT</stp>
        <stp>[DIF_Risk_20200430.xlsm]Geneva investment position repo!R49C72</stp>
        <tr r="BT49" s="1"/>
      </tp>
      <tp t="s">
        <v>#N/A N/A</v>
        <stp/>
        <stp>##V3_BDPV12</stp>
        <stp>BBG00T2MWMJ1 FIGI</stp>
        <stp>FITCH_EFF_DT</stp>
        <stp>[DIF_Risk_20200430.xlsm]Geneva investment position repo!R128C73</stp>
        <tr r="BU128" s="1"/>
      </tp>
      <tp t="s">
        <v>#N/A Field Not Applicable</v>
        <stp/>
        <stp>##V3_BDPV12</stp>
        <stp>BBG00THTNZZ3 FIGI</stp>
        <stp>CAPITAL_CONTINGENT_SECURITY</stp>
        <stp>[DIF_Risk_20200430.xlsm]Geneva investment position repo!R125C42</stp>
        <tr r="AP125" s="1"/>
      </tp>
      <tp t="s">
        <v>#N/A Field Not Applicable</v>
        <stp/>
        <stp>##V3_BDPV12</stp>
        <stp>BBG00PKGT0Y7 FIGI</stp>
        <stp>CAPITAL_CONTINGENT_SECURITY</stp>
        <stp>[DIF_Risk_20200430.xlsm]Geneva investment position repo!R166C42</stp>
        <tr r="AP166" s="1"/>
      </tp>
      <tp t="s">
        <v>Banks</v>
        <stp/>
        <stp>##V3_BDPV12</stp>
        <stp>BBG00RDBJ3B2 FIGI</stp>
        <stp>INDUSTRY_GROUP</stp>
        <stp>[DIF_Risk_20200430.xlsm]Geneva investment position repo!R34C40</stp>
        <tr r="AN34" s="1"/>
      </tp>
      <tp t="s">
        <v>#N/A Field Not Applicable</v>
        <stp/>
        <stp>##V3_BDPV12</stp>
        <stp>BBG00NQF0SC2 FIGI</stp>
        <stp>CAPITAL_CONTINGENT_SECURITY</stp>
        <stp>[DIF_Risk_20200430.xlsm]Geneva investment position repo!R160C42</stp>
        <tr r="AP160" s="1"/>
      </tp>
      <tp t="s">
        <v>#N/A Field Not Applicable</v>
        <stp/>
        <stp>##V3_BDPV12</stp>
        <stp>BBG00RHHSFZ2 FIGI</stp>
        <stp>CAPITAL_CONTINGENT_SECURITY</stp>
        <stp>[DIF_Risk_20200430.xlsm]Geneva investment position repo!R122C42</stp>
        <tr r="AP122" s="1"/>
      </tp>
      <tp t="s">
        <v>1/9/2020</v>
        <stp/>
        <stp>##V3_BDPV12</stp>
        <stp>BBG00JVKTCJ1 FIGI</stp>
        <stp>MOODY_EFF_DT</stp>
        <stp>[DIF_Risk_20200430.xlsm]Geneva investment position repo!R110C72</stp>
        <tr r="BT110" s="1"/>
      </tp>
      <tp t="s">
        <v>4/17/2020</v>
        <stp/>
        <stp>##V3_BDPV12</stp>
        <stp>BBG00RHHSFZ2 FIGI</stp>
        <stp>MOODY_EFF_DT</stp>
        <stp>[DIF_Risk_20200430.xlsm]Geneva investment position repo!R122C72</stp>
        <tr r="BT122" s="1"/>
      </tp>
      <tp t="s">
        <v>#N/A Field Not Applicable</v>
        <stp/>
        <stp>##V3_BDPV12</stp>
        <stp>BBG00RD35MV1 FIGI</stp>
        <stp>CAPITAL_CONTINGENT_SECURITY</stp>
        <stp>[DIF_Risk_20200430.xlsm]Geneva investment position repo!R118C42</stp>
        <tr r="AP118" s="1"/>
      </tp>
      <tp t="s">
        <v>#N/A Field Not Applicable</v>
        <stp/>
        <stp>##V3_BDPV12</stp>
        <stp>BBG00CP5W6B3 FIGI</stp>
        <stp>CAPITAL_CONTINGENT_SECURITY</stp>
        <stp>[DIF_Risk_20200430.xlsm]Geneva investment position repo!R107C42</stp>
        <tr r="AP107" s="1"/>
      </tp>
      <tp t="s">
        <v>#N/A Field Not Applicable</v>
        <stp/>
        <stp>##V3_BDPV12</stp>
        <stp>BBG00HC2ZDQ9 FIGI</stp>
        <stp>CAPITAL_CONTINGENT_SECURITY</stp>
        <stp>[DIF_Risk_20200430.xlsm]Geneva investment position repo!R151C42</stp>
        <tr r="AP151" s="1"/>
      </tp>
      <tp t="s">
        <v>ACTV</v>
        <stp/>
        <stp>##V3_BDPV12</stp>
        <stp>BBG00KMRGS75 FIGI</stp>
        <stp>EXCH_MARKET_STATUS</stp>
        <stp>[DIF_Risk_20200430.xlsm]Geneva investment position repo!R152C44</stp>
        <tr r="AR152" s="1"/>
        <tr r="AR152" s="1"/>
      </tp>
      <tp t="s">
        <v>9/25/2019</v>
        <stp/>
        <stp>##V3_BDPV12</stp>
        <stp>BBG00QDN9PZ4 FIGI</stp>
        <stp>MOODY_EFF_DT</stp>
        <stp>[DIF_Risk_20200430.xlsm]Geneva investment position repo!R138C72</stp>
        <tr r="BT138" s="1"/>
      </tp>
      <tp t="s">
        <v>Real Estate</v>
        <stp/>
        <stp>##V3_BDPV12</stp>
        <stp>BBG005BTJ9P5 FIGI</stp>
        <stp>INDUSTRY_GROUP</stp>
        <stp>[DIF_Risk_20200430.xlsm]Geneva investment position repo!R65C40</stp>
        <tr r="AN65" s="1"/>
      </tp>
      <tp t="s">
        <v>JP</v>
        <stp/>
        <stp>##V3_BDPV12</stp>
        <stp>BBG00B6SDBV4 FIGI</stp>
        <stp>CNTRY_OF_RISK</stp>
        <stp>[DIF_Risk_20200430.xlsm]Geneva investment position repo!R115C38</stp>
        <tr r="AL115" s="1"/>
      </tp>
      <tp t="s">
        <v>#N/A Field Not Applicable</v>
        <stp/>
        <stp>##V3_BDPV12</stp>
        <stp>BBG00LD1QR26 FIGI</stp>
        <stp>CAPITAL_CONTINGENT_SECURITY</stp>
        <stp>[DIF_Risk_20200430.xlsm]Geneva investment position repo!R12C42</stp>
        <tr r="AP12" s="1"/>
      </tp>
      <tp t="s">
        <v>#N/A Field Not Applicable</v>
        <stp/>
        <stp>##V3_BDPV12</stp>
        <stp>BBG00NGWHP25 FIGI</stp>
        <stp>CAPITAL_CONTINGENT_SECURITY</stp>
        <stp>[DIF_Risk_20200430.xlsm]Geneva investment position repo!R29C42</stp>
        <tr r="AP29" s="1"/>
      </tp>
      <tp t="s">
        <v>#N/A Field Not Applicable</v>
        <stp/>
        <stp>##V3_BDPV12</stp>
        <stp>BBG00PDYXN26 FIGI</stp>
        <stp>SECURITY_TYP2</stp>
        <stp>[DIF_Risk_20200430.xlsm]Geneva investment position repo!R156C21</stp>
        <tr r="U156" s="1"/>
      </tp>
      <tp t="s">
        <v>#N/A Field Not Applicable</v>
        <stp/>
        <stp>##V3_BDPV12</stp>
        <stp>BBG00N6M20C8 FIGI</stp>
        <stp>SECURITY_TYP2</stp>
        <stp>[DIF_Risk_20200430.xlsm]Geneva investment position repo!R79C21</stp>
        <tr r="U79" s="1"/>
      </tp>
      <tp t="s">
        <v>CN</v>
        <stp/>
        <stp>##V3_BDPV12</stp>
        <stp>BBG00N2KDB12 FIGI</stp>
        <stp>CNTRY_OF_RISK</stp>
        <stp>[DIF_Risk_20200430.xlsm]Geneva investment position repo!R174C38</stp>
        <tr r="AL174" s="1"/>
      </tp>
      <tp t="s">
        <v>CN</v>
        <stp/>
        <stp>##V3_BDPV12</stp>
        <stp>BBG00K6FDF25 FIGI</stp>
        <stp>CNTRY_OF_RISK</stp>
        <stp>[DIF_Risk_20200430.xlsm]Geneva investment position repo!R101C38</stp>
        <tr r="AL101" s="1"/>
      </tp>
      <tp t="s">
        <v>#N/A Field Not Applicable</v>
        <stp/>
        <stp>##V3_BDPV12</stp>
        <stp>BBG00NHNXCH9 FIGI</stp>
        <stp>SECURITY_TYP2</stp>
        <stp>[DIF_Risk_20200430.xlsm]Geneva investment position repo!R179C21</stp>
        <tr r="U179" s="1"/>
      </tp>
      <tp t="s">
        <v>US</v>
        <stp/>
        <stp>##V3_BDPV12</stp>
        <stp>BBG00SXGDG60 FIGI</stp>
        <stp>CNTRY_OF_RISK</stp>
        <stp>[DIF_Risk_20200430.xlsm]Geneva investment position repo!R120C38</stp>
        <tr r="AL120" s="1"/>
      </tp>
      <tp t="s">
        <v>1/15/2021</v>
        <stp/>
        <stp>##V3_BDPV12</stp>
        <stp>BBG00N14RT60 FIGI</stp>
        <stp>CALC_MATURITY</stp>
        <stp>[DIF_Risk_20200430.xlsm]Geneva investment position repo!R153C55</stp>
        <tr r="BC153" s="1"/>
      </tp>
      <tp t="s">
        <v>7/29/2026</v>
        <stp/>
        <stp>##V3_BDPV12</stp>
        <stp>BBG00PSJPXV8 FIGI</stp>
        <stp>CALC_MATURITY</stp>
        <stp>[DIF_Risk_20200430.xlsm]Geneva investment position repo!R82C55</stp>
        <tr r="BC82" s="1"/>
      </tp>
      <tp t="s">
        <v>1/10/2020</v>
        <stp/>
        <stp>##V3_BDPV12</stp>
        <stp>BBG00RDBJ3B2 FIGI</stp>
        <stp>MOODY_EFF_DT</stp>
        <stp>[DIF_Risk_20200430.xlsm]Geneva investment position repo!R34C72</stp>
        <tr r="BT34" s="1"/>
      </tp>
      <tp t="s">
        <v>#N/A Field Not Applicable</v>
        <stp/>
        <stp>##V3_BDPV12</stp>
        <stp>BBG00S0GV953 FIGI</stp>
        <stp>SECURITY_TYP2</stp>
        <stp>[DIF_Risk_20200430.xlsm]Geneva investment position repo!R98C21</stp>
        <tr r="U98" s="1"/>
      </tp>
      <tp t="s">
        <v>4/29/2020</v>
        <stp/>
        <stp>##V3_BDPV12</stp>
        <stp>BBG00RTNXBH9 FIGI</stp>
        <stp>FITCH_EFF_DT</stp>
        <stp>[DIF_Risk_20200430.xlsm]Geneva investment position repo!R69C73</stp>
        <tr r="BU69" s="1"/>
      </tp>
      <tp t="s">
        <v>#N/A Field Not Applicable</v>
        <stp/>
        <stp>##V3_BDPV12</stp>
        <stp>BBG00PCCVDV7 FIGI</stp>
        <stp>SECURITY_TYP2</stp>
        <stp>[DIF_Risk_20200430.xlsm]Geneva investment position repo!R76C21</stp>
        <tr r="U76" s="1"/>
      </tp>
      <tp t="s">
        <v>10/5/2023</v>
        <stp/>
        <stp>##V3_BDPV12</stp>
        <stp>BBG00DXBXRD0 FIGI</stp>
        <stp>CALC_MATURITY</stp>
        <stp>[DIF_Risk_20200430.xlsm]Geneva investment position repo!R93C55</stp>
        <tr r="BC93" s="1"/>
      </tp>
      <tp t="s">
        <v>#N/A Field Not Applicable</v>
        <stp/>
        <stp>##V3_BDPV12</stp>
        <stp>BBG00GSCY4N6 FIGI</stp>
        <stp>SECURITY_TYP2</stp>
        <stp>[DIF_Risk_20200430.xlsm]Geneva investment position repo!R116C21</stp>
        <tr r="U116" s="1"/>
      </tp>
      <tp t="s">
        <v>9/3/2168</v>
        <stp/>
        <stp>##V3_BDPV12</stp>
        <stp>BBG00RYDYKF6 FIGI</stp>
        <stp>CALC_MATURITY</stp>
        <stp>[DIF_Risk_20200430.xlsm]Geneva investment position repo!R89C55</stp>
        <tr r="BC89" s="1"/>
      </tp>
      <tp t="s">
        <v>11/7/2019</v>
        <stp/>
        <stp>##V3_BDPV12</stp>
        <stp>BBG00DXBXRD0 FIGI</stp>
        <stp>FITCH_EFF_DT</stp>
        <stp>[DIF_Risk_20200430.xlsm]Geneva investment position repo!R93C73</stp>
        <tr r="BU93" s="1"/>
      </tp>
      <tp t="s">
        <v>#N/A Field Not Applicable</v>
        <stp/>
        <stp>##V3_BDPV12</stp>
        <stp>BBG00TDCM8F7 FIGI</stp>
        <stp>SECURITY_TYP2</stp>
        <stp>[DIF_Risk_20200430.xlsm]Geneva investment position repo!R38C21</stp>
        <tr r="U38" s="1"/>
      </tp>
      <tp t="s">
        <v>8/27/2021</v>
        <stp/>
        <stp>##V3_BDPV12</stp>
        <stp>BBG00LSRS878 FIGI</stp>
        <stp>CALC_MATURITY</stp>
        <stp>[DIF_Risk_20200430.xlsm]Geneva investment position repo!R104C55</stp>
        <tr r="BC104" s="1"/>
      </tp>
      <tp t="s">
        <v>4/13/2024</v>
        <stp/>
        <stp>##V3_BDPV12</stp>
        <stp>BBG00GDDS1Y1 FIGI</stp>
        <stp>CALC_MATURITY</stp>
        <stp>[DIF_Risk_20200430.xlsm]Geneva investment position repo!R109C55</stp>
        <tr r="BC109" s="1"/>
      </tp>
      <tp t="s">
        <v>#N/A Field Not Applicable</v>
        <stp/>
        <stp>##V3_BDPV12</stp>
        <stp>BBG00GTY47H0 FIGI</stp>
        <stp>FITCH_EFF_DT</stp>
        <stp>[DIF_Risk_20200430.xlsm]Geneva investment position repo!R26C73</stp>
        <tr r="BU26" s="1"/>
      </tp>
      <tp t="s">
        <v>ACTV</v>
        <stp/>
        <stp>##V3_BDPV12</stp>
        <stp>BBG00NDM7WZ0 FIGI</stp>
        <stp>EXCH_MARKET_STATUS</stp>
        <stp>[DIF_Risk_20200430.xlsm]Geneva investment position repo!R103C44</stp>
        <tr r="AR103" s="1"/>
        <tr r="AR103" s="1"/>
      </tp>
      <tp t="s">
        <v>Real Estate</v>
        <stp/>
        <stp>##V3_BDPV12</stp>
        <stp>BBG00PGHK257 FIGI</stp>
        <stp>INDUSTRY_GROUP</stp>
        <stp>[DIF_Risk_20200430.xlsm]Geneva investment position repo!R87C40</stp>
        <tr r="AN87" s="1"/>
      </tp>
      <tp t="s">
        <v>#N/A N/A</v>
        <stp/>
        <stp>##V3_BDPV12</stp>
        <stp>BBG00HVHMY65 FIGI</stp>
        <stp>FITCH_EFF_DT</stp>
        <stp>[DIF_Risk_20200430.xlsm]Geneva investment position repo!R119C73</stp>
        <tr r="BU119" s="1"/>
      </tp>
      <tp t="s">
        <v>#N/A N/A</v>
        <stp/>
        <stp>##V3_BDPV12</stp>
        <stp>BBG00PKD4F69 FIGI</stp>
        <stp>FITCH_EFF_DT</stp>
        <stp>[DIF_Risk_20200430.xlsm]Geneva investment position repo!R145C73</stp>
        <tr r="BU145" s="1"/>
      </tp>
      <tp t="s">
        <v>9/27/2019</v>
        <stp/>
        <stp>##V3_BDPV12</stp>
        <stp>BBG00NDM7WZ0 FIGI</stp>
        <stp>FITCH_EFF_DT</stp>
        <stp>[DIF_Risk_20200430.xlsm]Geneva investment position repo!R103C73</stp>
        <tr r="BU103" s="1"/>
      </tp>
      <tp t="s">
        <v>#N/A N/A</v>
        <stp/>
        <stp>##V3_BDPV12</stp>
        <stp>BBG00RYGHZS1 FIGI</stp>
        <stp>RTG_SP</stp>
        <stp>[DIF_Risk_20200430.xlsm]Geneva investment position repo!R51C31</stp>
        <tr r="AE51" s="1"/>
      </tp>
      <tp t="s">
        <v>ACTV</v>
        <stp/>
        <stp>##V3_BDPV12</stp>
        <stp>BBG00T2MWMJ1 FIGI</stp>
        <stp>EXCH_MARKET_STATUS</stp>
        <stp>[DIF_Risk_20200430.xlsm]Geneva investment position repo!R128C44</stp>
        <tr r="AR128" s="1"/>
        <tr r="AR128" s="1"/>
      </tp>
      <tp t="s">
        <v>Real Estate</v>
        <stp/>
        <stp>##V3_BDPV12</stp>
        <stp>BBG00S9HKR72 FIGI</stp>
        <stp>INDUSTRY_GROUP</stp>
        <stp>[DIF_Risk_20200430.xlsm]Geneva investment position repo!R36C40</stp>
        <tr r="AN36" s="1"/>
      </tp>
      <tp t="s">
        <v>BB</v>
        <stp/>
        <stp>##V3_BDPV12</stp>
        <stp>BBG00NGWHP25 FIGI</stp>
        <stp>RTG_SP</stp>
        <stp>[DIF_Risk_20200430.xlsm]Geneva investment position repo!R29C31</stp>
        <tr r="AE29" s="1"/>
        <tr r="AE29" s="1"/>
      </tp>
      <tp t="s">
        <v>BBB</v>
        <stp/>
        <stp>##V3_BDPV12</stp>
        <stp>BBG00LLFHRL5 FIGI</stp>
        <stp>RTG_SP</stp>
        <stp>[DIF_Risk_20200430.xlsm]Geneva investment position repo!R61C31</stp>
        <tr r="AE61" s="1"/>
        <tr r="AE61" s="1"/>
      </tp>
      <tp t="s">
        <v>5/21/2019</v>
        <stp/>
        <stp>##V3_BDPV12</stp>
        <stp>BBG00P7N38J5 FIGI</stp>
        <stp>MOODY_EFF_DT</stp>
        <stp>[DIF_Risk_20200430.xlsm]Geneva investment position repo!R175C72</stp>
        <tr r="BT175" s="1"/>
      </tp>
      <tp t="s">
        <v>ACTV</v>
        <stp/>
        <stp>##V3_BDPV12</stp>
        <stp>BBG00R9SLKK9 FIGI</stp>
        <stp>EXCH_MARKET_STATUS</stp>
        <stp>[DIF_Risk_20200430.xlsm]Geneva investment position repo!R148C44</stp>
        <tr r="AR148" s="1"/>
        <tr r="AR148" s="1"/>
      </tp>
      <tp t="s">
        <v>2/21/2022</v>
        <stp/>
        <stp>##V3_BDPV12</stp>
        <stp>BBG00NBG3YQ5 FIGI</stp>
        <stp>CALC_MATURITY</stp>
        <stp>[DIF_Risk_20200430.xlsm]Geneva investment position repo!R91C55</stp>
        <tr r="BC91" s="1"/>
      </tp>
      <tp t="s">
        <v>4/14/2021</v>
        <stp/>
        <stp>##V3_BDPV12</stp>
        <stp>BBG00CNK44T9 FIGI</stp>
        <stp>CALC_MATURITY</stp>
        <stp>[DIF_Risk_20200430.xlsm]Geneva investment position repo!R45C55</stp>
        <tr r="BC45" s="1"/>
      </tp>
      <tp t="s">
        <v>#N/A Field Not Applicable</v>
        <stp/>
        <stp>##V3_BDPV12</stp>
        <stp>BBG00K7D75S0 FIGI</stp>
        <stp>SECURITY_TYP2</stp>
        <stp>[DIF_Risk_20200430.xlsm]Geneva investment position repo!R75C21</stp>
        <tr r="U75" s="1"/>
      </tp>
      <tp t="s">
        <v>1/28/2031</v>
        <stp/>
        <stp>##V3_BDPV12</stp>
        <stp>BBG00RHHSFZ2 FIGI</stp>
        <stp>CALC_MATURITY</stp>
        <stp>[DIF_Risk_20200430.xlsm]Geneva investment position repo!R122C55</stp>
        <tr r="BC122" s="1"/>
      </tp>
      <tp t="s">
        <v>4/10/2019</v>
        <stp/>
        <stp>##V3_BDPV12</stp>
        <stp>BBG00NV886P8 FIGI</stp>
        <stp>MOODY_EFF_DT</stp>
        <stp>[DIF_Risk_20200430.xlsm]Geneva investment position repo!R72C72</stp>
        <tr r="BT72" s="1"/>
      </tp>
      <tp t="s">
        <v>10/30/2019</v>
        <stp/>
        <stp>##V3_BDPV12</stp>
        <stp>BBG00QN3F2R0 FIGI</stp>
        <stp>FITCH_EFF_DT</stp>
        <stp>[DIF_Risk_20200430.xlsm]Geneva investment position repo!R28C73</stp>
        <tr r="BU28" s="1"/>
      </tp>
      <tp t="s">
        <v>#N/A Field Not Applicable</v>
        <stp/>
        <stp>##V3_BDPV12</stp>
        <stp>BBG00D2WYB33 FIGI</stp>
        <stp>SECURITY_TYP2</stp>
        <stp>[DIF_Risk_20200430.xlsm]Geneva investment position repo!R126C21</stp>
        <tr r="U126" s="1"/>
      </tp>
      <tp t="s">
        <v>#N/A Field Not Applicable</v>
        <stp/>
        <stp>##V3_BDPV12</stp>
        <stp>BBG000MKLJD1 FIGI</stp>
        <stp>MOODY_EFF_DT</stp>
        <stp>[DIF_Risk_20200430.xlsm]Geneva investment position repo!R22C72</stp>
        <tr r="BT22" s="1"/>
      </tp>
      <tp t="s">
        <v>3/2/2021</v>
        <stp/>
        <stp>##V3_BDPV12</stp>
        <stp>BBG00MTKPX96 FIGI</stp>
        <stp>CALC_MATURITY</stp>
        <stp>[DIF_Risk_20200430.xlsm]Geneva investment position repo!R57C55</stp>
        <tr r="BC57" s="1"/>
      </tp>
      <tp t="s">
        <v>#N/A Field Not Applicable</v>
        <stp/>
        <stp>##V3_BDPV12</stp>
        <stp>BBG00JC8V4T3 FIGI</stp>
        <stp>SECURITY_TYP2</stp>
        <stp>[DIF_Risk_20200430.xlsm]Geneva investment position repo!R176C21</stp>
        <tr r="U176" s="1"/>
      </tp>
      <tp t="s">
        <v>#N/A Field Not Applicable</v>
        <stp/>
        <stp>##V3_BDPV12</stp>
        <stp>BBG00RPNYQB5 FIGI</stp>
        <stp>SECURITY_TYP2</stp>
        <stp>[DIF_Risk_20200430.xlsm]Geneva investment position repo!R47C21</stp>
        <tr r="U47" s="1"/>
      </tp>
      <tp t="s">
        <v>2/20/2019</v>
        <stp/>
        <stp>##V3_BDPV12</stp>
        <stp>BBG00NBG3YQ5 FIGI</stp>
        <stp>FITCH_EFF_DT</stp>
        <stp>[DIF_Risk_20200430.xlsm]Geneva investment position repo!R91C73</stp>
        <tr r="BU91" s="1"/>
      </tp>
      <tp t="s">
        <v>#N/A Field Not Applicable</v>
        <stp/>
        <stp>##V3_BDPV12</stp>
        <stp>BBG00RTNXBH9 FIGI</stp>
        <stp>CAPITAL_CONTINGENT_SECURITY</stp>
        <stp>[DIF_Risk_20200430.xlsm]Geneva investment position repo!R69C42</stp>
        <tr r="AP69" s="1"/>
      </tp>
      <tp t="s">
        <v>2/27/2020</v>
        <stp/>
        <stp>##V3_BDPV12</stp>
        <stp>BBG00RYF5CJ7 FIGI</stp>
        <stp>FITCH_EFF_DT</stp>
        <stp>[DIF_Risk_20200430.xlsm]Geneva investment position repo!R35C73</stp>
        <tr r="BU35" s="1"/>
      </tp>
      <tp t="s">
        <v>#N/A Field Not Applicable</v>
        <stp/>
        <stp>##V3_BDPV12</stp>
        <stp>BBG00QRVV8P5 FIGI</stp>
        <stp>SECURITY_TYP2</stp>
        <stp>[DIF_Risk_20200430.xlsm]Geneva investment position repo!R131C21</stp>
        <tr r="U131" s="1"/>
      </tp>
      <tp t="s">
        <v>#N/A Field Not Applicable</v>
        <stp/>
        <stp>##V3_BDPV12</stp>
        <stp>BBG00R9SNB81 FIGI</stp>
        <stp>CAPITAL_CONTINGENT_SECURITY</stp>
        <stp>[DIF_Risk_20200430.xlsm]Geneva investment position repo!R64C42</stp>
        <tr r="AP64" s="1"/>
      </tp>
      <tp t="s">
        <v>#N/A Field Not Applicable</v>
        <stp/>
        <stp>##V3_BDPV12</stp>
        <stp>BBG00SYNG075 FIGI</stp>
        <stp>SECURITY_TYP2</stp>
        <stp>[DIF_Risk_20200430.xlsm]Geneva investment position repo!R40C21</stp>
        <tr r="U40" s="1"/>
      </tp>
      <tp t="s">
        <v>CN</v>
        <stp/>
        <stp>##V3_BDPV12</stp>
        <stp>BBG00NG9J699 FIGI</stp>
        <stp>CNTRY_OF_RISK</stp>
        <stp>[DIF_Risk_20200430.xlsm]Geneva investment position repo!R139C38</stp>
        <tr r="AL139" s="1"/>
      </tp>
      <tp t="s">
        <v>#N/A Field Not Applicable</v>
        <stp/>
        <stp>##V3_BDPV12</stp>
        <stp>BBG00QRVV6Z8 FIGI</stp>
        <stp>SECURITY_TYP2</stp>
        <stp>[DIF_Risk_20200430.xlsm]Geneva investment position repo!R155C21</stp>
        <tr r="U155" s="1"/>
      </tp>
      <tp t="s">
        <v>#N/A N/A</v>
        <stp/>
        <stp>##V3_BDPV12</stp>
        <stp>BBG00PKGTF65 FIGI</stp>
        <stp>FITCH_EFF_DT</stp>
        <stp>[DIF_Risk_20200430.xlsm]Geneva investment position repo!R164C73</stp>
        <tr r="BU164" s="1"/>
      </tp>
      <tp t="s">
        <v>#N/A N/A</v>
        <stp/>
        <stp>##V3_BDPV12</stp>
        <stp>BBG00TDCM2R7 FIGI</stp>
        <stp>MOODY_EFF_DT</stp>
        <stp>[DIF_Risk_20200430.xlsm]Geneva investment position repo!R147C72</stp>
        <tr r="BT147" s="1"/>
      </tp>
      <tp t="s">
        <v>BBB+</v>
        <stp/>
        <stp>##V3_BDPV12</stp>
        <stp>BBG00SYNG075 FIGI</stp>
        <stp>RTG_SP</stp>
        <stp>[DIF_Risk_20200430.xlsm]Geneva investment position repo!R40C31</stp>
        <tr r="AE40" s="1"/>
        <tr r="AE40" s="1"/>
      </tp>
      <tp t="s">
        <v>Diversified Finan Serv</v>
        <stp/>
        <stp>##V3_BDPV12</stp>
        <stp>BBG00M0MD1Z7 FIGI</stp>
        <stp>INDUSTRY_GROUP</stp>
        <stp>[DIF_Risk_20200430.xlsm]Geneva investment position repo!R55C40</stp>
        <tr r="AN55" s="1"/>
      </tp>
      <tp t="s">
        <v>#N/A N/A</v>
        <stp/>
        <stp>##V3_BDPV12</stp>
        <stp>BBG00H4BZMF0 FIGI</stp>
        <stp>FITCH_EFF_DT</stp>
        <stp>[DIF_Risk_20200430.xlsm]Geneva investment position repo!R130C73</stp>
        <tr r="BU130" s="1"/>
      </tp>
      <tp t="s">
        <v>#N/A N/A</v>
        <stp/>
        <stp>##V3_BDPV12</stp>
        <stp>BBG00NQDZNG6 FIGI</stp>
        <stp>FITCH_EFF_DT</stp>
        <stp>[DIF_Risk_20200430.xlsm]Geneva investment position repo!R178C73</stp>
        <tr r="BU178" s="1"/>
      </tp>
      <tp t="s">
        <v>Energy-Alternate Sources</v>
        <stp/>
        <stp>##V3_BDPV12</stp>
        <stp>BBG00PSJD0B5 FIGI</stp>
        <stp>INDUSTRY_GROUP</stp>
        <stp>[DIF_Risk_20200430.xlsm]Geneva investment position repo!R81C40</stp>
        <tr r="AN81" s="1"/>
      </tp>
      <tp t="s">
        <v>#N/A Field Not Applicable</v>
        <stp/>
        <stp>##V3_BDPV12</stp>
        <stp>BBG00JVKTCJ1 FIGI</stp>
        <stp>CAPITAL_CONTINGENT_SECURITY</stp>
        <stp>[DIF_Risk_20200430.xlsm]Geneva investment position repo!R110C42</stp>
        <tr r="AP110" s="1"/>
      </tp>
      <tp t="s">
        <v>BBB+</v>
        <stp/>
        <stp>##V3_BDPV12</stp>
        <stp>BBG00KVGG4W4 FIGI</stp>
        <stp>RTG_SP</stp>
        <stp>[DIF_Risk_20200430.xlsm]Geneva investment position repo!R83C31</stp>
        <tr r="AE83" s="1"/>
        <tr r="AE83" s="1"/>
      </tp>
      <tp t="s">
        <v>ACTV</v>
        <stp/>
        <stp>##V3_BDPV12</stp>
        <stp>BBG00NB7HXS0 FIGI</stp>
        <stp>EXCH_MARKET_STATUS</stp>
        <stp>[DIF_Risk_20200430.xlsm]Geneva investment position repo!R143C44</stp>
        <tr r="AR143" s="1"/>
        <tr r="AR143" s="1"/>
      </tp>
      <tp t="s">
        <v>#N/A N/A</v>
        <stp/>
        <stp>##V3_BDPV12</stp>
        <stp>BBG00N0J9QB8 FIGI</stp>
        <stp>FITCH_EFF_DT</stp>
        <stp>[DIF_Risk_20200430.xlsm]Geneva investment position repo!R132C73</stp>
        <tr r="BU132" s="1"/>
      </tp>
      <tp t="s">
        <v>BB-</v>
        <stp/>
        <stp>##V3_BDPV12</stp>
        <stp>BBG00LVCGFZ3 FIGI</stp>
        <stp>RTG_SP</stp>
        <stp>[DIF_Risk_20200430.xlsm]Geneva investment position repo!R77C31</stp>
        <tr r="AE77" s="1"/>
        <tr r="AE77" s="1"/>
      </tp>
      <tp t="s">
        <v>ACTV</v>
        <stp/>
        <stp>##V3_BDPV12</stp>
        <stp>BBG00PKGTF65 FIGI</stp>
        <stp>EXCH_MARKET_STATUS</stp>
        <stp>[DIF_Risk_20200430.xlsm]Geneva investment position repo!R164C44</stp>
        <tr r="AR164" s="1"/>
        <tr r="AR164" s="1"/>
      </tp>
      <tp t="s">
        <v>ACTV</v>
        <stp/>
        <stp>##V3_BDPV12</stp>
        <stp>BBG00PKD4F69 FIGI</stp>
        <stp>EXCH_MARKET_STATUS</stp>
        <stp>[DIF_Risk_20200430.xlsm]Geneva investment position repo!R145C44</stp>
        <tr r="AR145" s="1"/>
        <tr r="AR145" s="1"/>
      </tp>
      <tp t="s">
        <v>REITS</v>
        <stp/>
        <stp>##V3_BDPV12</stp>
        <stp>BBG000P9D267 FIGI</stp>
        <stp>INDUSTRY_GROUP</stp>
        <stp>[DIF_Risk_20200430.xlsm]Geneva investment position repo!R20C40</stp>
        <tr r="AN20" s="1"/>
      </tp>
      <tp t="s">
        <v>Real Estate</v>
        <stp/>
        <stp>##V3_BDPV12</stp>
        <stp>BBG00QYPDPC6 FIGI</stp>
        <stp>INDUSTRY_GROUP</stp>
        <stp>[DIF_Risk_20200430.xlsm]Geneva investment position repo!R68C40</stp>
        <tr r="AN68" s="1"/>
      </tp>
      <tp t="s">
        <v>1/23/2020</v>
        <stp/>
        <stp>##V3_BDPV12</stp>
        <stp>BBG00Q2B8JR6 FIGI</stp>
        <stp>MOODY_EFF_DT</stp>
        <stp>[DIF_Risk_20200430.xlsm]Geneva investment position repo!R170C72</stp>
        <tr r="BT170" s="1"/>
      </tp>
      <tp t="s">
        <v>#N/A N/A</v>
        <stp/>
        <stp>##V3_BDPV12</stp>
        <stp>BBG00RH7GJ34 FIGI</stp>
        <stp>RTG_SP</stp>
        <stp>[DIF_Risk_20200430.xlsm]Geneva investment position repo!R67C31</stp>
        <tr r="AE67" s="1"/>
      </tp>
      <tp t="s">
        <v>ACTV</v>
        <stp/>
        <stp>##V3_BDPV12</stp>
        <stp>BBG00P1GZFC2 FIGI</stp>
        <stp>EXCH_MARKET_STATUS</stp>
        <stp>[DIF_Risk_20200430.xlsm]Geneva investment position repo!R112C44</stp>
        <tr r="AR112" s="1"/>
        <tr r="AR112" s="1"/>
      </tp>
      <tp t="s">
        <v>#N/A N/A</v>
        <stp/>
        <stp>##V3_BDPV12</stp>
        <stp>BBG00NQF0SC2 FIGI</stp>
        <stp>MOODY_EFF_DT</stp>
        <stp>[DIF_Risk_20200430.xlsm]Geneva investment position repo!R160C72</stp>
        <tr r="BT160" s="1"/>
      </tp>
      <tp t="s">
        <v>#N/A Field Not Applicable</v>
        <stp/>
        <stp>##V3_BDPV12</stp>
        <stp>BBG00RD4VH41 FIGI</stp>
        <stp>SECURITY_TYP2</stp>
        <stp>[DIF_Risk_20200430.xlsm]Geneva investment position repo!R106C21</stp>
        <tr r="U106" s="1"/>
      </tp>
      <tp t="s">
        <v>#N/A Field Not Applicable</v>
        <stp/>
        <stp>##V3_BDPV12</stp>
        <stp>BBG00N2K8LG0 FIGI</stp>
        <stp>SECURITY_TYP2</stp>
        <stp>[DIF_Risk_20200430.xlsm]Geneva investment position repo!R43C21</stp>
        <tr r="U43" s="1"/>
      </tp>
      <tp t="s">
        <v>12/20/2168</v>
        <stp/>
        <stp>##V3_BDPV12</stp>
        <stp>BBG00PDL9DV1 FIGI</stp>
        <stp>CALC_MATURITY</stp>
        <stp>[DIF_Risk_20200430.xlsm]Geneva investment position repo!R53C55</stp>
        <tr r="BC53" s="1"/>
      </tp>
      <tp t="s">
        <v>#N/A Field Not Applicable</v>
        <stp/>
        <stp>##V3_BDPV12</stp>
        <stp>BBG00BWQ0R57 FIGI</stp>
        <stp>CAPITAL_CONTINGENT_SECURITY</stp>
        <stp>[DIF_Risk_20200430.xlsm]Geneva investment position repo!R62C42</stp>
        <tr r="AP62" s="1"/>
      </tp>
      <tp t="s">
        <v>CN</v>
        <stp/>
        <stp>##V3_BDPV12</stp>
        <stp>BBG00N0Q0RS1 FIGI</stp>
        <stp>CNTRY_OF_RISK</stp>
        <stp>[DIF_Risk_20200430.xlsm]Geneva investment position repo!R50C38</stp>
        <tr r="AL50" s="1"/>
      </tp>
      <tp t="s">
        <v>#N/A Field Not Applicable</v>
        <stp/>
        <stp>##V3_BDPV12</stp>
        <stp>BBG00R9LVRX4 FIGI</stp>
        <stp>SECURITY_TYP2</stp>
        <stp>[DIF_Risk_20200430.xlsm]Geneva investment position repo!R172C21</stp>
        <tr r="U172" s="1"/>
      </tp>
      <tp t="s">
        <v>CN</v>
        <stp/>
        <stp>##V3_BDPV12</stp>
        <stp>BBG00NWVJPB7 FIGI</stp>
        <stp>CNTRY_OF_RISK</stp>
        <stp>[DIF_Risk_20200430.xlsm]Geneva investment position repo!R141C38</stp>
        <tr r="AL141" s="1"/>
      </tp>
      <tp t="s">
        <v>#N/A Field Not Applicable</v>
        <stp/>
        <stp>##V3_BDPV12</stp>
        <stp>BBG00LJTVJR4 FIGI</stp>
        <stp>SECURITY_TYP2</stp>
        <stp>[DIF_Risk_20200430.xlsm]Geneva investment position repo!R154C21</stp>
        <tr r="U154" s="1"/>
      </tp>
      <tp t="s">
        <v>#N/A Field Not Applicable</v>
        <stp/>
        <stp>##V3_BDPV12</stp>
        <stp>BBG00TJ8VS75 FIGI</stp>
        <stp>SECURITY_TYP2</stp>
        <stp>[DIF_Risk_20200430.xlsm]Geneva investment position repo!R167C21</stp>
        <tr r="U167" s="1"/>
      </tp>
      <tp t="s">
        <v>Y</v>
        <stp/>
        <stp>##V3_BDPV12</stp>
        <stp>BBG00RYF5CJ7 FIGI</stp>
        <stp>CAPITAL_CONTINGENT_SECURITY</stp>
        <stp>[DIF_Risk_20200430.xlsm]Geneva investment position repo!R35C42</stp>
        <tr r="AP35" s="1"/>
        <tr r="AP35" s="1"/>
      </tp>
      <tp t="s">
        <v>9/10/2019</v>
        <stp/>
        <stp>##V3_BDPV12</stp>
        <stp>BBG00PDL9DV1 FIGI</stp>
        <stp>FITCH_EFF_DT</stp>
        <stp>[DIF_Risk_20200430.xlsm]Geneva investment position repo!R53C73</stp>
        <tr r="BU53" s="1"/>
      </tp>
      <tp t="s">
        <v>#N/A N/A</v>
        <stp/>
        <stp>##V3_BDPV12</stp>
        <stp>BBG00RPNYQB5 FIGI</stp>
        <stp>FITCH_EFF_DT</stp>
        <stp>[DIF_Risk_20200430.xlsm]Geneva investment position repo!R47C73</stp>
        <tr r="BU47" s="1"/>
      </tp>
      <tp t="s">
        <v>#N/A Field Not Applicable</v>
        <stp/>
        <stp>##V3_BDPV12</stp>
        <stp>BBG00Q3NXL14 FIGI</stp>
        <stp>SECURITY_TYP2</stp>
        <stp>[DIF_Risk_20200430.xlsm]Geneva investment position repo!R59C21</stp>
        <tr r="U59" s="1"/>
      </tp>
      <tp t="s">
        <v>CN</v>
        <stp/>
        <stp>##V3_BDPV12</stp>
        <stp>BBG005BTJ9P5 FIGI</stp>
        <stp>CNTRY_OF_RISK</stp>
        <stp>[DIF_Risk_20200430.xlsm]Geneva investment position repo!R65C38</stp>
        <tr r="AL65" s="1"/>
      </tp>
      <tp t="s">
        <v>#N/A Field Not Applicable</v>
        <stp/>
        <stp>##V3_BDPV12</stp>
        <stp>BBG00LVCWLT9 FIGI</stp>
        <stp>SECURITY_TYP2</stp>
        <stp>[DIF_Risk_20200430.xlsm]Geneva investment position repo!R42C21</stp>
        <tr r="U42" s="1"/>
      </tp>
      <tp t="s">
        <v>CN</v>
        <stp/>
        <stp>##V3_BDPV12</stp>
        <stp>BBG00R9SN7F2 FIGI</stp>
        <stp>CNTRY_OF_RISK</stp>
        <stp>[DIF_Risk_20200430.xlsm]Geneva investment position repo!R63C38</stp>
        <tr r="AL63" s="1"/>
      </tp>
      <tp t="s">
        <v>#N/A Field Not Applicable</v>
        <stp/>
        <stp>##V3_BDPV12</stp>
        <stp>BBG00CP5W6B3 FIGI</stp>
        <stp>SECURITY_TYP2</stp>
        <stp>[DIF_Risk_20200430.xlsm]Geneva investment position repo!R107C21</stp>
        <tr r="U107" s="1"/>
      </tp>
      <tp t="s">
        <v>5/1/2169</v>
        <stp/>
        <stp>##V3_BDPV12</stp>
        <stp>BBG00RPJBQ56 FIGI</stp>
        <stp>CALC_MATURITY</stp>
        <stp>[DIF_Risk_20200430.xlsm]Geneva investment position repo!R27C55</stp>
        <tr r="BC27" s="1"/>
      </tp>
      <tp t="s">
        <v>Common Stock</v>
        <stp/>
        <stp>##V3_BDPV12</stp>
        <stp>BBG000MKLJD1 FIGI</stp>
        <stp>SECURITY_TYP2</stp>
        <stp>[DIF_Risk_20200430.xlsm]Geneva investment position repo!R22C21</stp>
        <tr r="U22" s="1"/>
      </tp>
      <tp t="s">
        <v>CN</v>
        <stp/>
        <stp>##V3_BDPV12</stp>
        <stp>BBG00NB7K829 FIGI</stp>
        <stp>CNTRY_OF_RISK</stp>
        <stp>[DIF_Risk_20200430.xlsm]Geneva investment position repo!R162C38</stp>
        <tr r="AL162" s="1"/>
      </tp>
      <tp t="s">
        <v>#N/A Field Not Applicable</v>
        <stp/>
        <stp>##V3_BDPV12</stp>
        <stp>BBG00S9HKR72 FIGI</stp>
        <stp>SECURITY_TYP2</stp>
        <stp>[DIF_Risk_20200430.xlsm]Geneva investment position repo!R36C21</stp>
        <tr r="U36" s="1"/>
      </tp>
      <tp t="s">
        <v>#N/A Field Not Applicable</v>
        <stp/>
        <stp>##V3_BDPV12</stp>
        <stp>BBG00QQ1W050 FIGI</stp>
        <stp>SECURITY_TYP2</stp>
        <stp>[DIF_Risk_20200430.xlsm]Geneva investment position repo!R149C21</stp>
        <tr r="U149" s="1"/>
      </tp>
      <tp t="s">
        <v>#N/A Field Not Applicable</v>
        <stp/>
        <stp>##V3_BDPV12</stp>
        <stp>BBG00M0MD1Z7 FIGI</stp>
        <stp>SECURITY_TYP2</stp>
        <stp>[DIF_Risk_20200430.xlsm]Geneva investment position repo!R55C21</stp>
        <tr r="U55" s="1"/>
      </tp>
      <tp t="s">
        <v>7/24/2024</v>
        <stp/>
        <stp>##V3_BDPV12</stp>
        <stp>BBG00H5KNJZ7 FIGI</stp>
        <stp>CALC_MATURITY</stp>
        <stp>[DIF_Risk_20200430.xlsm]Geneva investment position repo!R80C55</stp>
        <tr r="BC80" s="1"/>
      </tp>
      <tp t="s">
        <v>#N/A N/A</v>
        <stp/>
        <stp>##V3_BDPV12</stp>
        <stp>BBG005BTJ9P5 FIGI</stp>
        <stp>FITCH_EFF_DT</stp>
        <stp>[DIF_Risk_20200430.xlsm]Geneva investment position repo!R65C73</stp>
        <tr r="BU65" s="1"/>
      </tp>
      <tp t="s">
        <v>#N/A N/A</v>
        <stp/>
        <stp>##V3_BDPV12</stp>
        <stp>BBG00QN3F2R0 FIGI</stp>
        <stp>RTG_SP</stp>
        <stp>[DIF_Risk_20200430.xlsm]Geneva investment position repo!R28C31</stp>
        <tr r="AE28" s="1"/>
      </tp>
      <tp>
        <v>5.55561106302694</v>
        <stp/>
        <stp>##V3_BDPV12</stp>
        <stp>USY8137FAR92 ISIN</stp>
        <stp>DUR_ADJ_MID</stp>
        <stp>[DIF_Risk_20200430.xlsm]Geneva investment position repo!R146C59</stp>
        <tr r="BG146" s="1"/>
      </tp>
      <tp t="s">
        <v>9/2/2019</v>
        <stp/>
        <stp>##V3_BDPV12</stp>
        <stp>BBG00K6FDF25 FIGI</stp>
        <stp>FITCH_EFF_DT</stp>
        <stp>[DIF_Risk_20200430.xlsm]Geneva investment position repo!R101C73</stp>
        <tr r="BU101" s="1"/>
      </tp>
      <tp t="s">
        <v>4/13/2020</v>
        <stp/>
        <stp>##V3_BDPV12</stp>
        <stp>BBG00P1GZFC2 FIGI</stp>
        <stp>MOODY_EFF_DT</stp>
        <stp>[DIF_Risk_20200430.xlsm]Geneva investment position repo!R112C72</stp>
        <tr r="BT112" s="1"/>
      </tp>
      <tp t="s">
        <v>5/22/2017</v>
        <stp/>
        <stp>##V3_BDPV12</stp>
        <stp>BBG00GSCY4N6 FIGI</stp>
        <stp>MOODY_EFF_DT</stp>
        <stp>[DIF_Risk_20200430.xlsm]Geneva investment position repo!R116C72</stp>
        <tr r="BT116" s="1"/>
      </tp>
      <tp t="s">
        <v>#N/A Field Not Applicable</v>
        <stp/>
        <stp>##V3_BDPV12</stp>
        <stp>BBG00GDDS1Y1 FIGI</stp>
        <stp>CAPITAL_CONTINGENT_SECURITY</stp>
        <stp>[DIF_Risk_20200430.xlsm]Geneva investment position repo!R109C42</stp>
        <tr r="AP109" s="1"/>
      </tp>
      <tp t="s">
        <v>#N/A Field Not Applicable</v>
        <stp/>
        <stp>##V3_BDPV12</stp>
        <stp>BBG00GSCY4N6 FIGI</stp>
        <stp>CAPITAL_CONTINGENT_SECURITY</stp>
        <stp>[DIF_Risk_20200430.xlsm]Geneva investment position repo!R116C42</stp>
        <tr r="AP116" s="1"/>
      </tp>
      <tp t="s">
        <v>4/8/2020</v>
        <stp/>
        <stp>##V3_BDPV12</stp>
        <stp>BBG00GDDS1Y1 FIGI</stp>
        <stp>MOODY_EFF_DT</stp>
        <stp>[DIF_Risk_20200430.xlsm]Geneva investment position repo!R109C72</stp>
        <tr r="BT109" s="1"/>
      </tp>
      <tp t="s">
        <v>#N/A N/A</v>
        <stp/>
        <stp>##V3_BDPV12</stp>
        <stp>BBG00LNF6KZ5 FIGI</stp>
        <stp>FITCH_EFF_DT</stp>
        <stp>[DIF_Risk_20200430.xlsm]Geneva investment position repo!R144C73</stp>
        <tr r="BU144" s="1"/>
      </tp>
      <tp t="s">
        <v>BB</v>
        <stp/>
        <stp>##V3_BDPV12</stp>
        <stp>BBG00QJ3FR72 FIGI</stp>
        <stp>RTG_SP</stp>
        <stp>[DIF_Risk_20200430.xlsm]Geneva investment position repo!R37C31</stp>
        <tr r="AE37" s="1"/>
        <tr r="AE37" s="1"/>
      </tp>
      <tp t="s">
        <v>B</v>
        <stp/>
        <stp>##V3_BDPV12</stp>
        <stp>BBG00FP0FP88 FIGI</stp>
        <stp>RTG_SP</stp>
        <stp>[DIF_Risk_20200430.xlsm]Geneva investment position repo!R96C31</stp>
        <tr r="AE96" s="1"/>
        <tr r="AE96" s="1"/>
      </tp>
      <tp t="s">
        <v>#N/A N/A</v>
        <stp/>
        <stp>##V3_BDPV12</stp>
        <stp>BBG00RRMFK74 FIGI</stp>
        <stp>RTG_SP</stp>
        <stp>[DIF_Risk_20200430.xlsm]Geneva investment position repo!R41C31</stp>
        <tr r="AE41" s="1"/>
      </tp>
      <tp t="s">
        <v>#N/A Field Not Applicable</v>
        <stp/>
        <stp>##V3_BDPV12</stp>
        <stp>BBG00T2MWMJ1 FIGI</stp>
        <stp>SECURITY_TYP2</stp>
        <stp>[DIF_Risk_20200430.xlsm]Geneva investment position repo!R128C21</stp>
        <tr r="U128" s="1"/>
      </tp>
      <tp t="s">
        <v>#N/A Field Not Applicable</v>
        <stp/>
        <stp>##V3_BDPV12</stp>
        <stp>BBG00N14WRV0 FIGI</stp>
        <stp>SECURITY_TYP2</stp>
        <stp>[DIF_Risk_20200430.xlsm]Geneva investment position repo!R142C21</stp>
        <tr r="U142" s="1"/>
      </tp>
      <tp t="s">
        <v>SG</v>
        <stp/>
        <stp>##V3_BDPV12</stp>
        <stp>BBG00KMQKL04 FIGI</stp>
        <stp>CNTRY_OF_RISK</stp>
        <stp>[DIF_Risk_20200430.xlsm]Geneva investment position repo!R169C38</stp>
        <tr r="AL169" s="1"/>
      </tp>
      <tp t="s">
        <v>BBG005BTJ9P5</v>
        <stp/>
        <stp>##V3_BDPV12</stp>
        <stp>USG24524AH67 ISIN</stp>
        <stp>ID_BB_GLOBAL</stp>
        <stp>[DIF_Risk_20200430.xlsm]Geneva investment position repo!R65C18</stp>
        <tr r="R65" s="1"/>
      </tp>
      <tp t="s">
        <v>#N/A Field Not Applicable</v>
        <stp/>
        <stp>##V3_BDPV12</stp>
        <stp>BBG00S6SWBM6 FIGI</stp>
        <stp>SECURITY_TYP2</stp>
        <stp>[DIF_Risk_20200430.xlsm]Geneva investment position repo!R158C21</stp>
        <tr r="U158" s="1"/>
      </tp>
      <tp t="s">
        <v>#N/A Field Not Applicable</v>
        <stp/>
        <stp>##V3_BDPV12</stp>
        <stp>BBG00MKJ4690 FIGI</stp>
        <stp>SECURITY_TYP2</stp>
        <stp>[DIF_Risk_20200430.xlsm]Geneva investment position repo!R54C21</stp>
        <tr r="U54" s="1"/>
      </tp>
      <tp t="s">
        <v>#N/A Field Not Applicable</v>
        <stp/>
        <stp>##V3_BDPV12</stp>
        <stp>BBG00PSJ40G0 FIGI</stp>
        <stp>SECURITY_TYP2</stp>
        <stp>[DIF_Risk_20200430.xlsm]Geneva investment position repo!R97C21</stp>
        <tr r="U97" s="1"/>
      </tp>
      <tp t="s">
        <v>#N/A Field Not Applicable</v>
        <stp/>
        <stp>##V3_BDPV12</stp>
        <stp>BBG00RPXWXD8 FIGI</stp>
        <stp>SECURITY_TYP2</stp>
        <stp>[DIF_Risk_20200430.xlsm]Geneva investment position repo!R173C21</stp>
        <tr r="U173" s="1"/>
      </tp>
      <tp t="s">
        <v>ID</v>
        <stp/>
        <stp>##V3_BDPV12</stp>
        <stp>BBG00RCY5V08 FIGI</stp>
        <stp>CNTRY_OF_RISK</stp>
        <stp>[DIF_Risk_20200430.xlsm]Geneva investment position repo!R39C38</stp>
        <tr r="AL39" s="1"/>
      </tp>
      <tp t="s">
        <v>2/28/2029</v>
        <stp/>
        <stp>##V3_BDPV12</stp>
        <stp>BBG00NDMRLH2 FIGI</stp>
        <stp>CALC_MATURITY</stp>
        <stp>[DIF_Risk_20200430.xlsm]Geneva investment position repo!R58C55</stp>
        <tr r="BC58" s="1"/>
      </tp>
      <tp t="s">
        <v>7/25/2019</v>
        <stp/>
        <stp>##V3_BDPV12</stp>
        <stp>BBG00PSJD0B5 FIGI</stp>
        <stp>FITCH_EFF_DT</stp>
        <stp>[DIF_Risk_20200430.xlsm]Geneva investment position repo!R81C73</stp>
        <tr r="BU81" s="1"/>
      </tp>
      <tp t="s">
        <v>CN</v>
        <stp/>
        <stp>##V3_BDPV12</stp>
        <stp>BBG00NGWHP25 FIGI</stp>
        <stp>CNTRY_OF_RISK</stp>
        <stp>[DIF_Risk_20200430.xlsm]Geneva investment position repo!R29C38</stp>
        <tr r="AL29" s="1"/>
      </tp>
      <tp t="s">
        <v>CN</v>
        <stp/>
        <stp>##V3_BDPV12</stp>
        <stp>BBG00R9SNB81 FIGI</stp>
        <stp>CNTRY_OF_RISK</stp>
        <stp>[DIF_Risk_20200430.xlsm]Geneva investment position repo!R64C38</stp>
        <tr r="AL64" s="1"/>
      </tp>
      <tp t="s">
        <v>1/29/2025</v>
        <stp/>
        <stp>##V3_BDPV12</stp>
        <stp>BBG00PSJD0B5 FIGI</stp>
        <stp>CALC_MATURITY</stp>
        <stp>[DIF_Risk_20200430.xlsm]Geneva investment position repo!R81C55</stp>
        <tr r="BC81" s="1"/>
      </tp>
      <tp t="s">
        <v>#N/A Field Not Applicable</v>
        <stp/>
        <stp>##V3_BDPV12</stp>
        <stp>BBG00PKGT0Y7 FIGI</stp>
        <stp>SECURITY_TYP2</stp>
        <stp>[DIF_Risk_20200430.xlsm]Geneva investment position repo!R166C21</stp>
        <tr r="U166" s="1"/>
      </tp>
      <tp t="s">
        <v>6/27/2022</v>
        <stp/>
        <stp>##V3_BDPV12</stp>
        <stp>BBG00PGHK257 FIGI</stp>
        <stp>CALC_MATURITY</stp>
        <stp>[DIF_Risk_20200430.xlsm]Geneva investment position repo!R87C55</stp>
        <tr r="BC87" s="1"/>
      </tp>
      <tp t="s">
        <v>#N/A Field Not Applicable</v>
        <stp/>
        <stp>##V3_BDPV12</stp>
        <stp>BBG00RRMFK74 FIGI</stp>
        <stp>SECURITY_TYP2</stp>
        <stp>[DIF_Risk_20200430.xlsm]Geneva investment position repo!R41C21</stp>
        <tr r="U41" s="1"/>
      </tp>
      <tp t="s">
        <v>#N/A N/A</v>
        <stp/>
        <stp>##V3_BDPV12</stp>
        <stp>BBG00PKGT0Y7 FIGI</stp>
        <stp>FITCH_EFF_DT</stp>
        <stp>[DIF_Risk_20200430.xlsm]Geneva investment position repo!R166C73</stp>
        <tr r="BU166" s="1"/>
      </tp>
      <tp t="s">
        <v>Coal</v>
        <stp/>
        <stp>##V3_BDPV12</stp>
        <stp>BBG00QN3F2R0 FIGI</stp>
        <stp>INDUSTRY_GROUP</stp>
        <stp>[DIF_Risk_20200430.xlsm]Geneva investment position repo!R28C40</stp>
        <tr r="AN28" s="1"/>
      </tp>
      <tp t="s">
        <v>Equity Fund</v>
        <stp/>
        <stp>##V3_BDPV12</stp>
        <stp>BBG000P9FRH8 FIGI</stp>
        <stp>INDUSTRY_GROUP</stp>
        <stp>[DIF_Risk_20200430.xlsm]Geneva investment position repo!R19C40</stp>
        <tr r="AN19" s="1"/>
      </tp>
      <tp t="s">
        <v>#N/A Field Not Applicable</v>
        <stp/>
        <stp>##V3_BDPV12</stp>
        <stp>BBG00QDN9PZ4 FIGI</stp>
        <stp>CAPITAL_CONTINGENT_SECURITY</stp>
        <stp>[DIF_Risk_20200430.xlsm]Geneva investment position repo!R138C42</stp>
        <tr r="AP138" s="1"/>
      </tp>
      <tp t="s">
        <v>ACTV</v>
        <stp/>
        <stp>##V3_BDPV12</stp>
        <stp>BBG00RHHSFZ2 FIGI</stp>
        <stp>EXCH_MARKET_STATUS</stp>
        <stp>[DIF_Risk_20200430.xlsm]Geneva investment position repo!R122C44</stp>
        <tr r="AR122" s="1"/>
        <tr r="AR122" s="1"/>
      </tp>
      <tp t="s">
        <v>#N/A Field Not Applicable</v>
        <stp/>
        <stp>##V3_BDPV12</stp>
        <stp>BBG00NDM7WZ0 FIGI</stp>
        <stp>CAPITAL_CONTINGENT_SECURITY</stp>
        <stp>[DIF_Risk_20200430.xlsm]Geneva investment position repo!R103C42</stp>
        <tr r="AP103" s="1"/>
      </tp>
      <tp t="s">
        <v>ACTV</v>
        <stp/>
        <stp>##V3_BDPV12</stp>
        <stp>BBG00SXGDG60 FIGI</stp>
        <stp>EXCH_MARKET_STATUS</stp>
        <stp>[DIF_Risk_20200430.xlsm]Geneva investment position repo!R120C44</stp>
        <tr r="AR120" s="1"/>
        <tr r="AR120" s="1"/>
      </tp>
      <tp t="s">
        <v>Real Estate</v>
        <stp/>
        <stp>##V3_BDPV12</stp>
        <stp>BBG00FP0FP88 FIGI</stp>
        <stp>INDUSTRY_GROUP</stp>
        <stp>[DIF_Risk_20200430.xlsm]Geneva investment position repo!R96C40</stp>
        <tr r="AN96" s="1"/>
      </tp>
      <tp t="s">
        <v>#N/A N/A</v>
        <stp/>
        <stp>##V3_BDPV12</stp>
        <stp>BBG00NGF27D6 FIGI</stp>
        <stp>FITCH_EFF_DT</stp>
        <stp>[DIF_Risk_20200430.xlsm]Geneva investment position repo!R114C73</stp>
        <tr r="BU114" s="1"/>
      </tp>
      <tp t="s">
        <v>Real Estate</v>
        <stp/>
        <stp>##V3_BDPV12</stp>
        <stp>BBG00RRMFK74 FIGI</stp>
        <stp>INDUSTRY_GROUP</stp>
        <stp>[DIF_Risk_20200430.xlsm]Geneva investment position repo!R41C40</stp>
        <tr r="AN41" s="1"/>
      </tp>
      <tp t="s">
        <v>Telecommunications</v>
        <stp/>
        <stp>##V3_BDPV12</stp>
        <stp>BBG00QJ3FR72 FIGI</stp>
        <stp>INDUSTRY_GROUP</stp>
        <stp>[DIF_Risk_20200430.xlsm]Geneva investment position repo!R37C40</stp>
        <tr r="AN37" s="1"/>
      </tp>
      <tp>
        <v>17.266459469381214</v>
        <stp/>
        <stp>##V3_BDPV12</stp>
        <stp>USY68856AV83 ISIN</stp>
        <stp>DUR_ADJ_MID</stp>
        <stp>[DIF_Risk_20200430.xlsm]Geneva investment position repo!R124C59</stp>
        <tr r="BG124" s="1"/>
      </tp>
      <tp>
        <v>10.087844429298356</v>
        <stp/>
        <stp>##V3_BDPV12</stp>
        <stp>USY59505AA82 ISIN</stp>
        <stp>YLD_YTM_MID</stp>
        <stp>[DIF_Risk_20200430.xlsm]Geneva investment position repo!R110C61</stp>
        <tr r="BI110" s="1"/>
      </tp>
      <tp t="s">
        <v>12/18/2021</v>
        <stp/>
        <stp>##V3_BDPV12</stp>
        <stp>BBG00MSJ57C5 FIGI</stp>
        <stp>CALC_MATURITY</stp>
        <stp>[DIF_Risk_20200430.xlsm]Geneva investment position repo!R74C55</stp>
        <tr r="BC74" s="1"/>
      </tp>
      <tp t="s">
        <v>#N/A Field Not Applicable</v>
        <stp/>
        <stp>##V3_BDPV12</stp>
        <stp>BBG00PKGTF65 FIGI</stp>
        <stp>SECURITY_TYP2</stp>
        <stp>[DIF_Risk_20200430.xlsm]Geneva investment position repo!R164C21</stp>
        <tr r="U164" s="1"/>
      </tp>
      <tp t="s">
        <v>#N/A Field Not Applicable</v>
        <stp/>
        <stp>##V3_BDPV12</stp>
        <stp>BBG00JVKTCJ1 FIGI</stp>
        <stp>SECURITY_TYP2</stp>
        <stp>[DIF_Risk_20200430.xlsm]Geneva investment position repo!R110C21</stp>
        <tr r="U110" s="1"/>
      </tp>
      <tp t="s">
        <v>CN</v>
        <stp/>
        <stp>##V3_BDPV12</stp>
        <stp>BBG00NB7HXS0 FIGI</stp>
        <stp>CNTRY_OF_RISK</stp>
        <stp>[DIF_Risk_20200430.xlsm]Geneva investment position repo!R143C38</stp>
        <tr r="AL143" s="1"/>
      </tp>
      <tp t="s">
        <v>4/2/2020</v>
        <stp/>
        <stp>##V3_BDPV12</stp>
        <stp>BBG00SY1QXH9 FIGI</stp>
        <stp>FITCH_EFF_DT</stp>
        <stp>[DIF_Risk_20200430.xlsm]Geneva investment position repo!R31C73</stp>
        <tr r="BU31" s="1"/>
      </tp>
      <tp t="s">
        <v>CN</v>
        <stp/>
        <stp>##V3_BDPV12</stp>
        <stp>BBG00QNT5B76 FIGI</stp>
        <stp>CNTRY_OF_RISK</stp>
        <stp>[DIF_Risk_20200430.xlsm]Geneva investment position repo!R30C38</stp>
        <tr r="AL30" s="1"/>
      </tp>
      <tp t="s">
        <v>7/15/2019</v>
        <stp/>
        <stp>##V3_BDPV12</stp>
        <stp>BBG00PQ3PWZ3 FIGI</stp>
        <stp>MOODY_EFF_DT</stp>
        <stp>[DIF_Risk_20200430.xlsm]Geneva investment position repo!R84C72</stp>
        <tr r="BT84" s="1"/>
      </tp>
      <tp t="s">
        <v>#N/A Field Not Applicable</v>
        <stp/>
        <stp>##V3_BDPV12</stp>
        <stp>BBG00RPXTTD1 FIGI</stp>
        <stp>SECURITY_TYP2</stp>
        <stp>[DIF_Risk_20200430.xlsm]Geneva investment position repo!R137C21</stp>
        <tr r="U137" s="1"/>
      </tp>
      <tp t="s">
        <v>CN</v>
        <stp/>
        <stp>##V3_BDPV12</stp>
        <stp>BBG00MNWHQT8 FIGI</stp>
        <stp>CNTRY_OF_RISK</stp>
        <stp>[DIF_Risk_20200430.xlsm]Geneva investment position repo!R135C38</stp>
        <tr r="AL135" s="1"/>
      </tp>
      <tp t="s">
        <v>#N/A N/A</v>
        <stp/>
        <stp>##V3_BDPV12</stp>
        <stp>BBG00MSJ57C5 FIGI</stp>
        <stp>FITCH_EFF_DT</stp>
        <stp>[DIF_Risk_20200430.xlsm]Geneva investment position repo!R74C73</stp>
        <tr r="BU74" s="1"/>
      </tp>
      <tp t="s">
        <v>#N/A Field Not Applicable</v>
        <stp/>
        <stp>##V3_BDPV12</stp>
        <stp>BBG00T6LY8D4 FIGI</stp>
        <stp>SECURITY_TYP2</stp>
        <stp>[DIF_Risk_20200430.xlsm]Geneva investment position repo!R94C21</stp>
        <tr r="U94" s="1"/>
      </tp>
      <tp t="s">
        <v>4/22/2060</v>
        <stp/>
        <stp>##V3_BDPV12</stp>
        <stp>BBG00T6LYC72 FIGI</stp>
        <stp>CALC_MATURITY</stp>
        <stp>[DIF_Risk_20200430.xlsm]Geneva investment position repo!R95C55</stp>
        <tr r="BC95" s="1"/>
      </tp>
      <tp t="s">
        <v>2/24/2020</v>
        <stp/>
        <stp>##V3_BDPV12</stp>
        <stp>BBG00RYGHZS1 FIGI</stp>
        <stp>MOODY_EFF_DT</stp>
        <stp>[DIF_Risk_20200430.xlsm]Geneva investment position repo!R51C72</stp>
        <tr r="BT51" s="1"/>
      </tp>
      <tp t="s">
        <v>BBG00DXBXRD0</v>
        <stp/>
        <stp>##V3_BDPV12</stp>
        <stp>USN4717BAD84 ISIN</stp>
        <stp>ID_BB_GLOBAL</stp>
        <stp>[DIF_Risk_20200430.xlsm]Geneva investment position repo!R93C18</stp>
        <tr r="R93" s="1"/>
      </tp>
      <tp t="s">
        <v>#N/A N/A</v>
        <stp/>
        <stp>##V3_BDPV12</stp>
        <stp>BBG00PSJD0B5 FIGI</stp>
        <stp>RTG_SP</stp>
        <stp>[DIF_Risk_20200430.xlsm]Geneva investment position repo!R81C31</stp>
        <tr r="AE81" s="1"/>
      </tp>
      <tp t="s">
        <v>Diversified Finan Serv</v>
        <stp/>
        <stp>##V3_BDPV12</stp>
        <stp>BBG00KVGG4W4 FIGI</stp>
        <stp>INDUSTRY_GROUP</stp>
        <stp>[DIF_Risk_20200430.xlsm]Geneva investment position repo!R83C40</stp>
        <tr r="AN83" s="1"/>
      </tp>
      <tp t="s">
        <v>3/30/2020</v>
        <stp/>
        <stp>##V3_BDPV12</stp>
        <stp>BBG00SXGDG60 FIGI</stp>
        <stp>MOODY_EFF_DT</stp>
        <stp>[DIF_Risk_20200430.xlsm]Geneva investment position repo!R120C72</stp>
        <tr r="BT120" s="1"/>
      </tp>
      <tp t="s">
        <v>Banks</v>
        <stp/>
        <stp>##V3_BDPV12</stp>
        <stp>BBG00SYNG075 FIGI</stp>
        <stp>INDUSTRY_GROUP</stp>
        <stp>[DIF_Risk_20200430.xlsm]Geneva investment position repo!R40C40</stp>
        <tr r="AN40" s="1"/>
      </tp>
      <tp t="s">
        <v>4/9/2019</v>
        <stp/>
        <stp>##V3_BDPV12</stp>
        <stp>BBG00NHNXCH9 FIGI</stp>
        <stp>MOODY_EFF_DT</stp>
        <stp>[DIF_Risk_20200430.xlsm]Geneva investment position repo!R179C72</stp>
        <tr r="BT179" s="1"/>
      </tp>
      <tp t="s">
        <v>#N/A N/A</v>
        <stp/>
        <stp>##V3_BDPV12</stp>
        <stp>BBG00M0MD1Z7 FIGI</stp>
        <stp>RTG_SP</stp>
        <stp>[DIF_Risk_20200430.xlsm]Geneva investment position repo!R55C31</stp>
        <tr r="AE55" s="1"/>
      </tp>
      <tp t="s">
        <v>9/2/2019</v>
        <stp/>
        <stp>##V3_BDPV12</stp>
        <stp>BBG00KNCMN62 FIGI</stp>
        <stp>FITCH_EFF_DT</stp>
        <stp>[DIF_Risk_20200430.xlsm]Geneva investment position repo!R102C73</stp>
        <tr r="BU102" s="1"/>
      </tp>
      <tp t="s">
        <v>#N/A N/A</v>
        <stp/>
        <stp>##V3_BDPV12</stp>
        <stp>BBG00QYPDPC6 FIGI</stp>
        <stp>RTG_SP</stp>
        <stp>[DIF_Risk_20200430.xlsm]Geneva investment position repo!R68C31</stp>
        <tr r="AE68" s="1"/>
      </tp>
      <tp t="s">
        <v>ACTV</v>
        <stp/>
        <stp>##V3_BDPV12</stp>
        <stp>BBG00F2W1SP3 FIGI</stp>
        <stp>EXCH_MARKET_STATUS</stp>
        <stp>[DIF_Risk_20200430.xlsm]Geneva investment position repo!R105C44</stp>
        <tr r="AR105" s="1"/>
        <tr r="AR105" s="1"/>
      </tp>
      <tp t="s">
        <v>Real Estate</v>
        <stp/>
        <stp>##V3_BDPV12</stp>
        <stp>BBG00RH7GJ34 FIGI</stp>
        <stp>INDUSTRY_GROUP</stp>
        <stp>[DIF_Risk_20200430.xlsm]Geneva investment position repo!R67C40</stp>
        <tr r="AN67" s="1"/>
      </tp>
      <tp>
        <v>7.2561950031752911</v>
        <stp/>
        <stp>##V3_BDPV12</stp>
        <stp>USP78625EA73 ISIN</stp>
        <stp>DUR_ADJ_MID</stp>
        <stp>[DIF_Risk_20200430.xlsm]Geneva investment position repo!R122C59</stp>
        <tr r="BG122" s="1"/>
      </tp>
      <tp t="s">
        <v>ACTV</v>
        <stp/>
        <stp>##V3_BDPV12</stp>
        <stp>BBG00RB0MG61 FIGI</stp>
        <stp>EXCH_MARKET_STATUS</stp>
        <stp>[DIF_Risk_20200430.xlsm]Geneva investment position repo!R100C44</stp>
        <tr r="AR100" s="1"/>
        <tr r="AR100" s="1"/>
      </tp>
      <tp t="s">
        <v>Real Estate</v>
        <stp/>
        <stp>##V3_BDPV12</stp>
        <stp>BBG00LVCGFZ3 FIGI</stp>
        <stp>INDUSTRY_GROUP</stp>
        <stp>[DIF_Risk_20200430.xlsm]Geneva investment position repo!R77C40</stp>
        <tr r="AN77" s="1"/>
      </tp>
      <tp t="s">
        <v>5/28/2018</v>
        <stp/>
        <stp>##V3_BDPV12</stp>
        <stp>BBG00L1B1VB5 FIGI</stp>
        <stp>MOODY_EFF_DT</stp>
        <stp>[DIF_Risk_20200430.xlsm]Geneva investment position repo!R163C72</stp>
        <tr r="BT163" s="1"/>
      </tp>
      <tp t="s">
        <v>#N/A Field Not Applicable</v>
        <stp/>
        <stp>##V3_BDPV12</stp>
        <stp>BBG00JCQ6Y42 FIGI</stp>
        <stp>CAPITAL_CONTINGENT_SECURITY</stp>
        <stp>[DIF_Risk_20200430.xlsm]Geneva investment position repo!R33C42</stp>
        <tr r="AP33" s="1"/>
      </tp>
      <tp t="s">
        <v>#N/A Field Not Applicable</v>
        <stp/>
        <stp>##V3_BDPV12</stp>
        <stp>BBG00QNT5B76 FIGI</stp>
        <stp>CAPITAL_CONTINGENT_SECURITY</stp>
        <stp>[DIF_Risk_20200430.xlsm]Geneva investment position repo!R30C42</stp>
        <tr r="AP30" s="1"/>
      </tp>
      <tp t="s">
        <v>6/20/2021</v>
        <stp/>
        <stp>##V3_BDPV12</stp>
        <stp>BBG00PDL9DC2 FIGI</stp>
        <stp>CALC_MATURITY</stp>
        <stp>[DIF_Risk_20200430.xlsm]Geneva investment position repo!R92C55</stp>
        <tr r="BC92" s="1"/>
      </tp>
      <tp t="s">
        <v>CN</v>
        <stp/>
        <stp>##V3_BDPV12</stp>
        <stp>BBG00JCQ6Y42 FIGI</stp>
        <stp>CNTRY_OF_RISK</stp>
        <stp>[DIF_Risk_20200430.xlsm]Geneva investment position repo!R33C38</stp>
        <tr r="AL33" s="1"/>
      </tp>
      <tp t="s">
        <v>#N/A Field Not Applicable</v>
        <stp/>
        <stp>##V3_BDPV12</stp>
        <stp>BBG00PDL9DV1 FIGI</stp>
        <stp>CAPITAL_CONTINGENT_SECURITY</stp>
        <stp>[DIF_Risk_20200430.xlsm]Geneva investment position repo!R53C42</stp>
        <tr r="AP53" s="1"/>
      </tp>
      <tp t="s">
        <v>#N/A Field Not Applicable</v>
        <stp/>
        <stp>##V3_BDPV12</stp>
        <stp>BBG00K67R1J1 FIGI</stp>
        <stp>SECURITY_TYP2</stp>
        <stp>[DIF_Risk_20200430.xlsm]Geneva investment position repo!R171C21</stp>
        <tr r="U171" s="1"/>
      </tp>
      <tp t="s">
        <v>#N/A Field Not Applicable</v>
        <stp/>
        <stp>##V3_BDPV12</stp>
        <stp>BBG00PCCVDV7 FIGI</stp>
        <stp>CAPITAL_CONTINGENT_SECURITY</stp>
        <stp>[DIF_Risk_20200430.xlsm]Geneva investment position repo!R76C42</stp>
        <tr r="AP76" s="1"/>
      </tp>
      <tp t="s">
        <v>#N/A Field Not Applicable</v>
        <stp/>
        <stp>##V3_BDPV12</stp>
        <stp>BBG00NDMRLH2 FIGI</stp>
        <stp>SECURITY_TYP2</stp>
        <stp>[DIF_Risk_20200430.xlsm]Geneva investment position repo!R58C21</stp>
        <tr r="U58" s="1"/>
      </tp>
      <tp t="s">
        <v>#N/A Field Not Applicable</v>
        <stp/>
        <stp>##V3_BDPV12</stp>
        <stp>BBG00PGHK257 FIGI</stp>
        <stp>SECURITY_TYP2</stp>
        <stp>[DIF_Risk_20200430.xlsm]Geneva investment position repo!R87C21</stp>
        <tr r="U87" s="1"/>
      </tp>
      <tp t="s">
        <v>#N/A Field Not Applicable</v>
        <stp/>
        <stp>##V3_BDPV12</stp>
        <stp>BBG00PDL9DC2 FIGI</stp>
        <stp>CAPITAL_CONTINGENT_SECURITY</stp>
        <stp>[DIF_Risk_20200430.xlsm]Geneva investment position repo!R92C42</stp>
        <tr r="AP92" s="1"/>
      </tp>
      <tp t="s">
        <v>2/18/2021</v>
        <stp/>
        <stp>##V3_BDPV12</stp>
        <stp>BBG00RRMFK74 FIGI</stp>
        <stp>CALC_MATURITY</stp>
        <stp>[DIF_Risk_20200430.xlsm]Geneva investment position repo!R41C55</stp>
        <tr r="BC41" s="1"/>
      </tp>
      <tp t="s">
        <v>#N/A Field Not Applicable</v>
        <stp/>
        <stp>##V3_BDPV12</stp>
        <stp>BBG00PSJD0B5 FIGI</stp>
        <stp>SECURITY_TYP2</stp>
        <stp>[DIF_Risk_20200430.xlsm]Geneva investment position repo!R81C21</stp>
        <tr r="U81" s="1"/>
      </tp>
      <tp t="s">
        <v>8/17/2022</v>
        <stp/>
        <stp>##V3_BDPV12</stp>
        <stp>BBG00HDTX5P9 FIGI</stp>
        <stp>CALC_MATURITY</stp>
        <stp>[DIF_Risk_20200430.xlsm]Geneva investment position repo!R111C55</stp>
        <tr r="BC111" s="1"/>
      </tp>
      <tp>
        <v>16.320850172964828</v>
        <stp/>
        <stp>##V3_BDPV12</stp>
        <stp>USY8137FAR92 ISIN</stp>
        <stp>YLD_YTM_MID</stp>
        <stp>[DIF_Risk_20200430.xlsm]Geneva investment position repo!R146C61</stp>
        <tr r="BI146" s="1"/>
      </tp>
      <tp t="s">
        <v>#N/A Field Not Applicable</v>
        <stp/>
        <stp>##V3_BDPV12</stp>
        <stp>BBG00LJTVJR4 FIGI</stp>
        <stp>CAPITAL_CONTINGENT_SECURITY</stp>
        <stp>[DIF_Risk_20200430.xlsm]Geneva investment position repo!R154C42</stp>
        <tr r="AP154" s="1"/>
      </tp>
      <tp t="s">
        <v>BBG00TFTG847</v>
        <stp/>
        <stp>##V3_BDPV12</stp>
        <stp>US63111XAB73 ISIN</stp>
        <stp>ID_BB_GLOBAL</stp>
        <stp>[DIF_Risk_20200430.xlsm]Geneva investment position repo!R117C18</stp>
        <tr r="R117" s="1"/>
      </tp>
      <tp t="s">
        <v>6/20/2019</v>
        <stp/>
        <stp>##V3_BDPV12</stp>
        <stp>BBG00PKGT0Y7 FIGI</stp>
        <stp>MOODY_EFF_DT</stp>
        <stp>[DIF_Risk_20200430.xlsm]Geneva investment position repo!R166C72</stp>
        <tr r="BT166" s="1"/>
      </tp>
      <tp t="s">
        <v>#N/A Field Not Applicable</v>
        <stp/>
        <stp>##V3_BDPV12</stp>
        <stp>BBG00PK1ZYS6 FIGI</stp>
        <stp>CAPITAL_CONTINGENT_SECURITY</stp>
        <stp>[DIF_Risk_20200430.xlsm]Geneva investment position repo!R146C42</stp>
        <tr r="AP146" s="1"/>
      </tp>
      <tp t="s">
        <v>2/28/2019</v>
        <stp/>
        <stp>##V3_BDPV12</stp>
        <stp>BBG00NGF27D6 FIGI</stp>
        <stp>MOODY_EFF_DT</stp>
        <stp>[DIF_Risk_20200430.xlsm]Geneva investment position repo!R114C72</stp>
        <tr r="BT114" s="1"/>
      </tp>
      <tp t="s">
        <v>#N/A Field Not Applicable</v>
        <stp/>
        <stp>##V3_BDPV12</stp>
        <stp>BBG00N14RT60 FIGI</stp>
        <stp>SECURITY_TYP2</stp>
        <stp>[DIF_Risk_20200430.xlsm]Geneva investment position repo!R153C21</stp>
        <tr r="U153" s="1"/>
      </tp>
      <tp t="s">
        <v>#N/A Field Not Applicable</v>
        <stp/>
        <stp>##V3_BDPV12</stp>
        <stp>BBG00MSJ57C5 FIGI</stp>
        <stp>SECURITY_TYP2</stp>
        <stp>[DIF_Risk_20200430.xlsm]Geneva investment position repo!R74C21</stp>
        <tr r="U74" s="1"/>
      </tp>
      <tp t="s">
        <v>PH</v>
        <stp/>
        <stp>##V3_BDPV12</stp>
        <stp>BBG00THTNZZ3 FIGI</stp>
        <stp>CNTRY_OF_RISK</stp>
        <stp>[DIF_Risk_20200430.xlsm]Geneva investment position repo!R125C38</stp>
        <tr r="AL125" s="1"/>
      </tp>
      <tp t="s">
        <v>Common Stock</v>
        <stp/>
        <stp>##V3_BDPV12</stp>
        <stp>BBG000BJ35N5 FIGI</stp>
        <stp>SECURITY_TYP2</stp>
        <stp>[DIF_Risk_20200430.xlsm]Geneva investment position repo!R25C21</stp>
        <tr r="U25" s="1"/>
      </tp>
      <tp t="s">
        <v>3/8/2022</v>
        <stp/>
        <stp>##V3_BDPV12</stp>
        <stp>BBG00NHNXCH9 FIGI</stp>
        <stp>CALC_MATURITY</stp>
        <stp>[DIF_Risk_20200430.xlsm]Geneva investment position repo!R179C55</stp>
        <tr r="BC179" s="1"/>
      </tp>
      <tp t="s">
        <v>#N/A N/A</v>
        <stp/>
        <stp>##V3_BDPV12</stp>
        <stp>BBG00QT8QWY7 FIGI</stp>
        <stp>MOODY_EFF_DT</stp>
        <stp>[DIF_Risk_20200430.xlsm]Geneva investment position repo!R46C72</stp>
        <tr r="BT46" s="1"/>
      </tp>
      <tp t="s">
        <v>3/18/2022</v>
        <stp/>
        <stp>##V3_BDPV12</stp>
        <stp>BBG00PDYXN26 FIGI</stp>
        <stp>CALC_MATURITY</stp>
        <stp>[DIF_Risk_20200430.xlsm]Geneva investment position repo!R156C55</stp>
        <tr r="BC156" s="1"/>
      </tp>
      <tp t="s">
        <v>CN</v>
        <stp/>
        <stp>##V3_BDPV12</stp>
        <stp>BBG00PNSNLZ7 FIGI</stp>
        <stp>CNTRY_OF_RISK</stp>
        <stp>[DIF_Risk_20200430.xlsm]Geneva investment position repo!R161C38</stp>
        <tr r="AL161" s="1"/>
      </tp>
      <tp t="s">
        <v>#N/A Field Not Applicable</v>
        <stp/>
        <stp>##V3_BDPV12</stp>
        <stp>BBG00T6LYC72 FIGI</stp>
        <stp>SECURITY_TYP2</stp>
        <stp>[DIF_Risk_20200430.xlsm]Geneva investment position repo!R95C21</stp>
        <tr r="U95" s="1"/>
      </tp>
      <tp t="s">
        <v>2/15/2019</v>
        <stp/>
        <stp>##V3_BDPV12</stp>
        <stp>BBG00NDMRLH2 FIGI</stp>
        <stp>MOODY_EFF_DT</stp>
        <stp>[DIF_Risk_20200430.xlsm]Geneva investment position repo!R58C72</stp>
        <tr r="BT58" s="1"/>
      </tp>
      <tp t="s">
        <v>#N/A Field Not Applicable</v>
        <stp/>
        <stp>##V3_BDPV12</stp>
        <stp>BBG000BJ35N5 FIGI</stp>
        <stp>MOODY_EFF_DT</stp>
        <stp>[DIF_Risk_20200430.xlsm]Geneva investment position repo!R25C72</stp>
        <tr r="BT25" s="1"/>
      </tp>
      <tp t="s">
        <v>8/30/2018</v>
        <stp/>
        <stp>##V3_BDPV12</stp>
        <stp>BBG00LVCGFZ3 FIGI</stp>
        <stp>MOODY_EFF_DT</stp>
        <stp>[DIF_Risk_20200430.xlsm]Geneva investment position repo!R77C72</stp>
        <tr r="BT77" s="1"/>
      </tp>
      <tp t="s">
        <v>10/22/2030</v>
        <stp/>
        <stp>##V3_BDPV12</stp>
        <stp>BBG00T6LY8D4 FIGI</stp>
        <stp>CALC_MATURITY</stp>
        <stp>[DIF_Risk_20200430.xlsm]Geneva investment position repo!R94C55</stp>
        <tr r="BC94" s="1"/>
      </tp>
      <tp t="s">
        <v>#N/A Field Not Applicable</v>
        <stp/>
        <stp>##V3_BDPV12</stp>
        <stp>BBG00LSRS878 FIGI</stp>
        <stp>SECURITY_TYP2</stp>
        <stp>[DIF_Risk_20200430.xlsm]Geneva investment position repo!R104C21</stp>
        <tr r="U104" s="1"/>
      </tp>
      <tp t="s">
        <v>#N/A Field Not Applicable</v>
        <stp/>
        <stp>##V3_BDPV12</stp>
        <stp>BBG00GDDS1Y1 FIGI</stp>
        <stp>SECURITY_TYP2</stp>
        <stp>[DIF_Risk_20200430.xlsm]Geneva investment position repo!R109C21</stp>
        <tr r="U109" s="1"/>
      </tp>
      <tp t="s">
        <v>12/2/2168</v>
        <stp/>
        <stp>##V3_BDPV12</stp>
        <stp>BBG00GSCY4N6 FIGI</stp>
        <stp>CALC_MATURITY</stp>
        <stp>[DIF_Risk_20200430.xlsm]Geneva investment position repo!R116C55</stp>
        <tr r="BC116" s="1"/>
      </tp>
      <tp t="s">
        <v>#N/A Field Not Applicable</v>
        <stp/>
        <stp>##V3_BDPV12</stp>
        <stp>BBG000BZWNT2 FIGI</stp>
        <stp>FITCH_EFF_DT</stp>
        <stp>[DIF_Risk_20200430.xlsm]Geneva investment position repo!R11C73</stp>
        <tr r="BU11" s="1"/>
      </tp>
      <tp t="s">
        <v>#N/A N/A</v>
        <stp/>
        <stp>##V3_BDPV12</stp>
        <stp>BBG00KNCMN62 FIGI</stp>
        <stp>MOODY_EFF_DT</stp>
        <stp>[DIF_Risk_20200430.xlsm]Geneva investment position repo!R102C72</stp>
        <tr r="BT102" s="1"/>
      </tp>
      <tp t="s">
        <v>#N/A N/A</v>
        <stp/>
        <stp>##V3_BDPV12</stp>
        <stp>BBG00NHNXCH9 FIGI</stp>
        <stp>FITCH_EFF_DT</stp>
        <stp>[DIF_Risk_20200430.xlsm]Geneva investment position repo!R179C73</stp>
        <tr r="BU179" s="1"/>
      </tp>
      <tp t="s">
        <v>BBG00SXGDG60</v>
        <stp/>
        <stp>##V3_BDPV12</stp>
        <stp>US68389XBT19 ISIN</stp>
        <stp>ID_BB_GLOBAL</stp>
        <stp>[DIF_Risk_20200430.xlsm]Geneva investment position repo!R120C18</stp>
        <tr r="R120" s="1"/>
      </tp>
      <tp t="s">
        <v>3/30/2020</v>
        <stp/>
        <stp>##V3_BDPV12</stp>
        <stp>BBG00SXGDG60 FIGI</stp>
        <stp>FITCH_EFF_DT</stp>
        <stp>[DIF_Risk_20200430.xlsm]Geneva investment position repo!R120C73</stp>
        <tr r="BU120" s="1"/>
      </tp>
      <tp t="s">
        <v>E-Commerce/Products</v>
        <stp/>
        <stp>##V3_BDPV12</stp>
        <stp>BBG00QV37ZP9 FIGI</stp>
        <stp>INDUSTRY_SUBGROUP</stp>
        <stp>[DIF_Risk_20200430.xlsm]Geneva investment position repo!R7C41</stp>
        <tr r="AO7" s="1"/>
      </tp>
      <tp t="s">
        <v>5/29/2018</v>
        <stp/>
        <stp>##V3_BDPV12</stp>
        <stp>BBG00L1B1VB5 FIGI</stp>
        <stp>FITCH_EFF_DT</stp>
        <stp>[DIF_Risk_20200430.xlsm]Geneva investment position repo!R163C73</stp>
        <tr r="BU163" s="1"/>
      </tp>
      <tp t="s">
        <v>BB+</v>
        <stp/>
        <stp>##V3_BDPV12</stp>
        <stp>BBG00RPJBQ56 FIGI</stp>
        <stp>RTG_SP</stp>
        <stp>[DIF_Risk_20200430.xlsm]Geneva investment position repo!R27C31</stp>
        <tr r="AE27" s="1"/>
        <tr r="AE27" s="1"/>
      </tp>
      <tp t="s">
        <v>#N/A Field Not Applicable</v>
        <stp/>
        <stp>##V3_BDPV12</stp>
        <stp>BBG00M5BYXF5 FIGI</stp>
        <stp>CAPITAL_CONTINGENT_SECURITY</stp>
        <stp>[DIF_Risk_20200430.xlsm]Geneva investment position repo!R32C42</stp>
        <tr r="AP32" s="1"/>
      </tp>
      <tp t="s">
        <v>#N/A Field Not Applicable</v>
        <stp/>
        <stp>##V3_BDPV12</stp>
        <stp>BBG00PDL9DC2 FIGI</stp>
        <stp>SECURITY_TYP2</stp>
        <stp>[DIF_Risk_20200430.xlsm]Geneva investment position repo!R92C21</stp>
        <tr r="U92" s="1"/>
      </tp>
      <tp t="s">
        <v>6/17/2031</v>
        <stp/>
        <stp>##V3_BDPV12</stp>
        <stp>BBG00D2WYB33 FIGI</stp>
        <stp>CALC_MATURITY</stp>
        <stp>[DIF_Risk_20200430.xlsm]Geneva investment position repo!R126C55</stp>
        <tr r="BC126" s="1"/>
      </tp>
      <tp t="s">
        <v>#N/A Field Not Applicable</v>
        <stp/>
        <stp>##V3_BDPV12</stp>
        <stp>BBG00RHHSFZ2 FIGI</stp>
        <stp>SECURITY_TYP2</stp>
        <stp>[DIF_Risk_20200430.xlsm]Geneva investment position repo!R122C21</stp>
        <tr r="U122" s="1"/>
      </tp>
      <tp t="s">
        <v>IN</v>
        <stp/>
        <stp>##V3_BDPV12</stp>
        <stp>BBG00DKQ0MQ4 FIGI</stp>
        <stp>CNTRY_OF_RISK</stp>
        <stp>[DIF_Risk_20200430.xlsm]Geneva investment position repo!R78C38</stp>
        <tr r="AL78" s="1"/>
      </tp>
      <tp t="s">
        <v>CN</v>
        <stp/>
        <stp>##V3_BDPV12</stp>
        <stp>BBG00SBW5S62 FIGI</stp>
        <stp>CNTRY_OF_RISK</stp>
        <stp>[DIF_Risk_20200430.xlsm]Geneva investment position repo!R88C38</stp>
        <tr r="AL88" s="1"/>
      </tp>
      <tp t="s">
        <v>#N/A Field Not Applicable</v>
        <stp/>
        <stp>##V3_BDPV12</stp>
        <stp>BBG00MTKPX96 FIGI</stp>
        <stp>CAPITAL_CONTINGENT_SECURITY</stp>
        <stp>[DIF_Risk_20200430.xlsm]Geneva investment position repo!R57C42</stp>
        <tr r="AP57" s="1"/>
      </tp>
      <tp t="s">
        <v>CN</v>
        <stp/>
        <stp>##V3_BDPV12</stp>
        <stp>BBG00RT2L457 FIGI</stp>
        <stp>CNTRY_OF_RISK</stp>
        <stp>[DIF_Risk_20200430.xlsm]Geneva investment position repo!R177C38</stp>
        <tr r="AL177" s="1"/>
      </tp>
      <tp t="s">
        <v>CN</v>
        <stp/>
        <stp>##V3_BDPV12</stp>
        <stp>BBG00QYPDPC6 FIGI</stp>
        <stp>CNTRY_OF_RISK</stp>
        <stp>[DIF_Risk_20200430.xlsm]Geneva investment position repo!R68C38</stp>
        <tr r="AL68" s="1"/>
      </tp>
      <tp t="s">
        <v>Common Stock</v>
        <stp/>
        <stp>##V3_BDPV12</stp>
        <stp>BBG000BDWNL9 FIGI</stp>
        <stp>SECURITY_TYP2</stp>
        <stp>[DIF_Risk_20200430.xlsm]Geneva investment position repo!R24C21</stp>
        <tr r="U24" s="1"/>
      </tp>
      <tp t="s">
        <v>#N/A N/A</v>
        <stp/>
        <stp>##V3_BDPV12</stp>
        <stp>BBG00PCCVDV7 FIGI</stp>
        <stp>FITCH_EFF_DT</stp>
        <stp>[DIF_Risk_20200430.xlsm]Geneva investment position repo!R76C73</stp>
        <tr r="BU76" s="1"/>
      </tp>
      <tp t="s">
        <v>8/21/2168</v>
        <stp/>
        <stp>##V3_BDPV12</stp>
        <stp>BBG00RPNYQB5 FIGI</stp>
        <stp>CALC_MATURITY</stp>
        <stp>[DIF_Risk_20200430.xlsm]Geneva investment position repo!R47C55</stp>
        <tr r="BC47" s="1"/>
      </tp>
      <tp t="s">
        <v>#N/A Field Not Applicable</v>
        <stp/>
        <stp>##V3_BDPV12</stp>
        <stp>BBG000BDW8M1 FIGI</stp>
        <stp>MOODY_EFF_DT</stp>
        <stp>[DIF_Risk_20200430.xlsm]Geneva investment position repo!R14C72</stp>
        <tr r="BT14" s="1"/>
      </tp>
      <tp t="s">
        <v>#N/A Field Not Applicable</v>
        <stp/>
        <stp>##V3_BDPV12</stp>
        <stp>BBG00DXBXRD0 FIGI</stp>
        <stp>CAPITAL_CONTINGENT_SECURITY</stp>
        <stp>[DIF_Risk_20200430.xlsm]Geneva investment position repo!R93C42</stp>
        <tr r="AP93" s="1"/>
      </tp>
      <tp t="s">
        <v>#N/A Field Not Applicable</v>
        <stp/>
        <stp>##V3_BDPV12</stp>
        <stp>BBG00MTKPX96 FIGI</stp>
        <stp>SECURITY_TYP2</stp>
        <stp>[DIF_Risk_20200430.xlsm]Geneva investment position repo!R57C21</stp>
        <tr r="U57" s="1"/>
      </tp>
      <tp t="s">
        <v>4/8/2026</v>
        <stp/>
        <stp>##V3_BDPV12</stp>
        <stp>BBG00SYNG075 FIGI</stp>
        <stp>CALC_MATURITY</stp>
        <stp>[DIF_Risk_20200430.xlsm]Geneva investment position repo!R40C55</stp>
        <tr r="BC40" s="1"/>
      </tp>
      <tp t="s">
        <v>CN</v>
        <stp/>
        <stp>##V3_BDPV12</stp>
        <stp>BBG00NG9L0S8 FIGI</stp>
        <stp>CNTRY_OF_RISK</stp>
        <stp>[DIF_Risk_20200430.xlsm]Geneva investment position repo!R134C38</stp>
        <tr r="AL134" s="1"/>
      </tp>
      <tp t="s">
        <v>#N/A Field Not Applicable</v>
        <stp/>
        <stp>##V3_BDPV12</stp>
        <stp>BBG000DVPPK1 FIGI</stp>
        <stp>MOODY_EFF_DT</stp>
        <stp>[DIF_Risk_20200430.xlsm]Geneva investment position repo!R10C72</stp>
        <tr r="BT10" s="1"/>
      </tp>
      <tp t="s">
        <v>#N/A Field Not Applicable</v>
        <stp/>
        <stp>##V3_BDPV12</stp>
        <stp>BBG00MNWHQT8 FIGI</stp>
        <stp>CAPITAL_CONTINGENT_SECURITY</stp>
        <stp>[DIF_Risk_20200430.xlsm]Geneva investment position repo!R135C42</stp>
        <tr r="AP135" s="1"/>
      </tp>
      <tp t="s">
        <v>7/12/2017</v>
        <stp/>
        <stp>##V3_BDPV12</stp>
        <stp>BBG00H4BZMF0 FIGI</stp>
        <stp>MOODY_EFF_DT</stp>
        <stp>[DIF_Risk_20200430.xlsm]Geneva investment position repo!R130C72</stp>
        <tr r="BT130" s="1"/>
      </tp>
      <tp t="s">
        <v>4/9/2019</v>
        <stp/>
        <stp>##V3_BDPV12</stp>
        <stp>BBG00NQDZNG6 FIGI</stp>
        <stp>MOODY_EFF_DT</stp>
        <stp>[DIF_Risk_20200430.xlsm]Geneva investment position repo!R178C72</stp>
        <tr r="BT178" s="1"/>
      </tp>
      <tp t="s">
        <v>ACTV</v>
        <stp/>
        <stp>##V3_BDPV12</stp>
        <stp>BBG00HPPFXF4 FIGI</stp>
        <stp>EXCH_MARKET_STATUS</stp>
        <stp>[DIF_Risk_20200430.xlsm]Geneva investment position repo!R127C44</stp>
        <tr r="AR127" s="1"/>
        <tr r="AR127" s="1"/>
      </tp>
      <tp t="s">
        <v>#N/A N/A</v>
        <stp/>
        <stp>##V3_BDPV12</stp>
        <stp>BBG00TDCM2R7 FIGI</stp>
        <stp>FITCH_EFF_DT</stp>
        <stp>[DIF_Risk_20200430.xlsm]Geneva investment position repo!R147C73</stp>
        <tr r="BU147" s="1"/>
      </tp>
      <tp t="s">
        <v>#N/A N/A</v>
        <stp/>
        <stp>##V3_BDPV12</stp>
        <stp>BBG00PKGTF65 FIGI</stp>
        <stp>MOODY_EFF_DT</stp>
        <stp>[DIF_Risk_20200430.xlsm]Geneva investment position repo!R164C72</stp>
        <tr r="BT164" s="1"/>
      </tp>
      <tp t="s">
        <v>9/11/2019</v>
        <stp/>
        <stp>##V3_BDPV12</stp>
        <stp>BBG00NQF0SC2 FIGI</stp>
        <stp>FITCH_EFF_DT</stp>
        <stp>[DIF_Risk_20200430.xlsm]Geneva investment position repo!R160C73</stp>
        <tr r="BU160" s="1"/>
      </tp>
      <tp t="s">
        <v>#N/A N/A</v>
        <stp/>
        <stp>##V3_BDPV12</stp>
        <stp>BBG00Q2B8JR6 FIGI</stp>
        <stp>FITCH_EFF_DT</stp>
        <stp>[DIF_Risk_20200430.xlsm]Geneva investment position repo!R170C73</stp>
        <tr r="BU170" s="1"/>
      </tp>
      <tp t="s">
        <v>Telecommunications</v>
        <stp/>
        <stp>##V3_BDPV12</stp>
        <stp>BBG00226B1T3 FIGI</stp>
        <stp>INDUSTRY_GROUP</stp>
        <stp>[DIF_Risk_20200430.xlsm]Geneva investment position repo!R16C40</stp>
        <tr r="AN16" s="1"/>
      </tp>
      <tp t="s">
        <v>Telecommunications</v>
        <stp/>
        <stp>##V3_BDPV12</stp>
        <stp>BBG00RPJBQ56 FIGI</stp>
        <stp>INDUSTRY_GROUP</stp>
        <stp>[DIF_Risk_20200430.xlsm]Geneva investment position repo!R27C40</stp>
        <tr r="AN27" s="1"/>
      </tp>
      <tp t="s">
        <v>1/7/2019</v>
        <stp/>
        <stp>##V3_BDPV12</stp>
        <stp>BBG00N0J9QB8 FIGI</stp>
        <stp>MOODY_EFF_DT</stp>
        <stp>[DIF_Risk_20200430.xlsm]Geneva investment position repo!R132C72</stp>
        <tr r="BT132" s="1"/>
      </tp>
      <tp>
        <v>8.4665872337233328</v>
        <stp/>
        <stp>##V3_BDPV12</stp>
        <stp>USP78625EA73 ISIN</stp>
        <stp>YLD_YTM_MID</stp>
        <stp>[DIF_Risk_20200430.xlsm]Geneva investment position repo!R122C61</stp>
        <tr r="BI122" s="1"/>
      </tp>
      <tp t="s">
        <v>1/21/2023</v>
        <stp/>
        <stp>##V3_BDPV12</stp>
        <stp>BBG00NQDZNG6 FIGI</stp>
        <stp>CALC_MATURITY</stp>
        <stp>[DIF_Risk_20200430.xlsm]Geneva investment position repo!R178C55</stp>
        <tr r="BC178" s="1"/>
      </tp>
      <tp t="s">
        <v>7/19/2020</v>
        <stp/>
        <stp>##V3_BDPV12</stp>
        <stp>BBG00H4BZMF0 FIGI</stp>
        <stp>CALC_MATURITY</stp>
        <stp>[DIF_Risk_20200430.xlsm]Geneva investment position repo!R130C55</stp>
        <tr r="BC130" s="1"/>
      </tp>
      <tp t="s">
        <v>#N/A Field Not Applicable</v>
        <stp/>
        <stp>##V3_BDPV12</stp>
        <stp>BBG00PDL9DV1 FIGI</stp>
        <stp>SECURITY_TYP2</stp>
        <stp>[DIF_Risk_20200430.xlsm]Geneva investment position repo!R53C21</stp>
        <tr r="U53" s="1"/>
      </tp>
      <tp t="s">
        <v>3/28/2030</v>
        <stp/>
        <stp>##V3_BDPV12</stp>
        <stp>BBG00PK1ZYS6 FIGI</stp>
        <stp>CALC_MATURITY</stp>
        <stp>[DIF_Risk_20200430.xlsm]Geneva investment position repo!R146C55</stp>
        <tr r="BC146" s="1"/>
      </tp>
      <tp t="s">
        <v>1/23/2022</v>
        <stp/>
        <stp>##V3_BDPV12</stp>
        <stp>BBG00N2K8LG0 FIGI</stp>
        <stp>CALC_MATURITY</stp>
        <stp>[DIF_Risk_20200430.xlsm]Geneva investment position repo!R43C55</stp>
        <tr r="BC43" s="1"/>
      </tp>
      <tp t="s">
        <v>8/8/2022</v>
        <stp/>
        <stp>##V3_BDPV12</stp>
        <stp>BBG00HC2ZDQ9 FIGI</stp>
        <stp>CALC_MATURITY</stp>
        <stp>[DIF_Risk_20200430.xlsm]Geneva investment position repo!R151C55</stp>
        <tr r="BC151" s="1"/>
      </tp>
      <tp t="s">
        <v>FR</v>
        <stp/>
        <stp>##V3_BDPV12</stp>
        <stp>BBG00BWQ0R57 FIGI</stp>
        <stp>CNTRY_OF_RISK</stp>
        <stp>[DIF_Risk_20200430.xlsm]Geneva investment position repo!R62C38</stp>
        <tr r="AL62" s="1"/>
      </tp>
      <tp t="s">
        <v>5/15/2026</v>
        <stp/>
        <stp>##V3_BDPV12</stp>
        <stp>BBG00P1GZFC2 FIGI</stp>
        <stp>CALC_MATURITY</stp>
        <stp>[DIF_Risk_20200430.xlsm]Geneva investment position repo!R112C55</stp>
        <tr r="BC112" s="1"/>
      </tp>
      <tp t="s">
        <v>CN</v>
        <stp/>
        <stp>##V3_BDPV12</stp>
        <stp>BBG00R9SLKK9 FIGI</stp>
        <stp>CNTRY_OF_RISK</stp>
        <stp>[DIF_Risk_20200430.xlsm]Geneva investment position repo!R148C38</stp>
        <tr r="AL148" s="1"/>
      </tp>
      <tp t="s">
        <v>#N/A Field Not Applicable</v>
        <stp/>
        <stp>##V3_BDPV12</stp>
        <stp>BBG00FP0FP88 FIGI</stp>
        <stp>CAPITAL_CONTINGENT_SECURITY</stp>
        <stp>[DIF_Risk_20200430.xlsm]Geneva investment position repo!R96C42</stp>
        <tr r="AP96" s="1"/>
      </tp>
      <tp t="s">
        <v>#N/A Field Not Applicable</v>
        <stp/>
        <stp>##V3_BDPV12</stp>
        <stp>BBG00NBG3YQ5 FIGI</stp>
        <stp>CAPITAL_CONTINGENT_SECURITY</stp>
        <stp>[DIF_Risk_20200430.xlsm]Geneva investment position repo!R91C42</stp>
        <tr r="AP91" s="1"/>
      </tp>
      <tp t="s">
        <v>#N/A N/A</v>
        <stp/>
        <stp>##V3_BDPV12</stp>
        <stp>BBG00S9HKR72 FIGI</stp>
        <stp>MOODY_EFF_DT</stp>
        <stp>[DIF_Risk_20200430.xlsm]Geneva investment position repo!R36C72</stp>
        <tr r="BT36" s="1"/>
      </tp>
      <tp t="s">
        <v>7/23/2019</v>
        <stp/>
        <stp>##V3_BDPV12</stp>
        <stp>BBG00PSJ40G0 FIGI</stp>
        <stp>FITCH_EFF_DT</stp>
        <stp>[DIF_Risk_20200430.xlsm]Geneva investment position repo!R97C73</stp>
        <tr r="BU97" s="1"/>
      </tp>
      <tp t="s">
        <v>SG</v>
        <stp/>
        <stp>##V3_BDPV12</stp>
        <stp>BBG00TDCM2R7 FIGI</stp>
        <stp>CNTRY_OF_RISK</stp>
        <stp>[DIF_Risk_20200430.xlsm]Geneva investment position repo!R147C38</stp>
        <tr r="AL147" s="1"/>
      </tp>
      <tp t="s">
        <v>#N/A Field Not Applicable</v>
        <stp/>
        <stp>##V3_BDPV12</stp>
        <stp>BBG000BDWNL9 FIGI</stp>
        <stp>MOODY_EFF_DT</stp>
        <stp>[DIF_Risk_20200430.xlsm]Geneva investment position repo!R24C72</stp>
        <tr r="BT24" s="1"/>
      </tp>
      <tp t="s">
        <v>9/7/2021</v>
        <stp/>
        <stp>##V3_BDPV12</stp>
        <stp>BBG00LVCWLT9 FIGI</stp>
        <stp>CALC_MATURITY</stp>
        <stp>[DIF_Risk_20200430.xlsm]Geneva investment position repo!R42C55</stp>
        <tr r="BC42" s="1"/>
      </tp>
      <tp t="s">
        <v>8/28/2020</v>
        <stp/>
        <stp>##V3_BDPV12</stp>
        <stp>BBG00Q3NXL14 FIGI</stp>
        <stp>CALC_MATURITY</stp>
        <stp>[DIF_Risk_20200430.xlsm]Geneva investment position repo!R59C55</stp>
        <tr r="BC59" s="1"/>
      </tp>
      <tp t="s">
        <v>#N/A Field Not Applicable</v>
        <stp/>
        <stp>##V3_BDPV12</stp>
        <stp>BBG00H5KNJZ7 FIGI</stp>
        <stp>SECURITY_TYP2</stp>
        <stp>[DIF_Risk_20200430.xlsm]Geneva investment position repo!R80C21</stp>
        <tr r="U80" s="1"/>
      </tp>
      <tp t="s">
        <v>#N/A Field Not Applicable</v>
        <stp/>
        <stp>##V3_BDPV12</stp>
        <stp>BBG00T6LYC72 FIGI</stp>
        <stp>CAPITAL_CONTINGENT_SECURITY</stp>
        <stp>[DIF_Risk_20200430.xlsm]Geneva investment position repo!R95C42</stp>
        <tr r="AP95" s="1"/>
      </tp>
      <tp t="s">
        <v>9/26/2021</v>
        <stp/>
        <stp>##V3_BDPV12</stp>
        <stp>BBG00M0MD1Z7 FIGI</stp>
        <stp>CALC_MATURITY</stp>
        <stp>[DIF_Risk_20200430.xlsm]Geneva investment position repo!R55C55</stp>
        <tr r="BC55" s="1"/>
      </tp>
      <tp t="s">
        <v>3/18/2023</v>
        <stp/>
        <stp>##V3_BDPV12</stp>
        <stp>BBG00S9HKR72 FIGI</stp>
        <stp>CALC_MATURITY</stp>
        <stp>[DIF_Risk_20200430.xlsm]Geneva investment position repo!R36C55</stp>
        <tr r="BC36" s="1"/>
      </tp>
      <tp t="s">
        <v>CN</v>
        <stp/>
        <stp>##V3_BDPV12</stp>
        <stp>BBG00NTXM180 FIGI</stp>
        <stp>CNTRY_OF_RISK</stp>
        <stp>[DIF_Risk_20200430.xlsm]Geneva investment position repo!R136C38</stp>
        <tr r="AL136" s="1"/>
      </tp>
      <tp t="s">
        <v>#N/A Field Not Applicable</v>
        <stp/>
        <stp>##V3_BDPV12</stp>
        <stp>BBG00RPJBQ56 FIGI</stp>
        <stp>SECURITY_TYP2</stp>
        <stp>[DIF_Risk_20200430.xlsm]Geneva investment position repo!R27C21</stp>
        <tr r="U27" s="1"/>
      </tp>
      <tp t="s">
        <v>CN</v>
        <stp/>
        <stp>##V3_BDPV12</stp>
        <stp>BBG00NDFM319 FIGI</stp>
        <stp>CNTRY_OF_RISK</stp>
        <stp>[DIF_Risk_20200430.xlsm]Geneva investment position repo!R140C38</stp>
        <tr r="AL140" s="1"/>
      </tp>
      <tp t="s">
        <v>4/23/2020</v>
        <stp/>
        <stp>##V3_BDPV12</stp>
        <stp>BBG00GDDS1Y1 FIGI</stp>
        <stp>FITCH_EFF_DT</stp>
        <stp>[DIF_Risk_20200430.xlsm]Geneva investment position repo!R109C73</stp>
        <tr r="BU109" s="1"/>
      </tp>
      <tp t="s">
        <v>#N/A N/A</v>
        <stp/>
        <stp>##V3_BDPV12</stp>
        <stp>BBG00K6FDF25 FIGI</stp>
        <stp>MOODY_EFF_DT</stp>
        <stp>[DIF_Risk_20200430.xlsm]Geneva investment position repo!R101C72</stp>
        <tr r="BT101" s="1"/>
      </tp>
      <tp t="s">
        <v>#N/A N/A</v>
        <stp/>
        <stp>##V3_BDPV12</stp>
        <stp>BBG00GSCY4N6 FIGI</stp>
        <stp>FITCH_EFF_DT</stp>
        <stp>[DIF_Risk_20200430.xlsm]Geneva investment position repo!R116C73</stp>
        <tr r="BU116" s="1"/>
      </tp>
      <tp t="s">
        <v>3/25/2020</v>
        <stp/>
        <stp>##V3_BDPV12</stp>
        <stp>BBG00P1GZFC2 FIGI</stp>
        <stp>FITCH_EFF_DT</stp>
        <stp>[DIF_Risk_20200430.xlsm]Geneva investment position repo!R112C73</stp>
        <tr r="BU112" s="1"/>
      </tp>
      <tp t="s">
        <v>ACTV</v>
        <stp/>
        <stp>##V3_BDPV12</stp>
        <stp>BBG00HVHMY65 FIGI</stp>
        <stp>EXCH_MARKET_STATUS</stp>
        <stp>[DIF_Risk_20200430.xlsm]Geneva investment position repo!R119C44</stp>
        <tr r="AR119" s="1"/>
        <tr r="AR119" s="1"/>
      </tp>
      <tp>
        <v>3.7538589785483225</v>
        <stp/>
        <stp>##V3_BDPV12</stp>
        <stp>USY59505AA82 ISIN</stp>
        <stp>DUR_ADJ_MID</stp>
        <stp>[DIF_Risk_20200430.xlsm]Geneva investment position repo!R110C59</stp>
        <tr r="BG110" s="1"/>
      </tp>
      <tp t="s">
        <v>ACTV</v>
        <stp/>
        <stp>##V3_BDPV12</stp>
        <stp>BBG00S6SWBM6 FIGI</stp>
        <stp>EXCH_MARKET_STATUS</stp>
        <stp>[DIF_Risk_20200430.xlsm]Geneva investment position repo!R158C44</stp>
        <tr r="AR158" s="1"/>
        <tr r="AR158" s="1"/>
      </tp>
      <tp t="s">
        <v>8/8/2018</v>
        <stp/>
        <stp>##V3_BDPV12</stp>
        <stp>BBG00LNF6KZ5 FIGI</stp>
        <stp>MOODY_EFF_DT</stp>
        <stp>[DIF_Risk_20200430.xlsm]Geneva investment position repo!R144C72</stp>
        <tr r="BT144" s="1"/>
      </tp>
      <tp t="s">
        <v>EQUI</v>
        <stp/>
        <stp>##V3_BDPV12</stp>
        <stp>BBG000QWR4M8 FIGI</stp>
        <stp>MIFID_ASSET_CLASS</stp>
        <stp>[DIF_Risk_20200430.xlsm]Geneva investment position repo!R8C19</stp>
        <tr r="S8" s="1"/>
      </tp>
      <tp>
        <v>3.4866032505968985</v>
        <stp/>
        <stp>##V3_BDPV12</stp>
        <stp>USY68856AV83 ISIN</stp>
        <stp>YLD_YTM_MID</stp>
        <stp>[DIF_Risk_20200430.xlsm]Geneva investment position repo!R124C61</stp>
        <tr r="BI124" s="1"/>
      </tp>
      <tp t="s">
        <v>3/5/2024</v>
        <stp/>
        <stp>##V3_BDPV12</stp>
        <stp>BBG00PSJ40G0 FIGI</stp>
        <stp>CALC_MATURITY</stp>
        <stp>[DIF_Risk_20200430.xlsm]Geneva investment position repo!R97C55</stp>
        <tr r="BC97" s="1"/>
      </tp>
      <tp t="s">
        <v>6/3/2168</v>
        <stp/>
        <stp>##V3_BDPV12</stp>
        <stp>BBG00MKJ4690 FIGI</stp>
        <stp>CALC_MATURITY</stp>
        <stp>[DIF_Risk_20200430.xlsm]Geneva investment position repo!R54C55</stp>
        <tr r="BC54" s="1"/>
      </tp>
      <tp t="s">
        <v>CN</v>
        <stp/>
        <stp>##V3_BDPV12</stp>
        <stp>BBG00KNCMN62 FIGI</stp>
        <stp>CNTRY_OF_RISK</stp>
        <stp>[DIF_Risk_20200430.xlsm]Geneva investment position repo!R102C38</stp>
        <tr r="AL102" s="1"/>
      </tp>
      <tp t="s">
        <v>CN</v>
        <stp/>
        <stp>##V3_BDPV12</stp>
        <stp>BBG00RZ2MZZ7 FIGI</stp>
        <stp>CNTRY_OF_RISK</stp>
        <stp>[DIF_Risk_20200430.xlsm]Geneva investment position repo!R113C38</stp>
        <tr r="AL113" s="1"/>
      </tp>
      <tp t="s">
        <v>CN</v>
        <stp/>
        <stp>##V3_BDPV12</stp>
        <stp>BBG00HVHMY65 FIGI</stp>
        <stp>CNTRY_OF_RISK</stp>
        <stp>[DIF_Risk_20200430.xlsm]Geneva investment position repo!R119C38</stp>
        <tr r="AL119" s="1"/>
      </tp>
      <tp t="s">
        <v>CN</v>
        <stp/>
        <stp>##V3_BDPV12</stp>
        <stp>BBG00RB0MG61 FIGI</stp>
        <stp>CNTRY_OF_RISK</stp>
        <stp>[DIF_Risk_20200430.xlsm]Geneva investment position repo!R100C38</stp>
        <tr r="AL100" s="1"/>
      </tp>
      <tp t="s">
        <v>CN</v>
        <stp/>
        <stp>##V3_BDPV12</stp>
        <stp>BBG00KDP8LC7 FIGI</stp>
        <stp>CNTRY_OF_RISK</stp>
        <stp>[DIF_Risk_20200430.xlsm]Geneva investment position repo!R49C38</stp>
        <tr r="AL49"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 </a:t>
            </a:r>
          </a:p>
          <a:p>
            <a:pPr>
              <a:defRPr/>
            </a:pPr>
            <a:r>
              <a:rPr lang="en-US" sz="1200" b="1" baseline="0"/>
              <a:t>Asset Allocation by </a:t>
            </a:r>
            <a:r>
              <a:rPr lang="en-US" sz="1200" b="1"/>
              <a:t>Market Value (%)</a:t>
            </a:r>
          </a:p>
        </c:rich>
      </c:tx>
      <c:layout>
        <c:manualLayout>
          <c:xMode val="edge"/>
          <c:yMode val="edge"/>
          <c:x val="0.31276504713122788"/>
          <c:y val="1.24998828309907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937514525714663"/>
          <c:y val="0.22647832138990565"/>
          <c:w val="0.48132577895559736"/>
          <c:h val="0.7473862523258048"/>
        </c:manualLayout>
      </c:layout>
      <c:pieChart>
        <c:varyColors val="1"/>
        <c:ser>
          <c:idx val="2"/>
          <c:order val="0"/>
          <c:tx>
            <c:strRef>
              <c:f>'SFC Report'!$D$17</c:f>
              <c:strCache>
                <c:ptCount val="1"/>
                <c:pt idx="0">
                  <c:v>Market Value (%)</c:v>
                </c:pt>
              </c:strCache>
            </c:strRef>
          </c:tx>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8-1E4D-4408-944E-0A4367C859E7}"/>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5-1E4D-4408-944E-0A4367C859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1E4D-4408-944E-0A4367C859E7}"/>
              </c:ext>
            </c:extLst>
          </c:dPt>
          <c:dLbls>
            <c:dLbl>
              <c:idx val="0"/>
              <c:layout>
                <c:manualLayout>
                  <c:x val="3.8789810788576802E-2"/>
                  <c:y val="-7.3213548603160506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E4D-4408-944E-0A4367C859E7}"/>
                </c:ext>
              </c:extLst>
            </c:dLbl>
            <c:dLbl>
              <c:idx val="1"/>
              <c:layout>
                <c:manualLayout>
                  <c:x val="-2.9533435186273403E-2"/>
                  <c:y val="-0.2674693001504308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E4D-4408-944E-0A4367C859E7}"/>
                </c:ext>
              </c:extLst>
            </c:dLbl>
            <c:dLbl>
              <c:idx val="2"/>
              <c:layout>
                <c:manualLayout>
                  <c:x val="-3.6197751400477922E-2"/>
                  <c:y val="3.329080897528758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3725490196078433"/>
                      <c:h val="0.11671612265084075"/>
                    </c:manualLayout>
                  </c15:layout>
                </c:ext>
                <c:ext xmlns:c16="http://schemas.microsoft.com/office/drawing/2014/chart" uri="{C3380CC4-5D6E-409C-BE32-E72D297353CC}">
                  <c16:uniqueId val="{00000006-1E4D-4408-944E-0A4367C859E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('SFC Report'!$A$19:$A$20,'SFC Report'!$A$24)</c:f>
              <c:strCache>
                <c:ptCount val="3"/>
                <c:pt idx="0">
                  <c:v>Equity</c:v>
                </c:pt>
                <c:pt idx="1">
                  <c:v>Fixed Income</c:v>
                </c:pt>
                <c:pt idx="2">
                  <c:v>Net Cash</c:v>
                </c:pt>
              </c:strCache>
            </c:strRef>
          </c:cat>
          <c:val>
            <c:numRef>
              <c:f>('SFC Report'!$D$19:$D$20,'SFC Report'!$D$24)</c:f>
              <c:numCache>
                <c:formatCode>0.0%</c:formatCode>
                <c:ptCount val="3"/>
                <c:pt idx="0">
                  <c:v>5.653309415823618E-2</c:v>
                </c:pt>
                <c:pt idx="1">
                  <c:v>0.92816685882578975</c:v>
                </c:pt>
                <c:pt idx="2">
                  <c:v>1.5300047015974046E-2</c:v>
                </c:pt>
              </c:numCache>
            </c:numRef>
          </c:val>
          <c:extLst>
            <c:ext xmlns:c16="http://schemas.microsoft.com/office/drawing/2014/chart" uri="{C3380CC4-5D6E-409C-BE32-E72D297353CC}">
              <c16:uniqueId val="{00000002-1E4D-4408-944E-0A4367C859E7}"/>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 </a:t>
            </a:r>
          </a:p>
          <a:p>
            <a:pPr>
              <a:defRPr/>
            </a:pPr>
            <a:r>
              <a:rPr lang="en-US" sz="1200" b="1" baseline="0"/>
              <a:t>Fixed Income Allocation by </a:t>
            </a:r>
            <a:r>
              <a:rPr lang="en-US" sz="1200" b="1"/>
              <a:t>Market Value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295765495463938"/>
          <c:y val="0.22742585427694673"/>
          <c:w val="0.46594320811562134"/>
          <c:h val="0.7413978693839739"/>
        </c:manualLayout>
      </c:layout>
      <c:pieChart>
        <c:varyColors val="1"/>
        <c:ser>
          <c:idx val="2"/>
          <c:order val="0"/>
          <c:tx>
            <c:strRef>
              <c:f>'SFC Report'!$D$17</c:f>
              <c:strCache>
                <c:ptCount val="1"/>
                <c:pt idx="0">
                  <c:v>Market Value (%)</c:v>
                </c:pt>
              </c:strCache>
            </c:strRef>
          </c:tx>
          <c:spPr>
            <a:solidFill>
              <a:schemeClr val="accent6">
                <a:lumMod val="60000"/>
                <a:lumOff val="40000"/>
              </a:schemeClr>
            </a:solidFill>
          </c:spPr>
          <c:dPt>
            <c:idx val="0"/>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1-18C9-4F12-950B-CC5F1B6203E2}"/>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18C9-4F12-950B-CC5F1B6203E2}"/>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18C9-4F12-950B-CC5F1B6203E2}"/>
              </c:ext>
            </c:extLst>
          </c:dPt>
          <c:dLbls>
            <c:dLbl>
              <c:idx val="0"/>
              <c:layout>
                <c:manualLayout>
                  <c:x val="0.13556736091907182"/>
                  <c:y val="1.354948278524008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C9-4F12-950B-CC5F1B6203E2}"/>
                </c:ext>
              </c:extLst>
            </c:dLbl>
            <c:dLbl>
              <c:idx val="1"/>
              <c:layout>
                <c:manualLayout>
                  <c:x val="1.7141581886367715E-2"/>
                  <c:y val="-0.27284893554972306"/>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C9-4F12-950B-CC5F1B6203E2}"/>
                </c:ext>
              </c:extLst>
            </c:dLbl>
            <c:dLbl>
              <c:idx val="2"/>
              <c:layout>
                <c:manualLayout>
                  <c:x val="-0.15059173980331944"/>
                  <c:y val="1.382893314806233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C9-4F12-950B-CC5F1B6203E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'SFC Report'!$A$21:$A$23</c:f>
              <c:strCache>
                <c:ptCount val="3"/>
                <c:pt idx="0">
                  <c:v>Government</c:v>
                </c:pt>
                <c:pt idx="1">
                  <c:v>Corporate</c:v>
                </c:pt>
                <c:pt idx="2">
                  <c:v>Derivatives</c:v>
                </c:pt>
              </c:strCache>
            </c:strRef>
          </c:cat>
          <c:val>
            <c:numRef>
              <c:f>'SFC Report'!$D$21:$D$23</c:f>
              <c:numCache>
                <c:formatCode>0.0%</c:formatCode>
                <c:ptCount val="3"/>
                <c:pt idx="0">
                  <c:v>1.3850717510037143E-2</c:v>
                </c:pt>
                <c:pt idx="1">
                  <c:v>0.91431614131575256</c:v>
                </c:pt>
                <c:pt idx="2">
                  <c:v>0</c:v>
                </c:pt>
              </c:numCache>
            </c:numRef>
          </c:val>
          <c:extLst>
            <c:ext xmlns:c16="http://schemas.microsoft.com/office/drawing/2014/chart" uri="{C3380CC4-5D6E-409C-BE32-E72D297353CC}">
              <c16:uniqueId val="{00000008-18C9-4F12-950B-CC5F1B6203E2}"/>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b="1"/>
            </a:pPr>
            <a:r>
              <a:rPr lang="en-US" sz="1200" b="1" baseline="0"/>
              <a:t>Fixed Income - Sector Allocation by Market Value (%) </a:t>
            </a:r>
            <a:endParaRPr lang="en-US" sz="12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'Sector Allocation'!$B$5</c:f>
              <c:strCache>
                <c:ptCount val="1"/>
                <c:pt idx="0">
                  <c:v>Investment Grade</c:v>
                </c:pt>
              </c:strCache>
            </c:strRef>
          </c:tx>
          <c:spPr>
            <a:solidFill>
              <a:schemeClr val="accent1"/>
            </a:solidFill>
            <a:ln>
              <a:noFill/>
            </a:ln>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1B-8CDA-4F2B-9913-78A8AEBC56D8}"/>
              </c:ext>
            </c:extLst>
          </c:dPt>
          <c:dLbls>
            <c:dLbl>
              <c:idx val="0"/>
              <c:layout>
                <c:manualLayout>
                  <c:x val="0"/>
                  <c:y val="-3.2876712328767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8CDA-4F2B-9913-78A8AEBC56D8}"/>
                </c:ext>
              </c:extLst>
            </c:dLbl>
            <c:dLbl>
              <c:idx val="2"/>
              <c:layout>
                <c:manualLayout>
                  <c:x val="-2.2130011903159184E-3"/>
                  <c:y val="-5.1141552511415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38A-424D-B2A8-DF88DD48E7AB}"/>
                </c:ext>
              </c:extLst>
            </c:dLbl>
            <c:dLbl>
              <c:idx val="3"/>
              <c:delete val="1"/>
              <c:extLst>
                <c:ext xmlns:c15="http://schemas.microsoft.com/office/drawing/2012/chart" uri="{CE6537A1-D6FC-4f65-9D91-7224C49458BB}"/>
                <c:ext xmlns:c16="http://schemas.microsoft.com/office/drawing/2014/chart" uri="{C3380CC4-5D6E-409C-BE32-E72D297353CC}">
                  <c16:uniqueId val="{00000010-8CDA-4F2B-9913-78A8AEBC56D8}"/>
                </c:ext>
              </c:extLst>
            </c:dLbl>
            <c:dLbl>
              <c:idx val="4"/>
              <c:delete val="1"/>
              <c:extLst>
                <c:ext xmlns:c15="http://schemas.microsoft.com/office/drawing/2012/chart" uri="{CE6537A1-D6FC-4f65-9D91-7224C49458BB}"/>
                <c:ext xmlns:c16="http://schemas.microsoft.com/office/drawing/2014/chart" uri="{C3380CC4-5D6E-409C-BE32-E72D297353CC}">
                  <c16:uniqueId val="{00000011-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Allocation'!$B$7:$B$11</c:f>
              <c:numCache>
                <c:formatCode>0%</c:formatCode>
                <c:ptCount val="5"/>
                <c:pt idx="0">
                  <c:v>1.2827000155058662E-2</c:v>
                </c:pt>
                <c:pt idx="1">
                  <c:v>0.28596958334715528</c:v>
                </c:pt>
                <c:pt idx="2">
                  <c:v>0</c:v>
                </c:pt>
                <c:pt idx="3">
                  <c:v>0</c:v>
                </c:pt>
                <c:pt idx="4">
                  <c:v>0</c:v>
                </c:pt>
              </c:numCache>
            </c:numRef>
          </c:val>
          <c:extLst>
            <c:ext xmlns:c16="http://schemas.microsoft.com/office/drawing/2014/chart" uri="{C3380CC4-5D6E-409C-BE32-E72D297353CC}">
              <c16:uniqueId val="{00000000-8CDA-4F2B-9913-78A8AEBC56D8}"/>
            </c:ext>
          </c:extLst>
        </c:ser>
        <c:ser>
          <c:idx val="1"/>
          <c:order val="1"/>
          <c:tx>
            <c:strRef>
              <c:f>'Sector Allocation'!$C$5</c:f>
              <c:strCache>
                <c:ptCount val="1"/>
                <c:pt idx="0">
                  <c:v>Non-Investment Grade</c:v>
                </c:pt>
              </c:strCache>
            </c:strRef>
          </c:tx>
          <c:spPr>
            <a:solidFill>
              <a:schemeClr val="accent2"/>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16-8CDA-4F2B-9913-78A8AEBC56D8}"/>
              </c:ext>
            </c:extLst>
          </c:dPt>
          <c:dLbls>
            <c:dLbl>
              <c:idx val="0"/>
              <c:delete val="1"/>
              <c:extLst>
                <c:ext xmlns:c15="http://schemas.microsoft.com/office/drawing/2012/chart" uri="{CE6537A1-D6FC-4f65-9D91-7224C49458BB}"/>
                <c:ext xmlns:c16="http://schemas.microsoft.com/office/drawing/2014/chart" uri="{C3380CC4-5D6E-409C-BE32-E72D297353CC}">
                  <c16:uniqueId val="{0000001A-8CDA-4F2B-9913-78A8AEBC56D8}"/>
                </c:ext>
              </c:extLst>
            </c:dLbl>
            <c:dLbl>
              <c:idx val="2"/>
              <c:delete val="1"/>
              <c:extLst>
                <c:ext xmlns:c15="http://schemas.microsoft.com/office/drawing/2012/chart" uri="{CE6537A1-D6FC-4f65-9D91-7224C49458BB}"/>
                <c:ext xmlns:c16="http://schemas.microsoft.com/office/drawing/2014/chart" uri="{C3380CC4-5D6E-409C-BE32-E72D297353CC}">
                  <c16:uniqueId val="{00000004-297D-4FEA-926C-10B55EF57860}"/>
                </c:ext>
              </c:extLst>
            </c:dLbl>
            <c:dLbl>
              <c:idx val="3"/>
              <c:delete val="1"/>
              <c:extLst>
                <c:ext xmlns:c15="http://schemas.microsoft.com/office/drawing/2012/chart" uri="{CE6537A1-D6FC-4f65-9D91-7224C49458BB}"/>
                <c:ext xmlns:c16="http://schemas.microsoft.com/office/drawing/2014/chart" uri="{C3380CC4-5D6E-409C-BE32-E72D297353CC}">
                  <c16:uniqueId val="{00000019-8CDA-4F2B-9913-78A8AEBC56D8}"/>
                </c:ext>
              </c:extLst>
            </c:dLbl>
            <c:dLbl>
              <c:idx val="4"/>
              <c:delete val="1"/>
              <c:extLst>
                <c:ext xmlns:c15="http://schemas.microsoft.com/office/drawing/2012/chart" uri="{CE6537A1-D6FC-4f65-9D91-7224C49458BB}"/>
                <c:ext xmlns:c16="http://schemas.microsoft.com/office/drawing/2014/chart" uri="{C3380CC4-5D6E-409C-BE32-E72D297353CC}">
                  <c16:uniqueId val="{00000018-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Allocation'!$C$7:$C$11</c:f>
              <c:numCache>
                <c:formatCode>0%</c:formatCode>
                <c:ptCount val="5"/>
                <c:pt idx="0">
                  <c:v>2.0956588241247544E-3</c:v>
                </c:pt>
                <c:pt idx="1">
                  <c:v>0.67637294194396724</c:v>
                </c:pt>
                <c:pt idx="2">
                  <c:v>2.2734815729694172E-2</c:v>
                </c:pt>
                <c:pt idx="3">
                  <c:v>0</c:v>
                </c:pt>
                <c:pt idx="4">
                  <c:v>0</c:v>
                </c:pt>
              </c:numCache>
            </c:numRef>
          </c:val>
          <c:extLst>
            <c:ext xmlns:c16="http://schemas.microsoft.com/office/drawing/2014/chart" uri="{C3380CC4-5D6E-409C-BE32-E72D297353CC}">
              <c16:uniqueId val="{00000001-8CDA-4F2B-9913-78A8AEBC56D8}"/>
            </c:ext>
          </c:extLst>
        </c:ser>
        <c:ser>
          <c:idx val="2"/>
          <c:order val="2"/>
          <c:tx>
            <c:strRef>
              <c:f>'Sector Allocation'!$D$5</c:f>
              <c:strCache>
                <c:ptCount val="1"/>
                <c:pt idx="0">
                  <c:v>Others</c:v>
                </c:pt>
              </c:strCache>
            </c:strRef>
          </c:tx>
          <c:spPr>
            <a:solidFill>
              <a:schemeClr val="accent3"/>
            </a:solidFill>
            <a:ln>
              <a:noFill/>
            </a:ln>
            <a:effectLst/>
          </c:spPr>
          <c:invertIfNegative val="0"/>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Allocation'!$D$7:$D$11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8CDA-4F2B-9913-78A8AEBC56D8}"/>
            </c:ext>
          </c:extLst>
        </c:ser>
        <c:dLbls>
          <c:showLegendKey val="0"/>
          <c:showVal val="0"/>
          <c:showCatName val="0"/>
          <c:showSerName val="0"/>
          <c:showPercent val="0"/>
          <c:showBubbleSize val="0"/>
        </c:dLbls>
        <c:gapWidth val="150"/>
        <c:overlap val="100"/>
        <c:axId val="835678752"/>
        <c:axId val="835679080"/>
        <c:extLst>
          <c:ext xmlns:c15="http://schemas.microsoft.com/office/drawing/2012/chart" uri="{02D57815-91ED-43cb-92C2-25804820EDAC}">
            <c15:filteredBarSeries>
              <c15:ser>
                <c:idx val="3"/>
                <c:order val="3"/>
                <c:tx>
                  <c:strRef>
                    <c:extLst>
                      <c:ext uri="{02D57815-91ED-43cb-92C2-25804820EDAC}">
                        <c15:formulaRef>
                          <c15:sqref>'Sector Allocation'!$E$5:$E$6</c15:sqref>
                        </c15:formulaRef>
                      </c:ext>
                    </c:extLst>
                    <c:strCache>
                      <c:ptCount val="2"/>
                      <c:pt idx="0">
                        <c:v>30-Apr-20</c:v>
                      </c:pt>
                    </c:strCache>
                  </c:strRef>
                </c:tx>
                <c:spPr>
                  <a:solidFill>
                    <a:schemeClr val="accent4"/>
                  </a:solidFill>
                  <a:ln>
                    <a:noFill/>
                  </a:ln>
                  <a:effectLst/>
                </c:spPr>
                <c:invertIfNegative val="0"/>
                <c:dLbls>
                  <c:dLbl>
                    <c:idx val="0"/>
                    <c:delete val="1"/>
                    <c:extLst>
                      <c:ext uri="{CE6537A1-D6FC-4f65-9D91-7224C49458BB}"/>
                      <c:ext xmlns:c16="http://schemas.microsoft.com/office/drawing/2014/chart" uri="{C3380CC4-5D6E-409C-BE32-E72D297353CC}">
                        <c16:uniqueId val="{00000015-8CDA-4F2B-9913-78A8AEBC56D8}"/>
                      </c:ext>
                    </c:extLst>
                  </c:dLbl>
                  <c:dLbl>
                    <c:idx val="3"/>
                    <c:delete val="1"/>
                    <c:extLst>
                      <c:ext uri="{CE6537A1-D6FC-4f65-9D91-7224C49458BB}"/>
                      <c:ext xmlns:c16="http://schemas.microsoft.com/office/drawing/2014/chart" uri="{C3380CC4-5D6E-409C-BE32-E72D297353CC}">
                        <c16:uniqueId val="{00000013-8CDA-4F2B-9913-78A8AEBC56D8}"/>
                      </c:ext>
                    </c:extLst>
                  </c:dLbl>
                  <c:dLbl>
                    <c:idx val="4"/>
                    <c:delete val="1"/>
                    <c:extLst>
                      <c:ext uri="{CE6537A1-D6FC-4f65-9D91-7224C49458BB}"/>
                      <c:ext xmlns:c16="http://schemas.microsoft.com/office/drawing/2014/chart" uri="{C3380CC4-5D6E-409C-BE32-E72D297353CC}">
                        <c16:uniqueId val="{00000012-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'Sector Allocation'!$A$7:$A$11</c15:sqref>
                        </c15:formulaRef>
                      </c:ext>
                    </c:extLst>
                    <c:strCache>
                      <c:ptCount val="5"/>
                      <c:pt idx="0">
                        <c:v>Government / Municipal</c:v>
                      </c:pt>
                      <c:pt idx="1">
                        <c:v>Corporate</c:v>
                      </c:pt>
                      <c:pt idx="2">
                        <c:v>Additional Tier 1/ Contingent Convertibles </c:v>
                      </c:pt>
                      <c:pt idx="3">
                        <c:v>Derivatives</c:v>
                      </c:pt>
                      <c:pt idx="4">
                        <c:v>Cash Equivalent</c:v>
                      </c:pt>
                    </c:strCache>
                  </c:strRef>
                </c:cat>
                <c:val>
                  <c:numRef>
                    <c:extLst>
                      <c:ext uri="{02D57815-91ED-43cb-92C2-25804820EDAC}">
                        <c15:formulaRef>
                          <c15:sqref>'Sector Allocation'!$E$7:$E$11</c15:sqref>
                        </c15:formulaRef>
                      </c:ext>
                    </c:extLst>
                    <c:numCache>
                      <c:formatCode>0%</c:formatCode>
                      <c:ptCount val="5"/>
                      <c:pt idx="0">
                        <c:v>1.4922658979183417E-2</c:v>
                      </c:pt>
                      <c:pt idx="1">
                        <c:v>0.96234252529112252</c:v>
                      </c:pt>
                      <c:pt idx="2">
                        <c:v>2.2734815729694172E-2</c:v>
                      </c:pt>
                      <c:pt idx="3">
                        <c:v>0</c:v>
                      </c:pt>
                      <c:pt idx="4">
                        <c:v>0</c:v>
                      </c:pt>
                    </c:numCache>
                  </c:numRef>
                </c:val>
                <c:extLst>
                  <c:ext xmlns:c16="http://schemas.microsoft.com/office/drawing/2014/chart" uri="{C3380CC4-5D6E-409C-BE32-E72D297353CC}">
                    <c16:uniqueId val="{00000003-8CDA-4F2B-9913-78A8AEBC56D8}"/>
                  </c:ext>
                </c:extLst>
              </c15:ser>
            </c15:filteredBarSeries>
          </c:ext>
        </c:extLst>
      </c:barChart>
      <c:catAx>
        <c:axId val="83567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79080"/>
        <c:crosses val="autoZero"/>
        <c:auto val="1"/>
        <c:lblAlgn val="ctr"/>
        <c:lblOffset val="100"/>
        <c:noMultiLvlLbl val="0"/>
      </c:catAx>
      <c:valAx>
        <c:axId val="835679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7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Diversified Income Fund</a:t>
            </a:r>
          </a:p>
          <a:p>
            <a:pPr>
              <a:defRPr/>
            </a:pPr>
            <a:r>
              <a:rPr lang="en-US" sz="1100"/>
              <a:t>Liquidity Horizon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'SFC Report'!$C$102</c:f>
              <c:strCache>
                <c:ptCount val="1"/>
                <c:pt idx="0">
                  <c:v>Equity</c:v>
                </c:pt>
              </c:strCache>
            </c:strRef>
          </c:tx>
          <c:spPr>
            <a:solidFill>
              <a:schemeClr val="accent1"/>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AED-4C9B-9A55-4D0E4A9C77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Report'!$C$104:$C$107</c:f>
              <c:numCache>
                <c:formatCode>0.0%</c:formatCode>
                <c:ptCount val="4"/>
                <c:pt idx="0">
                  <c:v>5.4701530674495236E-2</c:v>
                </c:pt>
                <c:pt idx="1">
                  <c:v>1.831563483740928E-3</c:v>
                </c:pt>
                <c:pt idx="2">
                  <c:v>0</c:v>
                </c:pt>
                <c:pt idx="3">
                  <c:v>0</c:v>
                </c:pt>
              </c:numCache>
            </c:numRef>
          </c:val>
          <c:extLst>
            <c:ext xmlns:c16="http://schemas.microsoft.com/office/drawing/2014/chart" uri="{C3380CC4-5D6E-409C-BE32-E72D297353CC}">
              <c16:uniqueId val="{00000000-6E38-4A7C-9381-A7B66E114D1E}"/>
            </c:ext>
          </c:extLst>
        </c:ser>
        <c:ser>
          <c:idx val="1"/>
          <c:order val="1"/>
          <c:tx>
            <c:strRef>
              <c:f>'SFC Report'!$D$102</c:f>
              <c:strCache>
                <c:ptCount val="1"/>
                <c:pt idx="0">
                  <c:v>Fixed Income</c:v>
                </c:pt>
              </c:strCache>
            </c:strRef>
          </c:tx>
          <c:spPr>
            <a:solidFill>
              <a:schemeClr val="accent2"/>
            </a:solidFill>
            <a:ln>
              <a:noFill/>
            </a:ln>
            <a:effectLst/>
          </c:spPr>
          <c:invertIfNegative val="0"/>
          <c:dLbls>
            <c:dLbl>
              <c:idx val="2"/>
              <c:layout>
                <c:manualLayout>
                  <c:x val="-7.0241855605272704E-17"/>
                  <c:y val="-3.659519290398974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5641693915240283E-2"/>
                      <c:h val="4.1320729896829715E-2"/>
                    </c:manualLayout>
                  </c15:layout>
                </c:ext>
                <c:ext xmlns:c16="http://schemas.microsoft.com/office/drawing/2014/chart" uri="{C3380CC4-5D6E-409C-BE32-E72D297353CC}">
                  <c16:uniqueId val="{00000000-BAED-4C9B-9A55-4D0E4A9C773E}"/>
                </c:ext>
              </c:extLst>
            </c:dLbl>
            <c:dLbl>
              <c:idx val="3"/>
              <c:layout>
                <c:manualLayout>
                  <c:x val="-1.4048371121054541E-16"/>
                  <c:y val="-3.81861575178997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AED-4C9B-9A55-4D0E4A9C77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Report'!$D$104:$D$107</c:f>
              <c:numCache>
                <c:formatCode>0.0%</c:formatCode>
                <c:ptCount val="4"/>
                <c:pt idx="0">
                  <c:v>0.85569468270494198</c:v>
                </c:pt>
                <c:pt idx="1">
                  <c:v>5.3700425234498195E-2</c:v>
                </c:pt>
                <c:pt idx="2">
                  <c:v>0</c:v>
                </c:pt>
                <c:pt idx="3">
                  <c:v>1.8771750886349456E-2</c:v>
                </c:pt>
              </c:numCache>
            </c:numRef>
          </c:val>
          <c:extLst>
            <c:ext xmlns:c16="http://schemas.microsoft.com/office/drawing/2014/chart" uri="{C3380CC4-5D6E-409C-BE32-E72D297353CC}">
              <c16:uniqueId val="{00000001-6E38-4A7C-9381-A7B66E114D1E}"/>
            </c:ext>
          </c:extLst>
        </c:ser>
        <c:ser>
          <c:idx val="2"/>
          <c:order val="2"/>
          <c:tx>
            <c:strRef>
              <c:f>'SFC Report'!$E$102</c:f>
              <c:strCache>
                <c:ptCount val="1"/>
                <c:pt idx="0">
                  <c:v>Others</c:v>
                </c:pt>
              </c:strCache>
            </c:strRef>
          </c:tx>
          <c:spPr>
            <a:solidFill>
              <a:schemeClr val="accent3"/>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3-6E38-4A7C-9381-A7B66E114D1E}"/>
                </c:ext>
              </c:extLst>
            </c:dLbl>
            <c:dLbl>
              <c:idx val="2"/>
              <c:delete val="1"/>
              <c:extLst>
                <c:ext xmlns:c15="http://schemas.microsoft.com/office/drawing/2012/chart" uri="{CE6537A1-D6FC-4f65-9D91-7224C49458BB}"/>
                <c:ext xmlns:c16="http://schemas.microsoft.com/office/drawing/2014/chart" uri="{C3380CC4-5D6E-409C-BE32-E72D297353CC}">
                  <c16:uniqueId val="{00000004-6E38-4A7C-9381-A7B66E114D1E}"/>
                </c:ext>
              </c:extLst>
            </c:dLbl>
            <c:dLbl>
              <c:idx val="3"/>
              <c:delete val="1"/>
              <c:extLst>
                <c:ext xmlns:c15="http://schemas.microsoft.com/office/drawing/2012/chart" uri="{CE6537A1-D6FC-4f65-9D91-7224C49458BB}"/>
                <c:ext xmlns:c16="http://schemas.microsoft.com/office/drawing/2014/chart" uri="{C3380CC4-5D6E-409C-BE32-E72D297353CC}">
                  <c16:uniqueId val="{00000005-6E38-4A7C-9381-A7B66E114D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Report'!$E$104:$E$107</c:f>
              <c:numCache>
                <c:formatCode>0.0%</c:formatCode>
                <c:ptCount val="4"/>
                <c:pt idx="0">
                  <c:v>1.5300047015974044E-2</c:v>
                </c:pt>
                <c:pt idx="1">
                  <c:v>0</c:v>
                </c:pt>
                <c:pt idx="2">
                  <c:v>0</c:v>
                </c:pt>
                <c:pt idx="3">
                  <c:v>0</c:v>
                </c:pt>
              </c:numCache>
            </c:numRef>
          </c:val>
          <c:extLst>
            <c:ext xmlns:c16="http://schemas.microsoft.com/office/drawing/2014/chart" uri="{C3380CC4-5D6E-409C-BE32-E72D297353CC}">
              <c16:uniqueId val="{00000002-6E38-4A7C-9381-A7B66E114D1E}"/>
            </c:ext>
          </c:extLst>
        </c:ser>
        <c:dLbls>
          <c:showLegendKey val="0"/>
          <c:showVal val="0"/>
          <c:showCatName val="0"/>
          <c:showSerName val="0"/>
          <c:showPercent val="0"/>
          <c:showBubbleSize val="0"/>
        </c:dLbls>
        <c:gapWidth val="219"/>
        <c:overlap val="100"/>
        <c:axId val="825459112"/>
        <c:axId val="825457472"/>
      </c:barChart>
      <c:catAx>
        <c:axId val="825459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7472"/>
        <c:crosses val="autoZero"/>
        <c:auto val="1"/>
        <c:lblAlgn val="ctr"/>
        <c:lblOffset val="100"/>
        <c:noMultiLvlLbl val="0"/>
      </c:catAx>
      <c:valAx>
        <c:axId val="82545747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Diversified Income Fund</a:t>
            </a:r>
          </a:p>
          <a:p>
            <a:pPr>
              <a:defRPr/>
            </a:pPr>
            <a:r>
              <a:rPr lang="en-US" sz="1100"/>
              <a:t>Liquidity Horizon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'SFC Report'!$C$161</c:f>
              <c:strCache>
                <c:ptCount val="1"/>
                <c:pt idx="0">
                  <c:v>Equity</c:v>
                </c:pt>
              </c:strCache>
            </c:strRef>
          </c:tx>
          <c:spPr>
            <a:solidFill>
              <a:schemeClr val="accent1"/>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B-0B24-46EF-8C08-110870744696}"/>
                </c:ext>
              </c:extLst>
            </c:dLbl>
            <c:dLbl>
              <c:idx val="2"/>
              <c:delete val="1"/>
              <c:extLst>
                <c:ext xmlns:c15="http://schemas.microsoft.com/office/drawing/2012/chart" uri="{CE6537A1-D6FC-4f65-9D91-7224C49458BB}"/>
                <c:ext xmlns:c16="http://schemas.microsoft.com/office/drawing/2014/chart" uri="{C3380CC4-5D6E-409C-BE32-E72D297353CC}">
                  <c16:uniqueId val="{0000000A-0B24-46EF-8C08-110870744696}"/>
                </c:ext>
              </c:extLst>
            </c:dLbl>
            <c:dLbl>
              <c:idx val="3"/>
              <c:delete val="1"/>
              <c:extLst>
                <c:ext xmlns:c15="http://schemas.microsoft.com/office/drawing/2012/chart" uri="{CE6537A1-D6FC-4f65-9D91-7224C49458BB}"/>
                <c:ext xmlns:c16="http://schemas.microsoft.com/office/drawing/2014/chart" uri="{C3380CC4-5D6E-409C-BE32-E72D297353CC}">
                  <c16:uniqueId val="{00000009-0B24-46EF-8C08-1108707446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Report'!$C$163:$C$166</c:f>
              <c:numCache>
                <c:formatCode>0.0%</c:formatCode>
                <c:ptCount val="4"/>
                <c:pt idx="0">
                  <c:v>4.6373508312707937E-2</c:v>
                </c:pt>
                <c:pt idx="1">
                  <c:v>8.3280223617873093E-3</c:v>
                </c:pt>
                <c:pt idx="2">
                  <c:v>0</c:v>
                </c:pt>
                <c:pt idx="3">
                  <c:v>1.8315634837409282E-3</c:v>
                </c:pt>
              </c:numCache>
            </c:numRef>
          </c:val>
          <c:extLst>
            <c:ext xmlns:c16="http://schemas.microsoft.com/office/drawing/2014/chart" uri="{C3380CC4-5D6E-409C-BE32-E72D297353CC}">
              <c16:uniqueId val="{00000001-0B24-46EF-8C08-110870744696}"/>
            </c:ext>
          </c:extLst>
        </c:ser>
        <c:ser>
          <c:idx val="1"/>
          <c:order val="1"/>
          <c:tx>
            <c:strRef>
              <c:f>'SFC Report'!$D$161</c:f>
              <c:strCache>
                <c:ptCount val="1"/>
                <c:pt idx="0">
                  <c:v>Fixed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Report'!$D$163:$D$166</c:f>
              <c:numCache>
                <c:formatCode>0.0%</c:formatCode>
                <c:ptCount val="4"/>
                <c:pt idx="0">
                  <c:v>0.72967162745957148</c:v>
                </c:pt>
                <c:pt idx="1">
                  <c:v>0.13146293929823338</c:v>
                </c:pt>
                <c:pt idx="2">
                  <c:v>1.2838680331181303E-2</c:v>
                </c:pt>
                <c:pt idx="3">
                  <c:v>5.4193611736803662E-2</c:v>
                </c:pt>
              </c:numCache>
            </c:numRef>
          </c:val>
          <c:extLst>
            <c:ext xmlns:c16="http://schemas.microsoft.com/office/drawing/2014/chart" uri="{C3380CC4-5D6E-409C-BE32-E72D297353CC}">
              <c16:uniqueId val="{00000004-0B24-46EF-8C08-110870744696}"/>
            </c:ext>
          </c:extLst>
        </c:ser>
        <c:ser>
          <c:idx val="2"/>
          <c:order val="2"/>
          <c:tx>
            <c:strRef>
              <c:f>'SFC Report'!$E$161</c:f>
              <c:strCache>
                <c:ptCount val="1"/>
                <c:pt idx="0">
                  <c:v>Others</c:v>
                </c:pt>
              </c:strCache>
            </c:strRef>
          </c:tx>
          <c:spPr>
            <a:solidFill>
              <a:schemeClr val="accent3"/>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5-0B24-46EF-8C08-110870744696}"/>
                </c:ext>
              </c:extLst>
            </c:dLbl>
            <c:dLbl>
              <c:idx val="2"/>
              <c:delete val="1"/>
              <c:extLst>
                <c:ext xmlns:c15="http://schemas.microsoft.com/office/drawing/2012/chart" uri="{CE6537A1-D6FC-4f65-9D91-7224C49458BB}"/>
                <c:ext xmlns:c16="http://schemas.microsoft.com/office/drawing/2014/chart" uri="{C3380CC4-5D6E-409C-BE32-E72D297353CC}">
                  <c16:uniqueId val="{00000006-0B24-46EF-8C08-110870744696}"/>
                </c:ext>
              </c:extLst>
            </c:dLbl>
            <c:dLbl>
              <c:idx val="3"/>
              <c:delete val="1"/>
              <c:extLst>
                <c:ext xmlns:c15="http://schemas.microsoft.com/office/drawing/2012/chart" uri="{CE6537A1-D6FC-4f65-9D91-7224C49458BB}"/>
                <c:ext xmlns:c16="http://schemas.microsoft.com/office/drawing/2014/chart" uri="{C3380CC4-5D6E-409C-BE32-E72D297353CC}">
                  <c16:uniqueId val="{00000007-0B24-46EF-8C08-1108707446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Report'!$E$163:$E$166</c:f>
              <c:numCache>
                <c:formatCode>0.0%</c:formatCode>
                <c:ptCount val="4"/>
                <c:pt idx="0">
                  <c:v>1.5300047015974046E-2</c:v>
                </c:pt>
                <c:pt idx="1">
                  <c:v>0</c:v>
                </c:pt>
                <c:pt idx="2">
                  <c:v>0</c:v>
                </c:pt>
                <c:pt idx="3">
                  <c:v>0</c:v>
                </c:pt>
              </c:numCache>
            </c:numRef>
          </c:val>
          <c:extLst>
            <c:ext xmlns:c16="http://schemas.microsoft.com/office/drawing/2014/chart" uri="{C3380CC4-5D6E-409C-BE32-E72D297353CC}">
              <c16:uniqueId val="{00000008-0B24-46EF-8C08-110870744696}"/>
            </c:ext>
          </c:extLst>
        </c:ser>
        <c:dLbls>
          <c:showLegendKey val="0"/>
          <c:showVal val="0"/>
          <c:showCatName val="0"/>
          <c:showSerName val="0"/>
          <c:showPercent val="0"/>
          <c:showBubbleSize val="0"/>
        </c:dLbls>
        <c:gapWidth val="219"/>
        <c:overlap val="100"/>
        <c:axId val="825459112"/>
        <c:axId val="825457472"/>
      </c:barChart>
      <c:catAx>
        <c:axId val="825459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7472"/>
        <c:crosses val="autoZero"/>
        <c:auto val="1"/>
        <c:lblAlgn val="ctr"/>
        <c:lblOffset val="100"/>
        <c:noMultiLvlLbl val="0"/>
      </c:catAx>
      <c:valAx>
        <c:axId val="82545747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a:pPr>
            <a:r>
              <a:rPr lang="en-US" sz="1200" b="0" baseline="0"/>
              <a:t>Fixed Income - Industry Group Allocation by Market Value (%)</a:t>
            </a:r>
            <a:endParaRPr lang="en-US" sz="1200"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5039947647453513E-2"/>
          <c:y val="0.15791022533314578"/>
          <c:w val="0.78117057188556882"/>
          <c:h val="0.48388713140695333"/>
        </c:manualLayout>
      </c:layout>
      <c:barChart>
        <c:barDir val="col"/>
        <c:grouping val="clustered"/>
        <c:varyColors val="0"/>
        <c:ser>
          <c:idx val="1"/>
          <c:order val="1"/>
          <c:tx>
            <c:strRef>
              <c:f>'Industry Breakdown'!$D$26</c:f>
              <c:strCache>
                <c:ptCount val="1"/>
                <c:pt idx="0">
                  <c:v>30-Apr-20</c:v>
                </c:pt>
              </c:strCache>
            </c:strRef>
          </c:tx>
          <c:spPr>
            <a:solidFill>
              <a:schemeClr val="accent5">
                <a:lumMod val="50000"/>
              </a:schemeClr>
            </a:solidFill>
            <a:ln>
              <a:noFill/>
            </a:ln>
            <a:effectLst/>
          </c:spPr>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1-4999-48A9-B4D8-0D2F46144F73}"/>
              </c:ext>
            </c:extLst>
          </c:dPt>
          <c:dLbls>
            <c:dLbl>
              <c:idx val="0"/>
              <c:layout>
                <c:manualLayout>
                  <c:x val="3.51034134001224E-2"/>
                  <c:y val="4.0267684660395565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999-48A9-B4D8-0D2F46144F73}"/>
                </c:ext>
              </c:extLst>
            </c:dLbl>
            <c:dLbl>
              <c:idx val="1"/>
              <c:layout>
                <c:manualLayout>
                  <c:x val="1.5804641982638953E-3"/>
                  <c:y val="2.6734152155036949E-3"/>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010093317118498E-2"/>
                      <c:h val="5.5752736271174483E-2"/>
                    </c:manualLayout>
                  </c15:layout>
                </c:ext>
                <c:ext xmlns:c16="http://schemas.microsoft.com/office/drawing/2014/chart" uri="{C3380CC4-5D6E-409C-BE32-E72D297353CC}">
                  <c16:uniqueId val="{00000002-4999-48A9-B4D8-0D2F46144F7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Breakdown'!$D$27:$D$47</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3-4999-48A9-B4D8-0D2F46144F73}"/>
            </c:ext>
          </c:extLst>
        </c:ser>
        <c:ser>
          <c:idx val="3"/>
          <c:order val="2"/>
          <c:tx>
            <c:strRef>
              <c:f>'Industry Breakdown'!$E$26</c:f>
              <c:strCache>
                <c:ptCount val="1"/>
                <c:pt idx="0">
                  <c:v>30-Mar-20</c:v>
                </c:pt>
              </c:strCache>
            </c:strRef>
          </c:tx>
          <c:spPr>
            <a:solidFill>
              <a:schemeClr val="accent1">
                <a:lumMod val="60000"/>
                <a:lumOff val="40000"/>
              </a:schemeClr>
            </a:solidFill>
            <a:ln>
              <a:noFill/>
            </a:ln>
            <a:effectLst/>
          </c:spPr>
          <c:invertIfNegative val="0"/>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Breakdown'!$E$27:$E$47</c:f>
              <c:numCache>
                <c:formatCode>0.00%</c:formatCode>
                <c:ptCount val="21"/>
                <c:pt idx="0">
                  <c:v>0.56186519207432384</c:v>
                </c:pt>
                <c:pt idx="1">
                  <c:v>0.11788124411532086</c:v>
                </c:pt>
                <c:pt idx="2">
                  <c:v>4.156845526401319E-2</c:v>
                </c:pt>
                <c:pt idx="3">
                  <c:v>4.5298470478262104E-2</c:v>
                </c:pt>
                <c:pt idx="4">
                  <c:v>3.1905535058767399E-2</c:v>
                </c:pt>
                <c:pt idx="5">
                  <c:v>0</c:v>
                </c:pt>
                <c:pt idx="6">
                  <c:v>2.8989473098245035E-2</c:v>
                </c:pt>
                <c:pt idx="7">
                  <c:v>2.9046358260476048E-2</c:v>
                </c:pt>
                <c:pt idx="8">
                  <c:v>2.2416662087162899E-2</c:v>
                </c:pt>
                <c:pt idx="9">
                  <c:v>2.0400400466011551E-2</c:v>
                </c:pt>
                <c:pt idx="10">
                  <c:v>1.6410449928154075E-2</c:v>
                </c:pt>
                <c:pt idx="11">
                  <c:v>5.9004798170793704E-3</c:v>
                </c:pt>
                <c:pt idx="12">
                  <c:v>1.7636868013147889E-2</c:v>
                </c:pt>
                <c:pt idx="13">
                  <c:v>2.1433356218925163E-2</c:v>
                </c:pt>
                <c:pt idx="14">
                  <c:v>8.5246619093163976E-3</c:v>
                </c:pt>
                <c:pt idx="15">
                  <c:v>1.8341241967807426E-2</c:v>
                </c:pt>
                <c:pt idx="16">
                  <c:v>3.7165729397300278E-3</c:v>
                </c:pt>
                <c:pt idx="17">
                  <c:v>0</c:v>
                </c:pt>
                <c:pt idx="18">
                  <c:v>2.0093295060242232E-3</c:v>
                </c:pt>
                <c:pt idx="19">
                  <c:v>6.5368499607993446E-3</c:v>
                </c:pt>
                <c:pt idx="20">
                  <c:v>0</c:v>
                </c:pt>
              </c:numCache>
            </c:numRef>
          </c:val>
          <c:extLst>
            <c:ext xmlns:c16="http://schemas.microsoft.com/office/drawing/2014/chart" uri="{C3380CC4-5D6E-409C-BE32-E72D297353CC}">
              <c16:uniqueId val="{00000004-4999-48A9-B4D8-0D2F46144F73}"/>
            </c:ext>
          </c:extLst>
        </c:ser>
        <c:dLbls>
          <c:showLegendKey val="0"/>
          <c:showVal val="0"/>
          <c:showCatName val="0"/>
          <c:showSerName val="0"/>
          <c:showPercent val="0"/>
          <c:showBubbleSize val="0"/>
        </c:dLbls>
        <c:gapWidth val="219"/>
        <c:overlap val="-27"/>
        <c:axId val="672977792"/>
        <c:axId val="672977464"/>
        <c:extLst>
          <c:ext xmlns:c15="http://schemas.microsoft.com/office/drawing/2012/chart" uri="{02D57815-91ED-43cb-92C2-25804820EDAC}">
            <c15:filteredBarSeries>
              <c15:ser>
                <c:idx val="0"/>
                <c:order val="0"/>
                <c:tx>
                  <c:strRef>
                    <c:extLst>
                      <c:ext uri="{02D57815-91ED-43cb-92C2-25804820EDAC}">
                        <c15:formulaRef>
                          <c15:sqref>'Industry Breakdown'!$C$26</c15:sqref>
                        </c15:formulaRef>
                      </c:ext>
                    </c:extLst>
                    <c:strCache>
                      <c:ptCount val="1"/>
                      <c:pt idx="0">
                        <c:v>Industry Group</c:v>
                      </c:pt>
                    </c:strCache>
                  </c:strRef>
                </c:tx>
                <c:spPr>
                  <a:solidFill>
                    <a:schemeClr val="accent1"/>
                  </a:solidFill>
                  <a:ln>
                    <a:noFill/>
                  </a:ln>
                  <a:effectLst/>
                </c:spPr>
                <c:invertIfNegative val="0"/>
                <c:cat>
                  <c:strRef>
                    <c:extLst>
                      <c:ext uri="{02D57815-91ED-43cb-92C2-25804820EDAC}">
                        <c15:formulaRef>
                          <c15:sqref>'Industry Breakdown'!$C$27:$C$47</c15:sqref>
                        </c15:formulaRef>
                      </c:ext>
                    </c:extLst>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extLst>
                      <c:ext uri="{02D57815-91ED-43cb-92C2-25804820EDAC}">
                        <c15:formulaRef>
                          <c15:sqref>'Industry Breakdown'!$C$27:$C$45</c15:sqref>
                        </c15:formulaRef>
                      </c:ext>
                    </c:extLst>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4999-48A9-B4D8-0D2F46144F73}"/>
                  </c:ext>
                </c:extLst>
              </c15:ser>
            </c15:filteredBarSeries>
          </c:ext>
        </c:extLst>
      </c:barChart>
      <c:catAx>
        <c:axId val="6729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464"/>
        <c:crosses val="autoZero"/>
        <c:auto val="1"/>
        <c:lblAlgn val="ctr"/>
        <c:lblOffset val="100"/>
        <c:noMultiLvlLbl val="0"/>
      </c:catAx>
      <c:valAx>
        <c:axId val="6729774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792"/>
        <c:crosses val="autoZero"/>
        <c:crossBetween val="between"/>
      </c:valAx>
      <c:spPr>
        <a:noFill/>
        <a:ln>
          <a:noFill/>
        </a:ln>
        <a:effectLst/>
      </c:spPr>
    </c:plotArea>
    <c:legend>
      <c:legendPos val="r"/>
      <c:layout>
        <c:manualLayout>
          <c:xMode val="edge"/>
          <c:yMode val="edge"/>
          <c:x val="0.84627388848820206"/>
          <c:y val="0.35712800510663317"/>
          <c:w val="0.10967946368398028"/>
          <c:h val="9.740325700122552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Diversified Income Fund</a:t>
            </a:r>
          </a:p>
          <a:p>
            <a:pPr>
              <a:defRPr/>
            </a:pPr>
            <a:r>
              <a:rPr lang="en-US" sz="1200" b="1"/>
              <a:t>Fixed Income - Credit</a:t>
            </a:r>
            <a:r>
              <a:rPr lang="en-US" sz="1200" b="1" baseline="0"/>
              <a:t> Rating Allocation by Market Value (%) </a:t>
            </a:r>
            <a:endParaRPr lang="en-US" sz="1200" b="1"/>
          </a:p>
        </c:rich>
      </c:tx>
      <c:layout>
        <c:manualLayout>
          <c:xMode val="edge"/>
          <c:yMode val="edge"/>
          <c:x val="0.19756768166216984"/>
          <c:y val="1.29450722778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865205660481246E-2"/>
          <c:y val="0.16785605238660409"/>
          <c:w val="0.90348677569150015"/>
          <c:h val="0.64525855200688065"/>
        </c:manualLayout>
      </c:layout>
      <c:barChart>
        <c:barDir val="col"/>
        <c:grouping val="clustered"/>
        <c:varyColors val="0"/>
        <c:ser>
          <c:idx val="2"/>
          <c:order val="2"/>
          <c:tx>
            <c:strRef>
              <c:f>'Sector Allocation'!$D$16</c:f>
              <c:strCache>
                <c:ptCount val="1"/>
                <c:pt idx="0">
                  <c:v>30-Apr-20</c:v>
                </c:pt>
              </c:strCache>
              <c:extLst xmlns:c15="http://schemas.microsoft.com/office/drawing/2012/chart"/>
            </c:strRef>
          </c:tx>
          <c:spPr>
            <a:solidFill>
              <a:schemeClr val="accent6">
                <a:lumMod val="75000"/>
              </a:schemeClr>
            </a:solidFill>
            <a:ln>
              <a:noFill/>
            </a:ln>
            <a:effectLst/>
          </c:spPr>
          <c:invertIfNegative val="0"/>
          <c:dLbls>
            <c:dLbl>
              <c:idx val="3"/>
              <c:layout>
                <c:manualLayout>
                  <c:x val="-3.4965034965034968E-2"/>
                  <c:y val="2.3668646405021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B2-441C-AF5D-A73458F9247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Allocation'!$A$18:$A$25</c:f>
              <c:strCache>
                <c:ptCount val="8"/>
                <c:pt idx="0">
                  <c:v>AAA</c:v>
                </c:pt>
                <c:pt idx="1">
                  <c:v>AA</c:v>
                </c:pt>
                <c:pt idx="2">
                  <c:v>A</c:v>
                </c:pt>
                <c:pt idx="3">
                  <c:v>BBB</c:v>
                </c:pt>
                <c:pt idx="4">
                  <c:v>BB</c:v>
                </c:pt>
                <c:pt idx="5">
                  <c:v>B</c:v>
                </c:pt>
                <c:pt idx="6">
                  <c:v>C</c:v>
                </c:pt>
                <c:pt idx="7">
                  <c:v>Non-Rated</c:v>
                </c:pt>
              </c:strCache>
            </c:strRef>
          </c:cat>
          <c:val>
            <c:numRef>
              <c:f>'Sector Allocation'!$D$18:$D$25</c:f>
              <c:numCache>
                <c:formatCode>0.0%</c:formatCode>
                <c:ptCount val="8"/>
                <c:pt idx="0">
                  <c:v>1.5136152382621155E-7</c:v>
                </c:pt>
                <c:pt idx="1">
                  <c:v>1.9651115288387101E-3</c:v>
                </c:pt>
                <c:pt idx="2">
                  <c:v>9.6025192010919747E-2</c:v>
                </c:pt>
                <c:pt idx="3">
                  <c:v>0.2008061286009318</c:v>
                </c:pt>
                <c:pt idx="4">
                  <c:v>0.29072762624432263</c:v>
                </c:pt>
                <c:pt idx="5">
                  <c:v>0.3068331956145216</c:v>
                </c:pt>
                <c:pt idx="6">
                  <c:v>0</c:v>
                </c:pt>
                <c:pt idx="7">
                  <c:v>0.1036425946389417</c:v>
                </c:pt>
              </c:numCache>
            </c:numRef>
          </c:val>
          <c:extLst xmlns:c15="http://schemas.microsoft.com/office/drawing/2012/chart">
            <c:ext xmlns:c16="http://schemas.microsoft.com/office/drawing/2014/chart" uri="{C3380CC4-5D6E-409C-BE32-E72D297353CC}">
              <c16:uniqueId val="{00000001-8CB2-441C-AF5D-A73458F92477}"/>
            </c:ext>
          </c:extLst>
        </c:ser>
        <c:ser>
          <c:idx val="3"/>
          <c:order val="3"/>
          <c:tx>
            <c:strRef>
              <c:f>'Sector Allocation'!$G$16</c:f>
              <c:strCache>
                <c:ptCount val="1"/>
                <c:pt idx="0">
                  <c:v>30-Mar-20</c:v>
                </c:pt>
              </c:strCache>
            </c:strRef>
          </c:tx>
          <c:spPr>
            <a:solidFill>
              <a:schemeClr val="accent6">
                <a:lumMod val="40000"/>
                <a:lumOff val="60000"/>
              </a:schemeClr>
            </a:solidFill>
            <a:ln>
              <a:noFill/>
            </a:ln>
            <a:effectLst/>
          </c:spPr>
          <c:invertIfNegative val="0"/>
          <c:dLbls>
            <c:dLbl>
              <c:idx val="5"/>
              <c:layout>
                <c:manualLayout>
                  <c:x val="1.525689941361326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75F-46CF-894B-C4168D5E5C45}"/>
                </c:ext>
              </c:extLst>
            </c:dLbl>
            <c:dLbl>
              <c:idx val="7"/>
              <c:layout>
                <c:manualLayout>
                  <c:x val="2.179557059087620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E40-40C1-81C2-DEBA2BE047A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Allocation'!$A$18:$A$25</c:f>
              <c:strCache>
                <c:ptCount val="8"/>
                <c:pt idx="0">
                  <c:v>AAA</c:v>
                </c:pt>
                <c:pt idx="1">
                  <c:v>AA</c:v>
                </c:pt>
                <c:pt idx="2">
                  <c:v>A</c:v>
                </c:pt>
                <c:pt idx="3">
                  <c:v>BBB</c:v>
                </c:pt>
                <c:pt idx="4">
                  <c:v>BB</c:v>
                </c:pt>
                <c:pt idx="5">
                  <c:v>B</c:v>
                </c:pt>
                <c:pt idx="6">
                  <c:v>C</c:v>
                </c:pt>
                <c:pt idx="7">
                  <c:v>Non-Rated</c:v>
                </c:pt>
              </c:strCache>
            </c:strRef>
          </c:cat>
          <c:val>
            <c:numRef>
              <c:f>'Sector Allocation'!$G$18:$G$25</c:f>
              <c:numCache>
                <c:formatCode>0.00%</c:formatCode>
                <c:ptCount val="8"/>
                <c:pt idx="0">
                  <c:v>0</c:v>
                </c:pt>
                <c:pt idx="1">
                  <c:v>0</c:v>
                </c:pt>
                <c:pt idx="2">
                  <c:v>7.4127900238339872E-2</c:v>
                </c:pt>
                <c:pt idx="3">
                  <c:v>0.21632828208374238</c:v>
                </c:pt>
                <c:pt idx="4">
                  <c:v>0.27358061332025246</c:v>
                </c:pt>
                <c:pt idx="5">
                  <c:v>0.3042427209784242</c:v>
                </c:pt>
                <c:pt idx="6">
                  <c:v>0</c:v>
                </c:pt>
                <c:pt idx="7">
                  <c:v>0.13172048337924111</c:v>
                </c:pt>
              </c:numCache>
            </c:numRef>
          </c:val>
          <c:extLst>
            <c:ext xmlns:c16="http://schemas.microsoft.com/office/drawing/2014/chart" uri="{C3380CC4-5D6E-409C-BE32-E72D297353CC}">
              <c16:uniqueId val="{00000002-8CB2-441C-AF5D-A73458F92477}"/>
            </c:ext>
          </c:extLst>
        </c:ser>
        <c:dLbls>
          <c:showLegendKey val="0"/>
          <c:showVal val="0"/>
          <c:showCatName val="0"/>
          <c:showSerName val="0"/>
          <c:showPercent val="0"/>
          <c:showBubbleSize val="0"/>
        </c:dLbls>
        <c:gapWidth val="219"/>
        <c:overlap val="-27"/>
        <c:axId val="802477344"/>
        <c:axId val="802477672"/>
        <c:extLst>
          <c:ext xmlns:c15="http://schemas.microsoft.com/office/drawing/2012/chart" uri="{02D57815-91ED-43cb-92C2-25804820EDAC}">
            <c15:filteredBarSeries>
              <c15:ser>
                <c:idx val="0"/>
                <c:order val="0"/>
                <c:tx>
                  <c:strRef>
                    <c:extLst>
                      <c:ext uri="{02D57815-91ED-43cb-92C2-25804820EDAC}">
                        <c15:formulaRef>
                          <c15:sqref>'Sector Allocation'!$D$16</c15:sqref>
                        </c15:formulaRef>
                      </c:ext>
                    </c:extLst>
                    <c:strCache>
                      <c:ptCount val="1"/>
                      <c:pt idx="0">
                        <c:v>30-Apr-20</c:v>
                      </c:pt>
                    </c:strCache>
                  </c:strRef>
                </c:tx>
                <c:spPr>
                  <a:solidFill>
                    <a:schemeClr val="accent1"/>
                  </a:solidFill>
                  <a:ln>
                    <a:noFill/>
                  </a:ln>
                  <a:effectLst/>
                </c:spPr>
                <c:invertIfNegative val="0"/>
                <c:cat>
                  <c:strRef>
                    <c:extLst>
                      <c:ext uri="{02D57815-91ED-43cb-92C2-25804820EDAC}">
                        <c15:formulaRef>
                          <c15:sqref>'Sector Allocation'!$A$18:$A$25</c15:sqref>
                        </c15:formulaRef>
                      </c:ext>
                    </c:extLst>
                    <c:strCache>
                      <c:ptCount val="8"/>
                      <c:pt idx="0">
                        <c:v>AAA</c:v>
                      </c:pt>
                      <c:pt idx="1">
                        <c:v>AA</c:v>
                      </c:pt>
                      <c:pt idx="2">
                        <c:v>A</c:v>
                      </c:pt>
                      <c:pt idx="3">
                        <c:v>BBB</c:v>
                      </c:pt>
                      <c:pt idx="4">
                        <c:v>BB</c:v>
                      </c:pt>
                      <c:pt idx="5">
                        <c:v>B</c:v>
                      </c:pt>
                      <c:pt idx="6">
                        <c:v>C</c:v>
                      </c:pt>
                      <c:pt idx="7">
                        <c:v>Non-Rated</c:v>
                      </c:pt>
                    </c:strCache>
                  </c:strRef>
                </c:cat>
                <c:val>
                  <c:numRef>
                    <c:extLst>
                      <c:ext uri="{02D57815-91ED-43cb-92C2-25804820EDAC}">
                        <c15:formulaRef>
                          <c15:sqref>'Sector Allocation'!$D$18:$D$25</c15:sqref>
                        </c15:formulaRef>
                      </c:ext>
                    </c:extLst>
                    <c:numCache>
                      <c:formatCode>0.0%</c:formatCode>
                      <c:ptCount val="8"/>
                      <c:pt idx="0">
                        <c:v>1.5136152382621155E-7</c:v>
                      </c:pt>
                      <c:pt idx="1">
                        <c:v>1.9651115288387101E-3</c:v>
                      </c:pt>
                      <c:pt idx="2">
                        <c:v>9.6025192010919747E-2</c:v>
                      </c:pt>
                      <c:pt idx="3">
                        <c:v>0.2008061286009318</c:v>
                      </c:pt>
                      <c:pt idx="4">
                        <c:v>0.29072762624432263</c:v>
                      </c:pt>
                      <c:pt idx="5">
                        <c:v>0.3068331956145216</c:v>
                      </c:pt>
                      <c:pt idx="6">
                        <c:v>0</c:v>
                      </c:pt>
                      <c:pt idx="7">
                        <c:v>0.1036425946389417</c:v>
                      </c:pt>
                    </c:numCache>
                  </c:numRef>
                </c:val>
                <c:extLst>
                  <c:ext xmlns:c16="http://schemas.microsoft.com/office/drawing/2014/chart" uri="{C3380CC4-5D6E-409C-BE32-E72D297353CC}">
                    <c16:uniqueId val="{00000003-8CB2-441C-AF5D-A73458F9247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 Allocation'!$C$16</c15:sqref>
                        </c15:formulaRef>
                      </c:ext>
                    </c:extLst>
                    <c:strCache>
                      <c:ptCount val="1"/>
                      <c:pt idx="0">
                        <c:v>Market Value (USD)</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'Sector Allocation'!$A$18:$A$25</c15:sqref>
                        </c15:formulaRef>
                      </c:ext>
                    </c:extLst>
                    <c:strCache>
                      <c:ptCount val="8"/>
                      <c:pt idx="0">
                        <c:v>AAA</c:v>
                      </c:pt>
                      <c:pt idx="1">
                        <c:v>AA</c:v>
                      </c:pt>
                      <c:pt idx="2">
                        <c:v>A</c:v>
                      </c:pt>
                      <c:pt idx="3">
                        <c:v>BBB</c:v>
                      </c:pt>
                      <c:pt idx="4">
                        <c:v>BB</c:v>
                      </c:pt>
                      <c:pt idx="5">
                        <c:v>B</c:v>
                      </c:pt>
                      <c:pt idx="6">
                        <c:v>C</c:v>
                      </c:pt>
                      <c:pt idx="7">
                        <c:v>Non-Rated</c:v>
                      </c:pt>
                    </c:strCache>
                  </c:strRef>
                </c:cat>
                <c:val>
                  <c:numRef>
                    <c:extLst xmlns:c15="http://schemas.microsoft.com/office/drawing/2012/chart">
                      <c:ext xmlns:c15="http://schemas.microsoft.com/office/drawing/2012/chart" uri="{02D57815-91ED-43cb-92C2-25804820EDAC}">
                        <c15:formulaRef>
                          <c15:sqref>'Sector Allocation'!$C$18:$C$25</c15:sqref>
                        </c15:formulaRef>
                      </c:ext>
                    </c:extLst>
                    <c:numCache>
                      <c:formatCode>#,##0.00</c:formatCode>
                      <c:ptCount val="8"/>
                      <c:pt idx="0">
                        <c:v>83.313983488827944</c:v>
                      </c:pt>
                      <c:pt idx="1">
                        <c:v>1081657.116873065</c:v>
                      </c:pt>
                      <c:pt idx="2">
                        <c:v>52855184.458204329</c:v>
                      </c:pt>
                      <c:pt idx="3">
                        <c:v>110529796.871775</c:v>
                      </c:pt>
                      <c:pt idx="4">
                        <c:v>160025322.42260054</c:v>
                      </c:pt>
                      <c:pt idx="5">
                        <c:v>168890317.34778091</c:v>
                      </c:pt>
                      <c:pt idx="6">
                        <c:v>0</c:v>
                      </c:pt>
                      <c:pt idx="7">
                        <c:v>57048034.402734779</c:v>
                      </c:pt>
                    </c:numCache>
                  </c:numRef>
                </c:val>
                <c:extLst xmlns:c15="http://schemas.microsoft.com/office/drawing/2012/chart">
                  <c:ext xmlns:c16="http://schemas.microsoft.com/office/drawing/2014/chart" uri="{C3380CC4-5D6E-409C-BE32-E72D297353CC}">
                    <c16:uniqueId val="{00000004-8CB2-441C-AF5D-A73458F92477}"/>
                  </c:ext>
                </c:extLst>
              </c15:ser>
            </c15:filteredBarSeries>
          </c:ext>
        </c:extLst>
      </c:barChart>
      <c:catAx>
        <c:axId val="80247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77672"/>
        <c:crosses val="autoZero"/>
        <c:auto val="1"/>
        <c:lblAlgn val="ctr"/>
        <c:lblOffset val="100"/>
        <c:noMultiLvlLbl val="0"/>
      </c:catAx>
      <c:valAx>
        <c:axId val="802477672"/>
        <c:scaling>
          <c:orientation val="minMax"/>
          <c:max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77344"/>
        <c:crosses val="autoZero"/>
        <c:crossBetween val="between"/>
      </c:valAx>
      <c:spPr>
        <a:noFill/>
        <a:ln>
          <a:noFill/>
        </a:ln>
        <a:effectLst/>
      </c:spPr>
    </c:plotArea>
    <c:legend>
      <c:legendPos val="b"/>
      <c:layout>
        <c:manualLayout>
          <c:xMode val="edge"/>
          <c:yMode val="edge"/>
          <c:x val="0.40941724941724944"/>
          <c:y val="0.92159714286513006"/>
          <c:w val="0.26974340620009912"/>
          <c:h val="6.656853393235923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Diversified Income Fund </a:t>
            </a:r>
            <a:endParaRPr lang="en-US" sz="1400">
              <a:effectLst/>
            </a:endParaRPr>
          </a:p>
          <a:p>
            <a:pPr>
              <a:defRPr/>
            </a:pPr>
            <a:r>
              <a:rPr lang="en-US" sz="1200" b="0" i="0" baseline="0">
                <a:effectLst/>
              </a:rPr>
              <a:t>Equity - Sector Allocation by Market Value (%)</a:t>
            </a:r>
            <a:endParaRPr lang="en-US" sz="1200" b="0">
              <a:effectLst/>
            </a:endParaRPr>
          </a:p>
        </c:rich>
      </c:tx>
      <c:layout>
        <c:manualLayout>
          <c:xMode val="edge"/>
          <c:yMode val="edge"/>
          <c:x val="0.2527463581023759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803098530285898E-2"/>
          <c:y val="0.15506971120777116"/>
          <c:w val="0.85836363158374518"/>
          <c:h val="0.44875501678230006"/>
        </c:manualLayout>
      </c:layout>
      <c:barChart>
        <c:barDir val="col"/>
        <c:grouping val="clustered"/>
        <c:varyColors val="0"/>
        <c:ser>
          <c:idx val="1"/>
          <c:order val="1"/>
          <c:tx>
            <c:strRef>
              <c:f>'Sector Allocation'!$C$35</c:f>
              <c:strCache>
                <c:ptCount val="1"/>
                <c:pt idx="0">
                  <c:v>Apr-20</c:v>
                </c:pt>
              </c:strCache>
              <c:extLst xmlns:c15="http://schemas.microsoft.com/office/drawing/2012/chart"/>
            </c:strRef>
          </c:tx>
          <c:spPr>
            <a:solidFill>
              <a:schemeClr val="accent3">
                <a:lumMod val="50000"/>
              </a:schemeClr>
            </a:solidFill>
            <a:ln>
              <a:noFill/>
            </a:ln>
            <a:effectLst/>
          </c:spPr>
          <c:invertIfNegative val="0"/>
          <c:dLbls>
            <c:dLbl>
              <c:idx val="0"/>
              <c:layout>
                <c:manualLayout>
                  <c:x val="0"/>
                  <c:y val="-2.6644280276249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2F-485C-AB9C-9103FC731A31}"/>
                </c:ext>
              </c:extLst>
            </c:dLbl>
            <c:dLbl>
              <c:idx val="1"/>
              <c:layout>
                <c:manualLayout>
                  <c:x val="8.6720882012825806E-3"/>
                  <c:y val="-2.6644280276249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2F-485C-AB9C-9103FC731A31}"/>
                </c:ext>
              </c:extLst>
            </c:dLbl>
            <c:dLbl>
              <c:idx val="2"/>
              <c:delete val="1"/>
              <c:extLst>
                <c:ext xmlns:c15="http://schemas.microsoft.com/office/drawing/2012/chart" uri="{CE6537A1-D6FC-4f65-9D91-7224C49458BB}"/>
                <c:ext xmlns:c16="http://schemas.microsoft.com/office/drawing/2014/chart" uri="{C3380CC4-5D6E-409C-BE32-E72D297353CC}">
                  <c16:uniqueId val="{00000000-9A3E-4322-B3DA-BFEFE68E3C0C}"/>
                </c:ext>
              </c:extLst>
            </c:dLbl>
            <c:dLbl>
              <c:idx val="3"/>
              <c:delete val="1"/>
              <c:extLst>
                <c:ext xmlns:c15="http://schemas.microsoft.com/office/drawing/2012/chart" uri="{CE6537A1-D6FC-4f65-9D91-7224C49458BB}"/>
                <c:ext xmlns:c16="http://schemas.microsoft.com/office/drawing/2014/chart" uri="{C3380CC4-5D6E-409C-BE32-E72D297353CC}">
                  <c16:uniqueId val="{00000001-9A3E-4322-B3DA-BFEFE68E3C0C}"/>
                </c:ext>
              </c:extLst>
            </c:dLbl>
            <c:dLbl>
              <c:idx val="4"/>
              <c:layout>
                <c:manualLayout>
                  <c:x val="-1.522566612289287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A3E-4322-B3DA-BFEFE68E3C0C}"/>
                </c:ext>
              </c:extLst>
            </c:dLbl>
            <c:dLbl>
              <c:idx val="5"/>
              <c:delete val="1"/>
              <c:extLst>
                <c:ext xmlns:c15="http://schemas.microsoft.com/office/drawing/2012/chart" uri="{CE6537A1-D6FC-4f65-9D91-7224C49458BB}"/>
                <c:ext xmlns:c16="http://schemas.microsoft.com/office/drawing/2014/chart" uri="{C3380CC4-5D6E-409C-BE32-E72D297353CC}">
                  <c16:uniqueId val="{00000003-9A3E-4322-B3DA-BFEFE68E3C0C}"/>
                </c:ext>
              </c:extLst>
            </c:dLbl>
            <c:dLbl>
              <c:idx val="7"/>
              <c:delete val="1"/>
              <c:extLst>
                <c:ext xmlns:c15="http://schemas.microsoft.com/office/drawing/2012/chart" uri="{CE6537A1-D6FC-4f65-9D91-7224C49458BB}"/>
                <c:ext xmlns:c16="http://schemas.microsoft.com/office/drawing/2014/chart" uri="{C3380CC4-5D6E-409C-BE32-E72D297353CC}">
                  <c16:uniqueId val="{00000004-9A3E-4322-B3DA-BFEFE68E3C0C}"/>
                </c:ext>
              </c:extLst>
            </c:dLbl>
            <c:dLbl>
              <c:idx val="8"/>
              <c:delete val="1"/>
              <c:extLst>
                <c:ext xmlns:c15="http://schemas.microsoft.com/office/drawing/2012/chart" uri="{CE6537A1-D6FC-4f65-9D91-7224C49458BB}"/>
                <c:ext xmlns:c16="http://schemas.microsoft.com/office/drawing/2014/chart" uri="{C3380CC4-5D6E-409C-BE32-E72D297353CC}">
                  <c16:uniqueId val="{00000005-9A3E-4322-B3DA-BFEFE68E3C0C}"/>
                </c:ext>
              </c:extLst>
            </c:dLbl>
            <c:dLbl>
              <c:idx val="9"/>
              <c:layout>
                <c:manualLayout>
                  <c:x val="-1.305057096247960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A3E-4322-B3DA-BFEFE68E3C0C}"/>
                </c:ext>
              </c:extLst>
            </c:dLbl>
            <c:dLbl>
              <c:idx val="10"/>
              <c:layout>
                <c:manualLayout>
                  <c:x val="-1.0840110251603226E-2"/>
                  <c:y val="-7.612651507499810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2F-485C-AB9C-9103FC731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Allocation'!$A$37:$A$48</c:f>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f>'Sector Allocation'!$C$37:$C$48</c:f>
              <c:numCache>
                <c:formatCode>0%</c:formatCode>
                <c:ptCount val="12"/>
                <c:pt idx="0">
                  <c:v>0.16834482805836062</c:v>
                </c:pt>
                <c:pt idx="1">
                  <c:v>0.13681645950833557</c:v>
                </c:pt>
                <c:pt idx="2">
                  <c:v>1.1702939227859175E-2</c:v>
                </c:pt>
                <c:pt idx="3">
                  <c:v>0</c:v>
                </c:pt>
                <c:pt idx="4">
                  <c:v>0.44712819820097199</c:v>
                </c:pt>
                <c:pt idx="5">
                  <c:v>1.1639451311614007E-2</c:v>
                </c:pt>
                <c:pt idx="6">
                  <c:v>5.4911564504757648E-2</c:v>
                </c:pt>
                <c:pt idx="7">
                  <c:v>0</c:v>
                </c:pt>
                <c:pt idx="8">
                  <c:v>0</c:v>
                </c:pt>
                <c:pt idx="9">
                  <c:v>2.4637928806124566E-2</c:v>
                </c:pt>
                <c:pt idx="10">
                  <c:v>0.11639066536364039</c:v>
                </c:pt>
                <c:pt idx="11">
                  <c:v>2.8427965018336072E-2</c:v>
                </c:pt>
              </c:numCache>
            </c:numRef>
          </c:val>
          <c:extLst xmlns:c15="http://schemas.microsoft.com/office/drawing/2012/chart">
            <c:ext xmlns:c16="http://schemas.microsoft.com/office/drawing/2014/chart" uri="{C3380CC4-5D6E-409C-BE32-E72D297353CC}">
              <c16:uniqueId val="{00000007-9A3E-4322-B3DA-BFEFE68E3C0C}"/>
            </c:ext>
          </c:extLst>
        </c:ser>
        <c:ser>
          <c:idx val="2"/>
          <c:order val="2"/>
          <c:tx>
            <c:strRef>
              <c:f>'Sector Allocation'!$D$35</c:f>
              <c:strCache>
                <c:ptCount val="1"/>
                <c:pt idx="0">
                  <c:v>Mar-20</c:v>
                </c:pt>
              </c:strCache>
            </c:strRef>
          </c:tx>
          <c:spPr>
            <a:solidFill>
              <a:schemeClr val="bg2">
                <a:lumMod val="90000"/>
              </a:schemeClr>
            </a:solidFill>
            <a:ln>
              <a:noFill/>
            </a:ln>
            <a:effectLst/>
          </c:spPr>
          <c:invertIfNegative val="0"/>
          <c:dLbls>
            <c:dLbl>
              <c:idx val="0"/>
              <c:layout>
                <c:manualLayout>
                  <c:x val="1.742202034389949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A3E-4322-B3DA-BFEFE68E3C0C}"/>
                </c:ext>
              </c:extLst>
            </c:dLbl>
            <c:dLbl>
              <c:idx val="1"/>
              <c:layout>
                <c:manualLayout>
                  <c:x val="3.689888174446907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A3E-4322-B3DA-BFEFE68E3C0C}"/>
                </c:ext>
              </c:extLst>
            </c:dLbl>
            <c:dLbl>
              <c:idx val="2"/>
              <c:delete val="1"/>
              <c:extLst>
                <c:ext xmlns:c15="http://schemas.microsoft.com/office/drawing/2012/chart" uri="{CE6537A1-D6FC-4f65-9D91-7224C49458BB}"/>
                <c:ext xmlns:c16="http://schemas.microsoft.com/office/drawing/2014/chart" uri="{C3380CC4-5D6E-409C-BE32-E72D297353CC}">
                  <c16:uniqueId val="{0000000A-9A3E-4322-B3DA-BFEFE68E3C0C}"/>
                </c:ext>
              </c:extLst>
            </c:dLbl>
            <c:dLbl>
              <c:idx val="3"/>
              <c:delete val="1"/>
              <c:extLst>
                <c:ext xmlns:c15="http://schemas.microsoft.com/office/drawing/2012/chart" uri="{CE6537A1-D6FC-4f65-9D91-7224C49458BB}"/>
                <c:ext xmlns:c16="http://schemas.microsoft.com/office/drawing/2014/chart" uri="{C3380CC4-5D6E-409C-BE32-E72D297353CC}">
                  <c16:uniqueId val="{00000004-D12F-485C-AB9C-9103FC731A31}"/>
                </c:ext>
              </c:extLst>
            </c:dLbl>
            <c:dLbl>
              <c:idx val="4"/>
              <c:layout>
                <c:manualLayout>
                  <c:x val="1.9575788076015212E-2"/>
                  <c:y val="2.150439181058527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9934661511519868E-2"/>
                      <c:h val="7.3372132831222181E-2"/>
                    </c:manualLayout>
                  </c15:layout>
                </c:ext>
                <c:ext xmlns:c16="http://schemas.microsoft.com/office/drawing/2014/chart" uri="{C3380CC4-5D6E-409C-BE32-E72D297353CC}">
                  <c16:uniqueId val="{0000000B-9A3E-4322-B3DA-BFEFE68E3C0C}"/>
                </c:ext>
              </c:extLst>
            </c:dLbl>
            <c:dLbl>
              <c:idx val="5"/>
              <c:delete val="1"/>
              <c:extLst>
                <c:ext xmlns:c15="http://schemas.microsoft.com/office/drawing/2012/chart" uri="{CE6537A1-D6FC-4f65-9D91-7224C49458BB}"/>
                <c:ext xmlns:c16="http://schemas.microsoft.com/office/drawing/2014/chart" uri="{C3380CC4-5D6E-409C-BE32-E72D297353CC}">
                  <c16:uniqueId val="{0000000C-9A3E-4322-B3DA-BFEFE68E3C0C}"/>
                </c:ext>
              </c:extLst>
            </c:dLbl>
            <c:dLbl>
              <c:idx val="6"/>
              <c:layout>
                <c:manualLayout>
                  <c:x val="8.700380641653071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A3E-4322-B3DA-BFEFE68E3C0C}"/>
                </c:ext>
              </c:extLst>
            </c:dLbl>
            <c:dLbl>
              <c:idx val="7"/>
              <c:delete val="1"/>
              <c:extLst>
                <c:ext xmlns:c15="http://schemas.microsoft.com/office/drawing/2012/chart" uri="{CE6537A1-D6FC-4f65-9D91-7224C49458BB}"/>
                <c:ext xmlns:c16="http://schemas.microsoft.com/office/drawing/2014/chart" uri="{C3380CC4-5D6E-409C-BE32-E72D297353CC}">
                  <c16:uniqueId val="{0000000E-9A3E-4322-B3DA-BFEFE68E3C0C}"/>
                </c:ext>
              </c:extLst>
            </c:dLbl>
            <c:dLbl>
              <c:idx val="8"/>
              <c:delete val="1"/>
              <c:extLst>
                <c:ext xmlns:c15="http://schemas.microsoft.com/office/drawing/2012/chart" uri="{CE6537A1-D6FC-4f65-9D91-7224C49458BB}"/>
                <c:ext xmlns:c16="http://schemas.microsoft.com/office/drawing/2014/chart" uri="{C3380CC4-5D6E-409C-BE32-E72D297353CC}">
                  <c16:uniqueId val="{0000000F-9A3E-4322-B3DA-BFEFE68E3C0C}"/>
                </c:ext>
              </c:extLst>
            </c:dLbl>
            <c:dLbl>
              <c:idx val="10"/>
              <c:layout>
                <c:manualLayout>
                  <c:x val="1.305057096247960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A3E-4322-B3DA-BFEFE68E3C0C}"/>
                </c:ext>
              </c:extLst>
            </c:dLbl>
            <c:dLbl>
              <c:idx val="11"/>
              <c:layout>
                <c:manualLayout>
                  <c:x val="1.951219845288565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2F-485C-AB9C-9103FC731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Allocation'!$A$37:$A$48</c:f>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f>'Sector Allocation'!$D$37:$D$48</c:f>
              <c:numCache>
                <c:formatCode>0%</c:formatCode>
                <c:ptCount val="12"/>
                <c:pt idx="0">
                  <c:v>0.15055509106447426</c:v>
                </c:pt>
                <c:pt idx="1">
                  <c:v>0.11931950914937456</c:v>
                </c:pt>
                <c:pt idx="2">
                  <c:v>2.2465343756989012E-2</c:v>
                </c:pt>
                <c:pt idx="3">
                  <c:v>0</c:v>
                </c:pt>
                <c:pt idx="4">
                  <c:v>0.50380929613148517</c:v>
                </c:pt>
                <c:pt idx="5">
                  <c:v>0</c:v>
                </c:pt>
                <c:pt idx="6">
                  <c:v>5.079916229620058E-2</c:v>
                </c:pt>
                <c:pt idx="7">
                  <c:v>0</c:v>
                </c:pt>
                <c:pt idx="8">
                  <c:v>0</c:v>
                </c:pt>
                <c:pt idx="9">
                  <c:v>2.32128489338763E-2</c:v>
                </c:pt>
                <c:pt idx="10">
                  <c:v>0.12983874866760003</c:v>
                </c:pt>
                <c:pt idx="11">
                  <c:v>0</c:v>
                </c:pt>
              </c:numCache>
            </c:numRef>
          </c:val>
          <c:extLst>
            <c:ext xmlns:c16="http://schemas.microsoft.com/office/drawing/2014/chart" uri="{C3380CC4-5D6E-409C-BE32-E72D297353CC}">
              <c16:uniqueId val="{00000011-9A3E-4322-B3DA-BFEFE68E3C0C}"/>
            </c:ext>
          </c:extLst>
        </c:ser>
        <c:dLbls>
          <c:showLegendKey val="0"/>
          <c:showVal val="0"/>
          <c:showCatName val="0"/>
          <c:showSerName val="0"/>
          <c:showPercent val="0"/>
          <c:showBubbleSize val="0"/>
        </c:dLbls>
        <c:gapWidth val="150"/>
        <c:axId val="835854240"/>
        <c:axId val="835849648"/>
        <c:extLst>
          <c:ext xmlns:c15="http://schemas.microsoft.com/office/drawing/2012/chart" uri="{02D57815-91ED-43cb-92C2-25804820EDAC}">
            <c15:filteredBarSeries>
              <c15:ser>
                <c:idx val="0"/>
                <c:order val="0"/>
                <c:tx>
                  <c:strRef>
                    <c:extLst>
                      <c:ext uri="{02D57815-91ED-43cb-92C2-25804820EDAC}">
                        <c15:formulaRef>
                          <c15:sqref>'Sector Allocation'!$B$35</c15:sqref>
                        </c15:formulaRef>
                      </c:ext>
                    </c:extLst>
                    <c:strCache>
                      <c:ptCount val="1"/>
                      <c:pt idx="0">
                        <c:v>Market Value (USD)</c:v>
                      </c:pt>
                    </c:strCache>
                  </c:strRef>
                </c:tx>
                <c:spPr>
                  <a:solidFill>
                    <a:schemeClr val="accent1"/>
                  </a:solidFill>
                  <a:ln>
                    <a:noFill/>
                  </a:ln>
                  <a:effectLst/>
                </c:spPr>
                <c:invertIfNegative val="0"/>
                <c:cat>
                  <c:strRef>
                    <c:extLst>
                      <c:ext uri="{02D57815-91ED-43cb-92C2-25804820EDAC}">
                        <c15:formulaRef>
                          <c15:sqref>'Sector Allocation'!$A$37:$A$48</c15:sqref>
                        </c15:formulaRef>
                      </c:ext>
                    </c:extLst>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extLst>
                      <c:ext uri="{02D57815-91ED-43cb-92C2-25804820EDAC}">
                        <c15:formulaRef>
                          <c15:sqref>'Sector Allocation'!$B$37:$B$47</c15:sqref>
                        </c15:formulaRef>
                      </c:ext>
                    </c:extLst>
                    <c:numCache>
                      <c:formatCode>#,##0</c:formatCode>
                      <c:ptCount val="11"/>
                      <c:pt idx="0">
                        <c:v>5643894.4788441695</c:v>
                      </c:pt>
                      <c:pt idx="1">
                        <c:v>4586880.8049535602</c:v>
                      </c:pt>
                      <c:pt idx="2">
                        <c:v>392350.36119711044</c:v>
                      </c:pt>
                      <c:pt idx="3">
                        <c:v>0</c:v>
                      </c:pt>
                      <c:pt idx="4">
                        <c:v>14990329.066047471</c:v>
                      </c:pt>
                      <c:pt idx="5">
                        <c:v>390221.87822497421</c:v>
                      </c:pt>
                      <c:pt idx="6">
                        <c:v>1840953.9473684211</c:v>
                      </c:pt>
                      <c:pt idx="7">
                        <c:v>0</c:v>
                      </c:pt>
                      <c:pt idx="8">
                        <c:v>0</c:v>
                      </c:pt>
                      <c:pt idx="9">
                        <c:v>826006.19195046439</c:v>
                      </c:pt>
                      <c:pt idx="10">
                        <c:v>3902089.7832817342</c:v>
                      </c:pt>
                    </c:numCache>
                  </c:numRef>
                </c:val>
                <c:extLst>
                  <c:ext xmlns:c16="http://schemas.microsoft.com/office/drawing/2014/chart" uri="{C3380CC4-5D6E-409C-BE32-E72D297353CC}">
                    <c16:uniqueId val="{00000012-9A3E-4322-B3DA-BFEFE68E3C0C}"/>
                  </c:ext>
                </c:extLst>
              </c15:ser>
            </c15:filteredBarSeries>
          </c:ext>
        </c:extLst>
      </c:barChart>
      <c:catAx>
        <c:axId val="83585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49648"/>
        <c:crosses val="autoZero"/>
        <c:auto val="1"/>
        <c:lblAlgn val="ctr"/>
        <c:lblOffset val="100"/>
        <c:noMultiLvlLbl val="0"/>
      </c:catAx>
      <c:valAx>
        <c:axId val="8358496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54240"/>
        <c:crosses val="autoZero"/>
        <c:crossBetween val="between"/>
        <c:majorUnit val="0.2"/>
      </c:valAx>
      <c:spPr>
        <a:noFill/>
        <a:ln>
          <a:noFill/>
        </a:ln>
        <a:effectLst/>
      </c:spPr>
    </c:plotArea>
    <c:legend>
      <c:legendPos val="b"/>
      <c:layout>
        <c:manualLayout>
          <c:xMode val="edge"/>
          <c:yMode val="edge"/>
          <c:x val="0.34345156621668543"/>
          <c:y val="0.90151087155568732"/>
          <c:w val="0.18735141793763402"/>
          <c:h val="6.42321966605635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solidFill>
              </a:rPr>
              <a:t>Diversified</a:t>
            </a:r>
            <a:r>
              <a:rPr lang="en-US" b="1" baseline="0">
                <a:solidFill>
                  <a:schemeClr val="tx2"/>
                </a:solidFill>
              </a:rPr>
              <a:t> Income Fund</a:t>
            </a:r>
          </a:p>
          <a:p>
            <a:pPr>
              <a:defRPr/>
            </a:pPr>
            <a:r>
              <a:rPr lang="en-US" sz="1200" baseline="0">
                <a:solidFill>
                  <a:schemeClr val="tx2"/>
                </a:solidFill>
              </a:rPr>
              <a:t>% Contribution to Risk by Factors</a:t>
            </a:r>
            <a:endParaRPr lang="en-US" sz="1200">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strRef>
              <c:f>'Risk Analytics'!$G$17</c:f>
              <c:strCache>
                <c:ptCount val="1"/>
                <c:pt idx="0">
                  <c:v>Mar-20</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Analytics'!$B$22:$B$24,'Risk Analytics'!$B$27:$B$28,'Risk Analytics'!$B$30)</c:f>
              <c:strCache>
                <c:ptCount val="6"/>
                <c:pt idx="0">
                  <c:v>Country</c:v>
                </c:pt>
                <c:pt idx="1">
                  <c:v>Industry</c:v>
                </c:pt>
                <c:pt idx="2">
                  <c:v>Style</c:v>
                </c:pt>
                <c:pt idx="3">
                  <c:v>Yield Curve</c:v>
                </c:pt>
                <c:pt idx="4">
                  <c:v>Spread</c:v>
                </c:pt>
                <c:pt idx="5">
                  <c:v>Currency</c:v>
                </c:pt>
              </c:strCache>
            </c:strRef>
          </c:cat>
          <c:val>
            <c:numRef>
              <c:f>('Risk Analytics'!$I$22:$I$24,'Risk Analytics'!$I$27:$I$28,'Risk Analytics'!$I$30)</c:f>
              <c:numCache>
                <c:formatCode>0.0%</c:formatCode>
                <c:ptCount val="6"/>
                <c:pt idx="0">
                  <c:v>6.491461250000001E-2</c:v>
                </c:pt>
                <c:pt idx="1">
                  <c:v>-2.2734507E-3</c:v>
                </c:pt>
                <c:pt idx="2">
                  <c:v>-3.5970336999999993E-3</c:v>
                </c:pt>
                <c:pt idx="3">
                  <c:v>-2.2989602199999997E-2</c:v>
                </c:pt>
                <c:pt idx="4">
                  <c:v>0.95480423699999983</c:v>
                </c:pt>
                <c:pt idx="5">
                  <c:v>4.2133322000000003E-3</c:v>
                </c:pt>
              </c:numCache>
            </c:numRef>
          </c:val>
          <c:extLst>
            <c:ext xmlns:c16="http://schemas.microsoft.com/office/drawing/2014/chart" uri="{C3380CC4-5D6E-409C-BE32-E72D297353CC}">
              <c16:uniqueId val="{00000001-878F-4A66-9C79-707678E6A356}"/>
            </c:ext>
          </c:extLst>
        </c:ser>
        <c:ser>
          <c:idx val="0"/>
          <c:order val="1"/>
          <c:tx>
            <c:strRef>
              <c:f>'Risk Analytics'!$C$17</c:f>
              <c:strCache>
                <c:ptCount val="1"/>
                <c:pt idx="0">
                  <c:v>Apr-20</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Analytics'!$B$22:$B$24,'Risk Analytics'!$B$27:$B$28,'Risk Analytics'!$B$30)</c:f>
              <c:strCache>
                <c:ptCount val="6"/>
                <c:pt idx="0">
                  <c:v>Country</c:v>
                </c:pt>
                <c:pt idx="1">
                  <c:v>Industry</c:v>
                </c:pt>
                <c:pt idx="2">
                  <c:v>Style</c:v>
                </c:pt>
                <c:pt idx="3">
                  <c:v>Yield Curve</c:v>
                </c:pt>
                <c:pt idx="4">
                  <c:v>Spread</c:v>
                </c:pt>
                <c:pt idx="5">
                  <c:v>Currency</c:v>
                </c:pt>
              </c:strCache>
            </c:strRef>
          </c:cat>
          <c:val>
            <c:numRef>
              <c:f>('Risk Analytics'!$E$22:$E$24,'Risk Analytics'!$E$27:$E$28,'Risk Analytics'!$E$30)</c:f>
              <c:numCache>
                <c:formatCode>0.0%</c:formatCode>
                <c:ptCount val="6"/>
                <c:pt idx="0">
                  <c:v>6.6173720199999994E-2</c:v>
                </c:pt>
                <c:pt idx="1">
                  <c:v>-2.8123828999999999E-3</c:v>
                </c:pt>
                <c:pt idx="2">
                  <c:v>-5.4841392999999995E-3</c:v>
                </c:pt>
                <c:pt idx="3">
                  <c:v>-1.10452928E-2</c:v>
                </c:pt>
                <c:pt idx="4">
                  <c:v>0.94232671739999974</c:v>
                </c:pt>
                <c:pt idx="5">
                  <c:v>4.3558358E-3</c:v>
                </c:pt>
              </c:numCache>
            </c:numRef>
          </c:val>
          <c:extLst>
            <c:ext xmlns:c16="http://schemas.microsoft.com/office/drawing/2014/chart" uri="{C3380CC4-5D6E-409C-BE32-E72D297353CC}">
              <c16:uniqueId val="{00000000-878F-4A66-9C79-707678E6A356}"/>
            </c:ext>
          </c:extLst>
        </c:ser>
        <c:dLbls>
          <c:showLegendKey val="0"/>
          <c:showVal val="0"/>
          <c:showCatName val="0"/>
          <c:showSerName val="0"/>
          <c:showPercent val="0"/>
          <c:showBubbleSize val="0"/>
        </c:dLbls>
        <c:gapWidth val="150"/>
        <c:axId val="867516944"/>
        <c:axId val="867517928"/>
      </c:barChart>
      <c:catAx>
        <c:axId val="86751694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17928"/>
        <c:crosses val="autoZero"/>
        <c:auto val="1"/>
        <c:lblAlgn val="ctr"/>
        <c:lblOffset val="100"/>
        <c:noMultiLvlLbl val="0"/>
      </c:catAx>
      <c:valAx>
        <c:axId val="8675179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1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[DIF_Risk_20200430.xlsm]Industry Breakdown!PivotTable2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Diversified</a:t>
            </a:r>
            <a:r>
              <a:rPr lang="en-US" baseline="0"/>
              <a:t> Income Fund</a:t>
            </a:r>
          </a:p>
          <a:p>
            <a:pPr>
              <a:defRPr/>
            </a:pPr>
            <a:r>
              <a:rPr lang="en-US" baseline="0"/>
              <a:t>Fixed Income Asset Allocation by Industry Group (in USD)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'Industry Breakdown'!$B$26</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Breakdown'!$A$27:$A$48</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Breakdown'!$B$27:$B$48</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0-F150-4C5F-A8E1-F3C0336171D6}"/>
            </c:ext>
          </c:extLst>
        </c:ser>
        <c:dLbls>
          <c:showLegendKey val="0"/>
          <c:showVal val="0"/>
          <c:showCatName val="0"/>
          <c:showSerName val="0"/>
          <c:showPercent val="0"/>
          <c:showBubbleSize val="0"/>
        </c:dLbls>
        <c:gapWidth val="219"/>
        <c:axId val="715656728"/>
        <c:axId val="715657056"/>
      </c:barChart>
      <c:catAx>
        <c:axId val="715656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57056"/>
        <c:crosses val="autoZero"/>
        <c:auto val="1"/>
        <c:lblAlgn val="ctr"/>
        <c:lblOffset val="100"/>
        <c:noMultiLvlLbl val="0"/>
      </c:catAx>
      <c:valAx>
        <c:axId val="7156570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56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a:pPr>
            <a:r>
              <a:rPr lang="en-US" b="1" baseline="0"/>
              <a:t>Fixed Income Asset Allocation by Industry Group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12902898196002E-2"/>
          <c:y val="0.13650721936552734"/>
          <c:w val="0.90447188264891021"/>
          <c:h val="0.57492687592230218"/>
        </c:manualLayout>
      </c:layout>
      <c:barChart>
        <c:barDir val="col"/>
        <c:grouping val="clustered"/>
        <c:varyColors val="0"/>
        <c:ser>
          <c:idx val="1"/>
          <c:order val="1"/>
          <c:tx>
            <c:strRef>
              <c:f>'Industry Breakdown'!$D$26</c:f>
              <c:strCache>
                <c:ptCount val="1"/>
                <c:pt idx="0">
                  <c:v>30-Apr-20</c:v>
                </c:pt>
              </c:strCache>
            </c:strRef>
          </c:tx>
          <c:spPr>
            <a:solidFill>
              <a:schemeClr val="accent5">
                <a:lumMod val="50000"/>
              </a:schemeClr>
            </a:solidFill>
            <a:ln>
              <a:noFill/>
            </a:ln>
            <a:effectLst/>
          </c:spPr>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4-4E10-4FBB-A107-D8F1CBD19713}"/>
              </c:ext>
            </c:extLst>
          </c:dPt>
          <c:dLbls>
            <c:dLbl>
              <c:idx val="0"/>
              <c:layout>
                <c:manualLayout>
                  <c:x val="-4.8367587571992807E-3"/>
                  <c:y val="-1.69133229929745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10-4FBB-A107-D8F1CBD19713}"/>
                </c:ext>
              </c:extLst>
            </c:dLbl>
            <c:dLbl>
              <c:idx val="1"/>
              <c:layout>
                <c:manualLayout>
                  <c:x val="-3.4587116299178555E-3"/>
                  <c:y val="-1.5309672929714786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3.6307757250188082E-2"/>
                      <c:h val="3.61448555882498E-2"/>
                    </c:manualLayout>
                  </c15:layout>
                </c:ext>
                <c:ext xmlns:c16="http://schemas.microsoft.com/office/drawing/2014/chart" uri="{C3380CC4-5D6E-409C-BE32-E72D297353CC}">
                  <c16:uniqueId val="{00000005-4E10-4FBB-A107-D8F1CBD1971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Breakdown'!$D$27:$D$47</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1-4E10-4FBB-A107-D8F1CBD19713}"/>
            </c:ext>
          </c:extLst>
        </c:ser>
        <c:ser>
          <c:idx val="3"/>
          <c:order val="2"/>
          <c:tx>
            <c:strRef>
              <c:f>'Industry Breakdown'!$E$26</c:f>
              <c:strCache>
                <c:ptCount val="1"/>
                <c:pt idx="0">
                  <c:v>30-Mar-20</c:v>
                </c:pt>
              </c:strCache>
            </c:strRef>
          </c:tx>
          <c:spPr>
            <a:solidFill>
              <a:schemeClr val="accent1">
                <a:lumMod val="60000"/>
                <a:lumOff val="40000"/>
              </a:schemeClr>
            </a:solidFill>
            <a:ln>
              <a:noFill/>
            </a:ln>
            <a:effectLst/>
          </c:spPr>
          <c:invertIfNegative val="0"/>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Breakdown'!$E$27:$E$47</c:f>
              <c:numCache>
                <c:formatCode>0.00%</c:formatCode>
                <c:ptCount val="21"/>
                <c:pt idx="0">
                  <c:v>0.56186519207432384</c:v>
                </c:pt>
                <c:pt idx="1">
                  <c:v>0.11788124411532086</c:v>
                </c:pt>
                <c:pt idx="2">
                  <c:v>4.156845526401319E-2</c:v>
                </c:pt>
                <c:pt idx="3">
                  <c:v>4.5298470478262104E-2</c:v>
                </c:pt>
                <c:pt idx="4">
                  <c:v>3.1905535058767399E-2</c:v>
                </c:pt>
                <c:pt idx="5">
                  <c:v>0</c:v>
                </c:pt>
                <c:pt idx="6">
                  <c:v>2.8989473098245035E-2</c:v>
                </c:pt>
                <c:pt idx="7">
                  <c:v>2.9046358260476048E-2</c:v>
                </c:pt>
                <c:pt idx="8">
                  <c:v>2.2416662087162899E-2</c:v>
                </c:pt>
                <c:pt idx="9">
                  <c:v>2.0400400466011551E-2</c:v>
                </c:pt>
                <c:pt idx="10">
                  <c:v>1.6410449928154075E-2</c:v>
                </c:pt>
                <c:pt idx="11">
                  <c:v>5.9004798170793704E-3</c:v>
                </c:pt>
                <c:pt idx="12">
                  <c:v>1.7636868013147889E-2</c:v>
                </c:pt>
                <c:pt idx="13">
                  <c:v>2.1433356218925163E-2</c:v>
                </c:pt>
                <c:pt idx="14">
                  <c:v>8.5246619093163976E-3</c:v>
                </c:pt>
                <c:pt idx="15">
                  <c:v>1.8341241967807426E-2</c:v>
                </c:pt>
                <c:pt idx="16">
                  <c:v>3.7165729397300278E-3</c:v>
                </c:pt>
                <c:pt idx="17">
                  <c:v>0</c:v>
                </c:pt>
                <c:pt idx="18">
                  <c:v>2.0093295060242232E-3</c:v>
                </c:pt>
                <c:pt idx="19">
                  <c:v>6.5368499607993446E-3</c:v>
                </c:pt>
                <c:pt idx="20">
                  <c:v>0</c:v>
                </c:pt>
              </c:numCache>
            </c:numRef>
          </c:val>
          <c:extLst>
            <c:ext xmlns:c16="http://schemas.microsoft.com/office/drawing/2014/chart" uri="{C3380CC4-5D6E-409C-BE32-E72D297353CC}">
              <c16:uniqueId val="{00000003-4E10-4FBB-A107-D8F1CBD19713}"/>
            </c:ext>
          </c:extLst>
        </c:ser>
        <c:dLbls>
          <c:showLegendKey val="0"/>
          <c:showVal val="0"/>
          <c:showCatName val="0"/>
          <c:showSerName val="0"/>
          <c:showPercent val="0"/>
          <c:showBubbleSize val="0"/>
        </c:dLbls>
        <c:gapWidth val="219"/>
        <c:overlap val="-27"/>
        <c:axId val="672977792"/>
        <c:axId val="672977464"/>
        <c:extLst>
          <c:ext xmlns:c15="http://schemas.microsoft.com/office/drawing/2012/chart" uri="{02D57815-91ED-43cb-92C2-25804820EDAC}">
            <c15:filteredBarSeries>
              <c15:ser>
                <c:idx val="0"/>
                <c:order val="0"/>
                <c:tx>
                  <c:strRef>
                    <c:extLst>
                      <c:ext uri="{02D57815-91ED-43cb-92C2-25804820EDAC}">
                        <c15:formulaRef>
                          <c15:sqref>'Industry Breakdown'!$C$26</c15:sqref>
                        </c15:formulaRef>
                      </c:ext>
                    </c:extLst>
                    <c:strCache>
                      <c:ptCount val="1"/>
                      <c:pt idx="0">
                        <c:v>Industry Group</c:v>
                      </c:pt>
                    </c:strCache>
                  </c:strRef>
                </c:tx>
                <c:spPr>
                  <a:solidFill>
                    <a:schemeClr val="accent1"/>
                  </a:solidFill>
                  <a:ln>
                    <a:noFill/>
                  </a:ln>
                  <a:effectLst/>
                </c:spPr>
                <c:invertIfNegative val="0"/>
                <c:cat>
                  <c:strRef>
                    <c:extLst>
                      <c:ext uri="{02D57815-91ED-43cb-92C2-25804820EDAC}">
                        <c15:formulaRef>
                          <c15:sqref>'Industry Breakdown'!$C$27:$C$47</c15:sqref>
                        </c15:formulaRef>
                      </c:ext>
                    </c:extLst>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extLst>
                      <c:ext uri="{02D57815-91ED-43cb-92C2-25804820EDAC}">
                        <c15:formulaRef>
                          <c15:sqref>'Industry Breakdown'!$C$27:$C$47</c15:sqref>
                        </c15:formulaRef>
                      </c:ext>
                    </c:extLst>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4E10-4FBB-A107-D8F1CBD19713}"/>
                  </c:ext>
                </c:extLst>
              </c15:ser>
            </c15:filteredBarSeries>
          </c:ext>
        </c:extLst>
      </c:barChart>
      <c:catAx>
        <c:axId val="6729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464"/>
        <c:crosses val="autoZero"/>
        <c:auto val="1"/>
        <c:lblAlgn val="ctr"/>
        <c:lblOffset val="100"/>
        <c:noMultiLvlLbl val="0"/>
      </c:catAx>
      <c:valAx>
        <c:axId val="6729774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792"/>
        <c:crosses val="autoZero"/>
        <c:crossBetween val="between"/>
      </c:valAx>
      <c:spPr>
        <a:noFill/>
        <a:ln>
          <a:noFill/>
        </a:ln>
        <a:effectLst/>
      </c:spPr>
    </c:plotArea>
    <c:legend>
      <c:legendPos val="r"/>
      <c:layout>
        <c:manualLayout>
          <c:xMode val="edge"/>
          <c:yMode val="edge"/>
          <c:x val="0.85857042188792554"/>
          <c:y val="0.38507958947720261"/>
          <c:w val="9.1992689000484074E-2"/>
          <c:h val="9.51381077143397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3" Type="http://schemas.openxmlformats.org/officeDocument/2006/relationships/chart" Target="../charts/chart8.xml"/><Relationship Id="rId7" Type="http://schemas.openxmlformats.org/officeDocument/2006/relationships/image" Target="../media/image3.png"/><Relationship Id="rId12" Type="http://schemas.openxmlformats.org/officeDocument/2006/relationships/image" Target="../media/image8.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9.xml"/><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291353</xdr:colOff>
      <xdr:row>13</xdr:row>
      <xdr:rowOff>112059</xdr:rowOff>
    </xdr:from>
    <xdr:to>
      <xdr:col>10</xdr:col>
      <xdr:colOff>112059</xdr:colOff>
      <xdr:row>34</xdr:row>
      <xdr:rowOff>52108</xdr:rowOff>
    </xdr:to>
    <xdr:graphicFrame macro="">
      <xdr:nvGraphicFramePr>
        <xdr:cNvPr id="6" name="Chart 5">
          <a:extLst>
            <a:ext uri="{FF2B5EF4-FFF2-40B4-BE49-F238E27FC236}">
              <a16:creationId xmlns:a16="http://schemas.microsoft.com/office/drawing/2014/main" id="{A9EE28A1-3DC5-4CB9-9F8B-4DEA549804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378198</xdr:colOff>
      <xdr:row>14</xdr:row>
      <xdr:rowOff>17929</xdr:rowOff>
    </xdr:from>
    <xdr:to>
      <xdr:col>14</xdr:col>
      <xdr:colOff>454398</xdr:colOff>
      <xdr:row>34</xdr:row>
      <xdr:rowOff>162485</xdr:rowOff>
    </xdr:to>
    <xdr:graphicFrame macro="">
      <xdr:nvGraphicFramePr>
        <xdr:cNvPr id="7" name="Chart 6">
          <a:extLst>
            <a:ext uri="{FF2B5EF4-FFF2-40B4-BE49-F238E27FC236}">
              <a16:creationId xmlns:a16="http://schemas.microsoft.com/office/drawing/2014/main" id="{06DD8D09-C0E1-41A2-84F4-EAC213A39B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242886</xdr:colOff>
      <xdr:row>34</xdr:row>
      <xdr:rowOff>85725</xdr:rowOff>
    </xdr:from>
    <xdr:to>
      <xdr:col>12</xdr:col>
      <xdr:colOff>876299</xdr:colOff>
      <xdr:row>51</xdr:row>
      <xdr:rowOff>57150</xdr:rowOff>
    </xdr:to>
    <xdr:graphicFrame macro="">
      <xdr:nvGraphicFramePr>
        <xdr:cNvPr id="2" name="Chart 1">
          <a:extLst>
            <a:ext uri="{FF2B5EF4-FFF2-40B4-BE49-F238E27FC236}">
              <a16:creationId xmlns:a16="http://schemas.microsoft.com/office/drawing/2014/main" id="{C7EFB086-53A7-4517-955E-ED1AD9240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257175</xdr:colOff>
      <xdr:row>86</xdr:row>
      <xdr:rowOff>171450</xdr:rowOff>
    </xdr:from>
    <xdr:to>
      <xdr:col>12</xdr:col>
      <xdr:colOff>276224</xdr:colOff>
      <xdr:row>108</xdr:row>
      <xdr:rowOff>114300</xdr:rowOff>
    </xdr:to>
    <xdr:graphicFrame macro="">
      <xdr:nvGraphicFramePr>
        <xdr:cNvPr id="3" name="Chart 2">
          <a:extLst>
            <a:ext uri="{FF2B5EF4-FFF2-40B4-BE49-F238E27FC236}">
              <a16:creationId xmlns:a16="http://schemas.microsoft.com/office/drawing/2014/main" id="{D2D1DEFD-30A9-49C6-AA47-DA40E650A0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1247775</xdr:colOff>
      <xdr:row>145</xdr:row>
      <xdr:rowOff>19050</xdr:rowOff>
    </xdr:from>
    <xdr:to>
      <xdr:col>11</xdr:col>
      <xdr:colOff>1266824</xdr:colOff>
      <xdr:row>165</xdr:row>
      <xdr:rowOff>152400</xdr:rowOff>
    </xdr:to>
    <xdr:graphicFrame macro="">
      <xdr:nvGraphicFramePr>
        <xdr:cNvPr id="9" name="Chart 8">
          <a:extLst>
            <a:ext uri="{FF2B5EF4-FFF2-40B4-BE49-F238E27FC236}">
              <a16:creationId xmlns:a16="http://schemas.microsoft.com/office/drawing/2014/main" id="{FE6F3636-4DB8-4EA1-B899-AC37C01BEF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285565</xdr:colOff>
      <xdr:row>57</xdr:row>
      <xdr:rowOff>119154</xdr:rowOff>
    </xdr:from>
    <xdr:to>
      <xdr:col>8</xdr:col>
      <xdr:colOff>313765</xdr:colOff>
      <xdr:row>80</xdr:row>
      <xdr:rowOff>138205</xdr:rowOff>
    </xdr:to>
    <xdr:graphicFrame macro="">
      <xdr:nvGraphicFramePr>
        <xdr:cNvPr id="6" name="Chart 5">
          <a:extLst>
            <a:ext uri="{FF2B5EF4-FFF2-40B4-BE49-F238E27FC236}">
              <a16:creationId xmlns:a16="http://schemas.microsoft.com/office/drawing/2014/main" id="{052575FA-9855-4AFD-823A-C3311D61C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125319</xdr:colOff>
      <xdr:row>98</xdr:row>
      <xdr:rowOff>102722</xdr:rowOff>
    </xdr:from>
    <xdr:to>
      <xdr:col>7</xdr:col>
      <xdr:colOff>338044</xdr:colOff>
      <xdr:row>117</xdr:row>
      <xdr:rowOff>134472</xdr:rowOff>
    </xdr:to>
    <xdr:graphicFrame macro="">
      <xdr:nvGraphicFramePr>
        <xdr:cNvPr id="7" name="Chart 6">
          <a:extLst>
            <a:ext uri="{FF2B5EF4-FFF2-40B4-BE49-F238E27FC236}">
              <a16:creationId xmlns:a16="http://schemas.microsoft.com/office/drawing/2014/main" id="{F8E428D0-9289-4217-A75C-32C183C9E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112620</xdr:colOff>
      <xdr:row>139</xdr:row>
      <xdr:rowOff>179293</xdr:rowOff>
    </xdr:from>
    <xdr:to>
      <xdr:col>7</xdr:col>
      <xdr:colOff>369794</xdr:colOff>
      <xdr:row>154</xdr:row>
      <xdr:rowOff>134469</xdr:rowOff>
    </xdr:to>
    <xdr:graphicFrame macro="">
      <xdr:nvGraphicFramePr>
        <xdr:cNvPr id="14" name="Chart 13">
          <a:extLst>
            <a:ext uri="{FF2B5EF4-FFF2-40B4-BE49-F238E27FC236}">
              <a16:creationId xmlns:a16="http://schemas.microsoft.com/office/drawing/2014/main" id="{DC277C23-64E5-4821-B49F-819704A66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647699</xdr:colOff>
      <xdr:row>15</xdr:row>
      <xdr:rowOff>85725</xdr:rowOff>
    </xdr:from>
    <xdr:to>
      <xdr:col>19</xdr:col>
      <xdr:colOff>66675</xdr:colOff>
      <xdr:row>39</xdr:row>
      <xdr:rowOff>114300</xdr:rowOff>
    </xdr:to>
    <xdr:graphicFrame macro="">
      <xdr:nvGraphicFramePr>
        <xdr:cNvPr id="2" name="Chart 1">
          <a:extLst>
            <a:ext uri="{FF2B5EF4-FFF2-40B4-BE49-F238E27FC236}">
              <a16:creationId xmlns:a16="http://schemas.microsoft.com/office/drawing/2014/main" id="{6EEB353A-3279-4FAA-9E5C-227BF66020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180975</xdr:colOff>
      <xdr:row>79</xdr:row>
      <xdr:rowOff>104775</xdr:rowOff>
    </xdr:from>
    <xdr:to>
      <xdr:col>7</xdr:col>
      <xdr:colOff>295043</xdr:colOff>
      <xdr:row>97</xdr:row>
      <xdr:rowOff>128566</xdr:rowOff>
    </xdr:to>
    <xdr:pic>
      <xdr:nvPicPr>
        <xdr:cNvPr id="10" name="Picture 9">
          <a:extLst>
            <a:ext uri="{FF2B5EF4-FFF2-40B4-BE49-F238E27FC236}">
              <a16:creationId xmlns:a16="http://schemas.microsoft.com/office/drawing/2014/main" id="{C181662A-1237-4F73-8021-F6CBE203BDBF}"/>
            </a:ext>
          </a:extLst>
        </xdr:cNvPr>
        <xdr:cNvPicPr>
          <a:picLocks noChangeAspect="1"/>
        </xdr:cNvPicPr>
      </xdr:nvPicPr>
      <xdr:blipFill>
        <a:blip xmlns:r="http://schemas.openxmlformats.org/officeDocument/2006/relationships" r:embed="rId5"/>
        <a:stretch>
          <a:fillRect/>
        </a:stretch>
      </xdr:blipFill>
      <xdr:spPr>
        <a:xfrm>
          <a:off x="180975" y="15097125"/>
          <a:ext cx="5714768" cy="3452791"/>
        </a:xfrm>
        <a:prstGeom prst="rect">
          <a:avLst/>
        </a:prstGeom>
      </xdr:spPr>
    </xdr:pic>
    <xdr:clientData/>
  </xdr:twoCellAnchor>
  <xdr:twoCellAnchor editAs="oneCell">
    <xdr:from>
      <xdr:col>9</xdr:col>
      <xdr:colOff>371475</xdr:colOff>
      <xdr:row>79</xdr:row>
      <xdr:rowOff>142875</xdr:rowOff>
    </xdr:from>
    <xdr:to>
      <xdr:col>18</xdr:col>
      <xdr:colOff>180975</xdr:colOff>
      <xdr:row>97</xdr:row>
      <xdr:rowOff>114548</xdr:rowOff>
    </xdr:to>
    <xdr:pic>
      <xdr:nvPicPr>
        <xdr:cNvPr id="15" name="Picture 14">
          <a:extLst>
            <a:ext uri="{FF2B5EF4-FFF2-40B4-BE49-F238E27FC236}">
              <a16:creationId xmlns:a16="http://schemas.microsoft.com/office/drawing/2014/main" id="{BD5B330D-3975-4C40-9D90-56DEAE22A750}"/>
            </a:ext>
          </a:extLst>
        </xdr:cNvPr>
        <xdr:cNvPicPr>
          <a:picLocks noChangeAspect="1"/>
        </xdr:cNvPicPr>
      </xdr:nvPicPr>
      <xdr:blipFill>
        <a:blip xmlns:r="http://schemas.openxmlformats.org/officeDocument/2006/relationships" r:embed="rId6"/>
        <a:stretch>
          <a:fillRect/>
        </a:stretch>
      </xdr:blipFill>
      <xdr:spPr>
        <a:xfrm>
          <a:off x="7620000" y="15135225"/>
          <a:ext cx="6324600" cy="3400673"/>
        </a:xfrm>
        <a:prstGeom prst="rect">
          <a:avLst/>
        </a:prstGeom>
      </xdr:spPr>
    </xdr:pic>
    <xdr:clientData/>
  </xdr:twoCellAnchor>
  <xdr:twoCellAnchor editAs="oneCell">
    <xdr:from>
      <xdr:col>9</xdr:col>
      <xdr:colOff>514350</xdr:colOff>
      <xdr:row>57</xdr:row>
      <xdr:rowOff>95250</xdr:rowOff>
    </xdr:from>
    <xdr:to>
      <xdr:col>18</xdr:col>
      <xdr:colOff>426178</xdr:colOff>
      <xdr:row>79</xdr:row>
      <xdr:rowOff>149301</xdr:rowOff>
    </xdr:to>
    <xdr:pic>
      <xdr:nvPicPr>
        <xdr:cNvPr id="17" name="Picture 16">
          <a:extLst>
            <a:ext uri="{FF2B5EF4-FFF2-40B4-BE49-F238E27FC236}">
              <a16:creationId xmlns:a16="http://schemas.microsoft.com/office/drawing/2014/main" id="{C0F44F50-9E7F-4AB7-A8EC-1D4000EF9748}"/>
            </a:ext>
          </a:extLst>
        </xdr:cNvPr>
        <xdr:cNvPicPr>
          <a:picLocks noChangeAspect="1"/>
        </xdr:cNvPicPr>
      </xdr:nvPicPr>
      <xdr:blipFill>
        <a:blip xmlns:r="http://schemas.openxmlformats.org/officeDocument/2006/relationships" r:embed="rId7"/>
        <a:stretch>
          <a:fillRect/>
        </a:stretch>
      </xdr:blipFill>
      <xdr:spPr>
        <a:xfrm>
          <a:off x="7762875" y="10896600"/>
          <a:ext cx="6426928" cy="4245051"/>
        </a:xfrm>
        <a:prstGeom prst="rect">
          <a:avLst/>
        </a:prstGeom>
      </xdr:spPr>
    </xdr:pic>
    <xdr:clientData/>
  </xdr:twoCellAnchor>
  <xdr:twoCellAnchor editAs="oneCell">
    <xdr:from>
      <xdr:col>9</xdr:col>
      <xdr:colOff>504825</xdr:colOff>
      <xdr:row>98</xdr:row>
      <xdr:rowOff>0</xdr:rowOff>
    </xdr:from>
    <xdr:to>
      <xdr:col>18</xdr:col>
      <xdr:colOff>122833</xdr:colOff>
      <xdr:row>117</xdr:row>
      <xdr:rowOff>85725</xdr:rowOff>
    </xdr:to>
    <xdr:pic>
      <xdr:nvPicPr>
        <xdr:cNvPr id="18" name="Picture 17">
          <a:extLst>
            <a:ext uri="{FF2B5EF4-FFF2-40B4-BE49-F238E27FC236}">
              <a16:creationId xmlns:a16="http://schemas.microsoft.com/office/drawing/2014/main" id="{D947797D-1E3A-49A9-8387-CD872BF32270}"/>
            </a:ext>
          </a:extLst>
        </xdr:cNvPr>
        <xdr:cNvPicPr>
          <a:picLocks noChangeAspect="1"/>
        </xdr:cNvPicPr>
      </xdr:nvPicPr>
      <xdr:blipFill>
        <a:blip xmlns:r="http://schemas.openxmlformats.org/officeDocument/2006/relationships" r:embed="rId8"/>
        <a:stretch>
          <a:fillRect/>
        </a:stretch>
      </xdr:blipFill>
      <xdr:spPr>
        <a:xfrm>
          <a:off x="7753350" y="18611850"/>
          <a:ext cx="6133108" cy="3705225"/>
        </a:xfrm>
        <a:prstGeom prst="rect">
          <a:avLst/>
        </a:prstGeom>
      </xdr:spPr>
    </xdr:pic>
    <xdr:clientData/>
  </xdr:twoCellAnchor>
  <xdr:twoCellAnchor editAs="oneCell">
    <xdr:from>
      <xdr:col>9</xdr:col>
      <xdr:colOff>504825</xdr:colOff>
      <xdr:row>117</xdr:row>
      <xdr:rowOff>28575</xdr:rowOff>
    </xdr:from>
    <xdr:to>
      <xdr:col>18</xdr:col>
      <xdr:colOff>247650</xdr:colOff>
      <xdr:row>138</xdr:row>
      <xdr:rowOff>142875</xdr:rowOff>
    </xdr:to>
    <xdr:pic>
      <xdr:nvPicPr>
        <xdr:cNvPr id="19" name="Picture 18">
          <a:extLst>
            <a:ext uri="{FF2B5EF4-FFF2-40B4-BE49-F238E27FC236}">
              <a16:creationId xmlns:a16="http://schemas.microsoft.com/office/drawing/2014/main" id="{F78F91AE-5F9A-4DB4-B8A1-F4E1CDE53AA9}"/>
            </a:ext>
          </a:extLst>
        </xdr:cNvPr>
        <xdr:cNvPicPr>
          <a:picLocks noChangeAspect="1"/>
        </xdr:cNvPicPr>
      </xdr:nvPicPr>
      <xdr:blipFill>
        <a:blip xmlns:r="http://schemas.openxmlformats.org/officeDocument/2006/relationships" r:embed="rId9"/>
        <a:stretch>
          <a:fillRect/>
        </a:stretch>
      </xdr:blipFill>
      <xdr:spPr>
        <a:xfrm>
          <a:off x="7753350" y="22259925"/>
          <a:ext cx="6257925" cy="4162425"/>
        </a:xfrm>
        <a:prstGeom prst="rect">
          <a:avLst/>
        </a:prstGeom>
      </xdr:spPr>
    </xdr:pic>
    <xdr:clientData/>
  </xdr:twoCellAnchor>
  <xdr:twoCellAnchor editAs="oneCell">
    <xdr:from>
      <xdr:col>1</xdr:col>
      <xdr:colOff>114300</xdr:colOff>
      <xdr:row>117</xdr:row>
      <xdr:rowOff>76200</xdr:rowOff>
    </xdr:from>
    <xdr:to>
      <xdr:col>8</xdr:col>
      <xdr:colOff>179983</xdr:colOff>
      <xdr:row>138</xdr:row>
      <xdr:rowOff>114300</xdr:rowOff>
    </xdr:to>
    <xdr:pic>
      <xdr:nvPicPr>
        <xdr:cNvPr id="20" name="Picture 19">
          <a:extLst>
            <a:ext uri="{FF2B5EF4-FFF2-40B4-BE49-F238E27FC236}">
              <a16:creationId xmlns:a16="http://schemas.microsoft.com/office/drawing/2014/main" id="{42870E08-BCD8-4F87-9079-6CC4086717B1}"/>
            </a:ext>
          </a:extLst>
        </xdr:cNvPr>
        <xdr:cNvPicPr>
          <a:picLocks noChangeAspect="1"/>
        </xdr:cNvPicPr>
      </xdr:nvPicPr>
      <xdr:blipFill>
        <a:blip xmlns:r="http://schemas.openxmlformats.org/officeDocument/2006/relationships" r:embed="rId10"/>
        <a:stretch>
          <a:fillRect/>
        </a:stretch>
      </xdr:blipFill>
      <xdr:spPr>
        <a:xfrm>
          <a:off x="114300" y="22307550"/>
          <a:ext cx="6380758" cy="4086225"/>
        </a:xfrm>
        <a:prstGeom prst="rect">
          <a:avLst/>
        </a:prstGeom>
      </xdr:spPr>
    </xdr:pic>
    <xdr:clientData/>
  </xdr:twoCellAnchor>
  <xdr:twoCellAnchor editAs="oneCell">
    <xdr:from>
      <xdr:col>9</xdr:col>
      <xdr:colOff>495299</xdr:colOff>
      <xdr:row>139</xdr:row>
      <xdr:rowOff>66675</xdr:rowOff>
    </xdr:from>
    <xdr:to>
      <xdr:col>18</xdr:col>
      <xdr:colOff>333374</xdr:colOff>
      <xdr:row>154</xdr:row>
      <xdr:rowOff>142875</xdr:rowOff>
    </xdr:to>
    <xdr:pic>
      <xdr:nvPicPr>
        <xdr:cNvPr id="21" name="Picture 20">
          <a:extLst>
            <a:ext uri="{FF2B5EF4-FFF2-40B4-BE49-F238E27FC236}">
              <a16:creationId xmlns:a16="http://schemas.microsoft.com/office/drawing/2014/main" id="{A8E264C6-EC50-4C0F-9454-6674B60E1594}"/>
            </a:ext>
          </a:extLst>
        </xdr:cNvPr>
        <xdr:cNvPicPr>
          <a:picLocks noChangeAspect="1"/>
        </xdr:cNvPicPr>
      </xdr:nvPicPr>
      <xdr:blipFill>
        <a:blip xmlns:r="http://schemas.openxmlformats.org/officeDocument/2006/relationships" r:embed="rId11"/>
        <a:stretch>
          <a:fillRect/>
        </a:stretch>
      </xdr:blipFill>
      <xdr:spPr>
        <a:xfrm>
          <a:off x="7743824" y="26536650"/>
          <a:ext cx="6353175" cy="3457575"/>
        </a:xfrm>
        <a:prstGeom prst="rect">
          <a:avLst/>
        </a:prstGeom>
      </xdr:spPr>
    </xdr:pic>
    <xdr:clientData/>
  </xdr:twoCellAnchor>
  <xdr:twoCellAnchor editAs="oneCell">
    <xdr:from>
      <xdr:col>10</xdr:col>
      <xdr:colOff>133350</xdr:colOff>
      <xdr:row>154</xdr:row>
      <xdr:rowOff>152400</xdr:rowOff>
    </xdr:from>
    <xdr:to>
      <xdr:col>19</xdr:col>
      <xdr:colOff>160959</xdr:colOff>
      <xdr:row>171</xdr:row>
      <xdr:rowOff>180975</xdr:rowOff>
    </xdr:to>
    <xdr:pic>
      <xdr:nvPicPr>
        <xdr:cNvPr id="22" name="Picture 21">
          <a:extLst>
            <a:ext uri="{FF2B5EF4-FFF2-40B4-BE49-F238E27FC236}">
              <a16:creationId xmlns:a16="http://schemas.microsoft.com/office/drawing/2014/main" id="{B93999CC-3D67-4860-BBA0-364DABDA8EDE}"/>
            </a:ext>
          </a:extLst>
        </xdr:cNvPr>
        <xdr:cNvPicPr>
          <a:picLocks noChangeAspect="1"/>
        </xdr:cNvPicPr>
      </xdr:nvPicPr>
      <xdr:blipFill>
        <a:blip xmlns:r="http://schemas.openxmlformats.org/officeDocument/2006/relationships" r:embed="rId12"/>
        <a:stretch>
          <a:fillRect/>
        </a:stretch>
      </xdr:blipFill>
      <xdr:spPr>
        <a:xfrm>
          <a:off x="8096250" y="30003750"/>
          <a:ext cx="6437934" cy="3933825"/>
        </a:xfrm>
        <a:prstGeom prst="rect">
          <a:avLst/>
        </a:prstGeom>
      </xdr:spPr>
    </xdr:pic>
    <xdr:clientData/>
  </xdr:twoCellAnchor>
  <xdr:twoCellAnchor editAs="oneCell">
    <xdr:from>
      <xdr:col>1</xdr:col>
      <xdr:colOff>85725</xdr:colOff>
      <xdr:row>155</xdr:row>
      <xdr:rowOff>66675</xdr:rowOff>
    </xdr:from>
    <xdr:to>
      <xdr:col>8</xdr:col>
      <xdr:colOff>28575</xdr:colOff>
      <xdr:row>171</xdr:row>
      <xdr:rowOff>154304</xdr:rowOff>
    </xdr:to>
    <xdr:pic>
      <xdr:nvPicPr>
        <xdr:cNvPr id="23" name="Picture 22">
          <a:extLst>
            <a:ext uri="{FF2B5EF4-FFF2-40B4-BE49-F238E27FC236}">
              <a16:creationId xmlns:a16="http://schemas.microsoft.com/office/drawing/2014/main" id="{E66787B0-6B18-4E6E-8DE3-9975FA78411B}"/>
            </a:ext>
          </a:extLst>
        </xdr:cNvPr>
        <xdr:cNvPicPr>
          <a:picLocks noChangeAspect="1"/>
        </xdr:cNvPicPr>
      </xdr:nvPicPr>
      <xdr:blipFill>
        <a:blip xmlns:r="http://schemas.openxmlformats.org/officeDocument/2006/relationships" r:embed="rId13"/>
        <a:stretch>
          <a:fillRect/>
        </a:stretch>
      </xdr:blipFill>
      <xdr:spPr>
        <a:xfrm>
          <a:off x="85725" y="30156150"/>
          <a:ext cx="6257925" cy="37547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42860</xdr:colOff>
      <xdr:row>22</xdr:row>
      <xdr:rowOff>19050</xdr:rowOff>
    </xdr:from>
    <xdr:to>
      <xdr:col>19</xdr:col>
      <xdr:colOff>600074</xdr:colOff>
      <xdr:row>46</xdr:row>
      <xdr:rowOff>85725</xdr:rowOff>
    </xdr:to>
    <xdr:graphicFrame macro="">
      <xdr:nvGraphicFramePr>
        <xdr:cNvPr id="2" name="Chart 1">
          <a:extLst>
            <a:ext uri="{FF2B5EF4-FFF2-40B4-BE49-F238E27FC236}">
              <a16:creationId xmlns:a16="http://schemas.microsoft.com/office/drawing/2014/main" id="{722C97FA-6E9F-4FF6-8502-818570E8A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581024</xdr:colOff>
      <xdr:row>48</xdr:row>
      <xdr:rowOff>38099</xdr:rowOff>
    </xdr:from>
    <xdr:to>
      <xdr:col>20</xdr:col>
      <xdr:colOff>38100</xdr:colOff>
      <xdr:row>73</xdr:row>
      <xdr:rowOff>47625</xdr:rowOff>
    </xdr:to>
    <xdr:graphicFrame macro="">
      <xdr:nvGraphicFramePr>
        <xdr:cNvPr id="3" name="Chart 2">
          <a:extLst>
            <a:ext uri="{FF2B5EF4-FFF2-40B4-BE49-F238E27FC236}">
              <a16:creationId xmlns:a16="http://schemas.microsoft.com/office/drawing/2014/main" id="{85CE149D-0301-4232-A0D7-B11D9BD398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768.452532754629" createdVersion="6" refreshedVersion="6" minRefreshableVersion="3" recordCount="145" xr:uid="{35741477-EA9B-4D32-AFB6-F9A856CF0452}">
  <cacheSource type="worksheet">
    <worksheetSource ref="B15:P160" sheet="BBG - VaR Data (Sample, Indus )"/>
  </cacheSource>
  <cacheFields count="15">
    <cacheField name="Securities" numFmtId="0">
      <sharedItems containsBlank="1"/>
    </cacheField>
    <cacheField name="Pos" numFmtId="4">
      <sharedItems containsString="0" containsBlank="1" containsNumber="1" minValue="-16806.400000000001" maxValue="26292947.129999999"/>
    </cacheField>
    <cacheField name="Mkt Val" numFmtId="3">
      <sharedItems containsSemiMixedTypes="0" containsString="0" containsNumber="1" containsInteger="1" minValue="-16806" maxValue="4942872046"/>
    </cacheField>
    <cacheField name="% Wgt" numFmtId="4">
      <sharedItems containsSemiMixedTypes="0" containsString="0" containsNumber="1" minValue="0" maxValue="100"/>
    </cacheField>
    <cacheField name="VaR % (Hist2Y)" numFmtId="4">
      <sharedItems containsString="0" containsBlank="1" containsNumber="1" minValue="0" maxValue="0.72"/>
    </cacheField>
    <cacheField name="VaR % Contrib (Hist2Y)" numFmtId="4">
      <sharedItems containsString="0" containsBlank="1" containsNumber="1" minValue="0" maxValue="100"/>
    </cacheField>
    <cacheField name="Marginal VaR (Hist2Y)" numFmtId="4">
      <sharedItems containsString="0" containsBlank="1" containsNumber="1" minValue="0" maxValue="4.3499999999999996"/>
    </cacheField>
    <cacheField name="CVaR (Hist2Y)" numFmtId="4">
      <sharedItems containsString="0" containsBlank="1" containsNumber="1" minValue="0" maxValue="0.97"/>
    </cacheField>
    <cacheField name="VaR % (MC)" numFmtId="4">
      <sharedItems containsString="0" containsBlank="1" containsNumber="1" minValue="0" maxValue="0.69"/>
    </cacheField>
    <cacheField name="VaR % Contrib (MC)" numFmtId="4">
      <sharedItems containsString="0" containsBlank="1" containsNumber="1" minValue="0" maxValue="100"/>
    </cacheField>
    <cacheField name="Marginal VaR (MC)" numFmtId="4">
      <sharedItems containsString="0" containsBlank="1" containsNumber="1" minValue="0" maxValue="5.19"/>
    </cacheField>
    <cacheField name="CVaR (MC)" numFmtId="4">
      <sharedItems containsString="0" containsBlank="1" containsNumber="1" minValue="0" maxValue="0.96"/>
    </cacheField>
    <cacheField name="ISIN" numFmtId="0">
      <sharedItems containsBlank="1"/>
    </cacheField>
    <cacheField name="XX" numFmtId="0">
      <sharedItems containsNonDate="0" containsString="0" containsBlank="1"/>
    </cacheField>
    <cacheField name="BICS_LEVEL_2_INDUSTRY_GROUP_NAME" numFmtId="0">
      <sharedItems containsBlank="1" count="32">
        <m/>
        <s v="Diversified Banks"/>
        <s v="Real Estate"/>
        <s v="Insurance"/>
        <s v="Retail - Discretionary"/>
        <s v="Distributors - Consumer Discretionary"/>
        <s v="Banks"/>
        <s v="Wireless Telecommunications Services"/>
        <s v="Exploration &amp; Production"/>
        <s v="Metals &amp; Mining"/>
        <s v="Banking"/>
        <s v="Telecom"/>
        <s v="Industrial Other"/>
        <s v="Financial Services"/>
        <s v="Consumer Finance"/>
        <s v="Utilities"/>
        <s v="Transportation &amp; Logistics"/>
        <s v="Life Insurance"/>
        <s v="Not Classified"/>
        <s v="Chemicals"/>
        <s v="Oil &amp; Gas Services &amp; Equipment"/>
        <s v="Institutional Financial Svcs"/>
        <s v="Manufactured Goods"/>
        <s v="Power Generation"/>
        <s v="Property &amp; Casualty Insurance"/>
        <s v="Passenger Transportation"/>
        <s v="Integrated Oils"/>
        <s v="Travel &amp; Lodging"/>
        <s v="Sovereigns"/>
        <s v="Media"/>
        <s v="Wireline Telecommunications Services"/>
        <s v="Coal Operation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896.683182175926" createdVersion="6" refreshedVersion="6" minRefreshableVersion="3" recordCount="157" xr:uid="{43AF54BE-B80E-4363-870C-AD1DD166DCFF}">
  <cacheSource type="worksheet">
    <worksheetSource ref="A1:BQ158" sheet="Geneva investment position repo"/>
  </cacheSource>
  <cacheFields count="69">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0" maxValue="58923940.090000004"/>
    </cacheField>
    <cacheField name="LocalPrice" numFmtId="0">
      <sharedItems containsMixedTypes="1" containsNumber="1" minValue="1" maxValue="386"/>
    </cacheField>
    <cacheField name="CostLocal" numFmtId="0">
      <sharedItems containsSemiMixedTypes="0" containsString="0" containsNumber="1" minValue="0" maxValue="58923940.090000004"/>
    </cacheField>
    <cacheField name="CostBook" numFmtId="0">
      <sharedItems containsSemiMixedTypes="0" containsString="0" containsNumber="1" minValue="0" maxValue="459211139.18000001"/>
    </cacheField>
    <cacheField name="BookUnrealizedGainOrLoss" numFmtId="0">
      <sharedItems containsSemiMixedTypes="0" containsString="0" containsNumber="1" minValue="-23912507.32" maxValue="13634787.59"/>
    </cacheField>
    <cacheField name="AccruedInterest" numFmtId="0">
      <sharedItems containsSemiMixedTypes="0" containsString="0" containsNumber="1" minValue="0" maxValue="2427675.2599999998"/>
    </cacheField>
    <cacheField name="MarketValueBook" numFmtId="0">
      <sharedItems containsSemiMixedTypes="0" containsString="0" containsNumber="1" minValue="-0.01" maxValue="459223727.08999997"/>
    </cacheField>
    <cacheField name="Invest" numFmtId="10">
      <sharedItems containsSemiMixedTypes="0" containsString="0" containsNumber="1" minValue="0" maxValue="9.4799999999999995E-2"/>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3.3"/>
    </cacheField>
    <cacheField name="Liquidation Cost" numFmtId="10">
      <sharedItems containsMixedTypes="1" containsNumber="1" minValue="0" maxValue="0.15007100000000001"/>
    </cacheField>
    <cacheField name="BBG Liquidity Category" numFmtId="10">
      <sharedItems/>
    </cacheField>
    <cacheField name="Liquidation Horizon (Stress)" numFmtId="2">
      <sharedItems containsMixedTypes="1" containsNumber="1" minValue="0" maxValue="81.599999999999994"/>
    </cacheField>
    <cacheField name="Liquidation Cost (Stress)" numFmtId="10">
      <sharedItems containsMixedTypes="1" containsNumber="1" minValue="0" maxValue="0.67694799999999999"/>
    </cacheField>
    <cacheField name="BBG Liquidity Category (Stress)" numFmtId="10">
      <sharedItems/>
    </cacheField>
    <cacheField name="Market Value (USD)" numFmtId="4">
      <sharedItems containsSemiMixedTypes="0" containsString="0" containsNumber="1" minValue="-1.2879461123346599E-3" maxValue="59145541.399739832"/>
    </cacheField>
    <cacheField name="AMT_OUTSTANDING" numFmtId="166">
      <sharedItems containsMixedTypes="1" containsNumber="1" minValue="4.0000000000000001E-3" maxValue="2.1176470588235293E-2"/>
    </cacheField>
    <cacheField name="DDIS_AVERAGE_YEARS_MATURITY" numFmtId="164">
      <sharedItems containsMixedTypes="1" containsNumber="1" minValue="1.270362765229295" maxValue="7.0143737166324431"/>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SemiMixedTypes="0" containsString="0" containsNumber="1" containsInteger="1" minValue="0" maxValue="21"/>
    </cacheField>
    <cacheField name="Averaage Rating" numFmtId="0">
      <sharedItems containsSemiMixedTypes="0" containsString="0" containsNumber="1" containsInteger="1" minValue="0" maxValue="21"/>
    </cacheField>
    <cacheField name="CNTRY_OF_RISK" numFmtId="10">
      <sharedItems/>
    </cacheField>
    <cacheField name="INDUSTRY_SECTOR" numFmtId="10">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acheField>
    <cacheField name="SFC Industry" numFmtId="10">
      <sharedItems/>
    </cacheField>
    <cacheField name="SFC Rating Type" numFmtId="10">
      <sharedItems/>
    </cacheField>
    <cacheField name="SFC Country" numFmtId="10">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3.4082511616785559E-11" maxValue="0.44264526506957103"/>
    </cacheField>
    <cacheField name="CALC_MATURITY" numFmtId="3">
      <sharedItems/>
    </cacheField>
    <cacheField name="Years to Maturity" numFmtId="0">
      <sharedItems containsMixedTypes="1" containsNumber="1" minValue="0.22191780821917809" maxValue="149.10958904109589"/>
    </cacheField>
    <cacheField name="Maturity Bucket" numFmtId="43">
      <sharedItems/>
    </cacheField>
    <cacheField name="Weighted Maturity" numFmtId="43">
      <sharedItems containsMixedTypes="1" containsNumber="1" minValue="-1.2192334879742467E-11" maxValue="5.060149022796363"/>
    </cacheField>
    <cacheField name="DUR_ADJ_MID" numFmtId="4">
      <sharedItems containsMixedTypes="1" containsNumber="1" minValue="9.1353834218213553E-2" maxValue="21.226371510166409"/>
    </cacheField>
    <cacheField name="Weighted Duration" numFmtId="2">
      <sharedItems containsMixedTypes="1" containsNumber="1" minValue="-1.1397440931637838E-11" maxValue="0.29153218530728886"/>
    </cacheField>
    <cacheField name="YLD_YTM_MID" numFmtId="2">
      <sharedItems containsMixedTypes="1" containsNumber="1" minValue="1.0420177119302423" maxValue="180.65615235147314"/>
    </cacheField>
    <cacheField name="Weighted Yield" numFmtId="2">
      <sharedItems containsBlank="1" containsMixedTypes="1" containsNumber="1" minValue="-4.5585161381367029E-12" maxValue="0.42697915533754127"/>
    </cacheField>
    <cacheField name="ID_ISIN" numFmtId="2">
      <sharedItems/>
    </cacheField>
    <cacheField name="BBG - 95% VAR (Historical 2 Yr)" numFmtId="0">
      <sharedItems/>
    </cacheField>
    <cacheField name="BBG - Stress Test (Lehman)" numFmtId="0">
      <sharedItems containsMixedTypes="1" containsNumber="1" minValue="-34.090000000000003" maxValue="0"/>
    </cacheField>
    <cacheField name="Gross Market Value (USD)" numFmtId="4">
      <sharedItems containsSemiMixedTypes="0" containsString="0" containsNumber="1" minValue="-1.2879461123346599E-3" maxValue="59145541.399739832"/>
    </cacheField>
    <cacheField name="Gross MV (%)" numFmtId="10">
      <sharedItems containsSemiMixedTypes="0" containsString="0" containsNumber="1" minValue="-2.0926804150830962E-12" maxValue="9.6100849982270753E-2"/>
    </cacheField>
    <cacheField name="Duration Bucket" numFmtId="0">
      <sharedItems/>
    </cacheField>
    <cacheField name="Country" numFmtId="0">
      <sharedItems count="24">
        <s v="Cash"/>
        <s v="Hong Kong"/>
        <s v="France"/>
        <s v="United States of America"/>
        <s v="India"/>
        <s v="China"/>
        <s v="Saudi Arabia"/>
        <s v="Indonesia"/>
        <s v="Chile"/>
        <s v="Switzerland"/>
        <s v="Singapore"/>
        <s v="Macau"/>
        <s v="Philippines"/>
        <s v="Japan"/>
        <s v="Cayman Islands"/>
        <s v="United Kingdom"/>
        <s v="Thailand"/>
        <s v="Sweden"/>
        <s v="Korea"/>
        <s v="United Arab Emirates"/>
        <s v="Brazil" u="1"/>
        <e v="#N/A" u="1"/>
        <s v="Cash Adjustments" u="1"/>
        <s v="Australia"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23.777132986113" createdVersion="6" refreshedVersion="6" minRefreshableVersion="3" recordCount="182" xr:uid="{38C233D0-D268-44ED-9FCF-F0E063AB9F12}">
  <cacheSource type="worksheet">
    <worksheetSource ref="A1:BR183" sheet="Geneva investment position repo"/>
  </cacheSource>
  <cacheFields count="70">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19568820" maxValue="51116780.549999997"/>
    </cacheField>
    <cacheField name="LocalPrice" numFmtId="0">
      <sharedItems containsMixedTypes="1" containsNumber="1" minValue="1" maxValue="380.2"/>
    </cacheField>
    <cacheField name="CostLocal" numFmtId="0">
      <sharedItems containsSemiMixedTypes="0" containsString="0" containsNumber="1" minValue="-19568820" maxValue="51116780.549999997"/>
    </cacheField>
    <cacheField name="CostBook" numFmtId="0">
      <sharedItems containsSemiMixedTypes="0" containsString="0" containsNumber="1" minValue="-151716756.18000001" maxValue="396563807.18000001"/>
    </cacheField>
    <cacheField name="BookUnrealizedGainOrLoss" numFmtId="0">
      <sharedItems containsSemiMixedTypes="0" containsString="0" containsNumber="1" minValue="-23960913.280000001" maxValue="11313915.880000001"/>
    </cacheField>
    <cacheField name="AccruedInterest" numFmtId="0">
      <sharedItems containsSemiMixedTypes="0" containsString="0" containsNumber="1" minValue="0" maxValue="2185487.2400000002"/>
    </cacheField>
    <cacheField name="MarketValueBook" numFmtId="0">
      <sharedItems containsSemiMixedTypes="0" containsString="0" containsNumber="1" minValue="-151679561.31999999" maxValue="396211277.72000003"/>
    </cacheField>
    <cacheField name="Invest" numFmtId="0">
      <sharedItems containsSemiMixedTypes="0" containsString="0" containsNumber="1" minValue="-5.7000000000000002E-3" maxValue="0.99460000000000004"/>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9"/>
    </cacheField>
    <cacheField name="Liquidation Cost" numFmtId="10">
      <sharedItems containsMixedTypes="1" containsNumber="1" minValue="0" maxValue="0.37662400000000001"/>
    </cacheField>
    <cacheField name="BBG Liquidity Category" numFmtId="10">
      <sharedItems/>
    </cacheField>
    <cacheField name="Liquidation Horizon (Stress)" numFmtId="2">
      <sharedItems containsMixedTypes="1" containsNumber="1" minValue="0" maxValue="82.3"/>
    </cacheField>
    <cacheField name="Liquidation Cost (Stress)" numFmtId="10">
      <sharedItems containsMixedTypes="1" containsNumber="1" minValue="0" maxValue="1.6989000000000001"/>
    </cacheField>
    <cacheField name="BBG Liquidity Category (Stress)" numFmtId="10">
      <sharedItems/>
    </cacheField>
    <cacheField name="Market Value (USD)" numFmtId="4">
      <sharedItems containsSemiMixedTypes="0" containsString="0" containsNumber="1" minValue="-19568778.795267768" maxValue="51116780.549857445"/>
    </cacheField>
    <cacheField name="AMT_OUTSTANDING" numFmtId="166">
      <sharedItems containsMixedTypes="1" containsNumber="1" minValue="1.1428571428571429E-3" maxValue="1.5384615384615385E-3"/>
    </cacheField>
    <cacheField name="DDIS_AVERAGE_YEARS_MATURITY" numFmtId="164">
      <sharedItems containsMixedTypes="1" containsNumber="1" minValue="13.44558521560575" maxValue="13.44558521560575"/>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MixedTypes="1" containsNumber="1" containsInteger="1" minValue="0" maxValue="21"/>
    </cacheField>
    <cacheField name="Averaage Rating" numFmtId="0">
      <sharedItems containsMixedTypes="1" containsNumber="1" containsInteger="1" minValue="0" maxValue="21"/>
    </cacheField>
    <cacheField name="CNTRY_OF_RISK" numFmtId="10">
      <sharedItems/>
    </cacheField>
    <cacheField name="INDUSTRY_SECTOR" numFmtId="10">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acheField>
    <cacheField name="SFC Industry" numFmtId="10">
      <sharedItems/>
    </cacheField>
    <cacheField name="SFC Rating Type" numFmtId="10">
      <sharedItems/>
    </cacheField>
    <cacheField name="SFC Country" numFmtId="10">
      <sharedItems count="18">
        <s v="Cash"/>
        <s v="Hong Kong"/>
        <s v="United States of America"/>
        <s v="Asia - others (1)"/>
        <s v="China"/>
        <s v="India"/>
        <s v="France"/>
        <s v="Singapore"/>
        <s v="Macau"/>
        <s v="Japan"/>
        <s v="America - others (2)"/>
        <s v="United Kingdom"/>
        <s v="Saudi Arabia"/>
        <s v="Asia - others (3)"/>
        <s v="United Arab Emirates"/>
        <s v="Switzerland"/>
        <e v="#N/A"/>
        <s v="Cash Adjustments"/>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0" maxValue="0.3011338312329232"/>
    </cacheField>
    <cacheField name="CALC_MATURITY" numFmtId="3">
      <sharedItems/>
    </cacheField>
    <cacheField name="Years to Maturity" numFmtId="0">
      <sharedItems containsMixedTypes="1" containsNumber="1" minValue="0.13698630136986301" maxValue="149.07671232876712"/>
    </cacheField>
    <cacheField name="Maturity Bucket" numFmtId="43">
      <sharedItems/>
    </cacheField>
    <cacheField name="Weighted Maturity" numFmtId="43">
      <sharedItems containsMixedTypes="1" containsNumber="1" minValue="5.0551666849895857E-4" maxValue="3.6343821384385522"/>
    </cacheField>
    <cacheField name="DUR_ADJ_MID" numFmtId="4">
      <sharedItems containsMixedTypes="1" containsNumber="1" minValue="1.9259912544450374E-2" maxValue="20.578635687257076"/>
    </cacheField>
    <cacheField name="Weighted Duration" numFmtId="2">
      <sharedItems containsMixedTypes="1" containsNumber="1" minValue="5.9598034516833437E-5" maxValue="0.17247359757589012"/>
    </cacheField>
    <cacheField name="YLD_YTM_MID" numFmtId="2">
      <sharedItems containsMixedTypes="1" containsNumber="1" minValue="1.611409343635537" maxValue="200.08936750277013"/>
    </cacheField>
    <cacheField name="Weighted Yield" numFmtId="2">
      <sharedItems containsBlank="1" containsMixedTypes="1" containsNumber="1" minValue="1.9937625001393781E-5" maxValue="0.50122015778298945"/>
    </cacheField>
    <cacheField name="ID_ISIN" numFmtId="2">
      <sharedItems/>
    </cacheField>
    <cacheField name="BBG - 95% VAR (Historical 2 Yr)" numFmtId="0">
      <sharedItems/>
    </cacheField>
    <cacheField name="BBG - Stress Test (Lehman)" numFmtId="0">
      <sharedItems containsMixedTypes="1" containsNumber="1" minValue="-29.65" maxValue="0"/>
    </cacheField>
    <cacheField name="Gross Market Value (USD)" numFmtId="4">
      <sharedItems containsSemiMixedTypes="0" containsString="0" containsNumber="1" minValue="-19568778.795267768" maxValue="51116780.549857445"/>
    </cacheField>
    <cacheField name="Gross MV (%)" numFmtId="10">
      <sharedItems containsSemiMixedTypes="0" containsString="0" containsNumber="1" minValue="-3.5768663908925191E-2" maxValue="9.3433471895358333E-2"/>
    </cacheField>
    <cacheField name="Duration Bucket" numFmtId="0">
      <sharedItems/>
    </cacheField>
    <cacheField name="Country" numFmtId="0">
      <sharedItems/>
    </cacheField>
    <cacheField name="Duration Contribution" numFmtId="10">
      <sharedItems containsMixedTypes="1" containsNumber="1" minValue="2.21795466118391E-5" maxValue="6.4186448894813064E-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24.618007291669" createdVersion="6" refreshedVersion="6" minRefreshableVersion="3" recordCount="182" xr:uid="{BE6DC5CC-27B7-42A8-90E7-3E840221EF8A}">
  <cacheSource type="worksheet">
    <worksheetSource ref="A1:BO183" sheet="Geneva investment position repo"/>
  </cacheSource>
  <cacheFields count="67">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19568820" maxValue="51116780.549999997"/>
    </cacheField>
    <cacheField name="LocalPrice" numFmtId="0">
      <sharedItems containsMixedTypes="1" containsNumber="1" minValue="1" maxValue="380.2"/>
    </cacheField>
    <cacheField name="CostLocal" numFmtId="0">
      <sharedItems containsSemiMixedTypes="0" containsString="0" containsNumber="1" minValue="-19568820" maxValue="51116780.549999997"/>
    </cacheField>
    <cacheField name="CostBook" numFmtId="0">
      <sharedItems containsSemiMixedTypes="0" containsString="0" containsNumber="1" minValue="-151716756.18000001" maxValue="396563807.18000001"/>
    </cacheField>
    <cacheField name="BookUnrealizedGainOrLoss" numFmtId="0">
      <sharedItems containsSemiMixedTypes="0" containsString="0" containsNumber="1" minValue="-23960913.280000001" maxValue="11313915.880000001"/>
    </cacheField>
    <cacheField name="AccruedInterest" numFmtId="0">
      <sharedItems containsSemiMixedTypes="0" containsString="0" containsNumber="1" minValue="0" maxValue="2185487.2400000002"/>
    </cacheField>
    <cacheField name="MarketValueBook" numFmtId="0">
      <sharedItems containsSemiMixedTypes="0" containsString="0" containsNumber="1" minValue="-151679561.31999999" maxValue="396211277.72000003"/>
    </cacheField>
    <cacheField name="Invest" numFmtId="0">
      <sharedItems containsSemiMixedTypes="0" containsString="0" containsNumber="1" minValue="-5.7000000000000002E-3" maxValue="0.99460000000000004"/>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9"/>
    </cacheField>
    <cacheField name="Liquidation Cost" numFmtId="10">
      <sharedItems containsMixedTypes="1" containsNumber="1" minValue="0" maxValue="0.37662400000000001"/>
    </cacheField>
    <cacheField name="BBG Liquidity Category" numFmtId="10">
      <sharedItems/>
    </cacheField>
    <cacheField name="Liquidation Horizon (Stress)" numFmtId="2">
      <sharedItems containsMixedTypes="1" containsNumber="1" minValue="0" maxValue="82.3"/>
    </cacheField>
    <cacheField name="Liquidation Cost (Stress)" numFmtId="10">
      <sharedItems containsMixedTypes="1" containsNumber="1" minValue="0" maxValue="1.6989000000000001"/>
    </cacheField>
    <cacheField name="BBG Liquidity Category (Stress)" numFmtId="10">
      <sharedItems/>
    </cacheField>
    <cacheField name="Market Value (USD)" numFmtId="4">
      <sharedItems containsSemiMixedTypes="0" containsString="0" containsNumber="1" minValue="-19568778.795267768" maxValue="51116780.549857445"/>
    </cacheField>
    <cacheField name="AMT_OUTSTANDING" numFmtId="166">
      <sharedItems containsMixedTypes="1" containsNumber="1" minValue="1.1428571428571429E-3" maxValue="1.5384615384615385E-3"/>
    </cacheField>
    <cacheField name="DDIS_AVERAGE_YEARS_MATURITY" numFmtId="164">
      <sharedItems containsMixedTypes="1" containsNumber="1" minValue="13.44558521560575" maxValue="13.44558521560575"/>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SemiMixedTypes="0" containsString="0" containsNumber="1" containsInteger="1" minValue="0" maxValue="21"/>
    </cacheField>
    <cacheField name="Averaage Rating" numFmtId="0">
      <sharedItems containsSemiMixedTypes="0" containsString="0" containsNumber="1" containsInteger="1" minValue="0" maxValue="21" count="14">
        <n v="21"/>
        <n v="0"/>
        <n v="11"/>
        <n v="9"/>
        <n v="15"/>
        <n v="17"/>
        <n v="13"/>
        <n v="10"/>
        <n v="7"/>
        <n v="8"/>
        <n v="14"/>
        <n v="12"/>
        <n v="6"/>
        <n v="16"/>
      </sharedItems>
    </cacheField>
    <cacheField name="CNTRY_OF_RISK" numFmtId="10">
      <sharedItems/>
    </cacheField>
    <cacheField name="INDUSTRY_SECTOR" numFmtId="10">
      <sharedItems count="13">
        <s v="Cash"/>
        <s v="Financial"/>
        <s v="Communications"/>
        <s v="Consumer, Non-cyclical"/>
        <s v="Industrial"/>
        <s v="Utilities"/>
        <s v="Funds"/>
        <s v="Energy"/>
        <s v="Consumer, Cyclical"/>
        <s v="Basic Materials"/>
        <s v="Technology"/>
        <s v="Government"/>
        <s v="Cash Adjustments"/>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ount="5">
        <s v="Cash"/>
        <s v="Equity"/>
        <s v="Corporate"/>
        <s v="Government"/>
        <s v="Cash Adjustments"/>
      </sharedItems>
    </cacheField>
    <cacheField name="SFC Industry" numFmtId="10">
      <sharedItems/>
    </cacheField>
    <cacheField name="SFC Rating Type" numFmtId="10">
      <sharedItems/>
    </cacheField>
    <cacheField name="SFC Country" numFmtId="10">
      <sharedItems count="17">
        <s v="Cash"/>
        <s v="Hong Kong"/>
        <s v="United States of America"/>
        <s v="Asia - others (1)"/>
        <s v="China"/>
        <s v="India"/>
        <s v="France"/>
        <s v="Singapore"/>
        <s v="Macau"/>
        <s v="Japan"/>
        <s v="America - others (2)"/>
        <s v="United Kingdom"/>
        <s v="Saudi Arabia"/>
        <s v="Asia - others (3)"/>
        <s v="United Arab Emirates"/>
        <s v="Switzerland"/>
        <s v="Cash Adjustments"/>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0" maxValue="0.30611528459638665"/>
    </cacheField>
    <cacheField name="CALC_MATURITY" numFmtId="3">
      <sharedItems/>
    </cacheField>
    <cacheField name="Years to Maturity" numFmtId="0">
      <sharedItems containsMixedTypes="1" containsNumber="1" minValue="0.13698630136986301" maxValue="149.07671232876712"/>
    </cacheField>
    <cacheField name="Maturity Bucket" numFmtId="43">
      <sharedItems/>
    </cacheField>
    <cacheField name="Weighted Maturity" numFmtId="43">
      <sharedItems containsMixedTypes="1" containsNumber="1" minValue="5.1387908894926383E-4" maxValue="3.69450326482781"/>
    </cacheField>
    <cacheField name="DUR_ADJ_MID" numFmtId="4">
      <sharedItems containsMixedTypes="1" containsNumber="1" minValue="1.6511003105565785E-2" maxValue="20.506041931338491"/>
    </cacheField>
    <cacheField name="Weighted Duration" numFmtId="2">
      <sharedItems containsMixedTypes="1" containsNumber="1" minValue="6.0824590373678491E-5" maxValue="0.17470822440049283"/>
    </cacheField>
    <cacheField name="YLD_YTM_MID" numFmtId="2">
      <sharedItems containsMixedTypes="1" containsNumber="1" minValue="1.8198069041876914" maxValue="200.8501451376811"/>
    </cacheField>
    <cacheField name="Weighted Yield" numFmtId="2">
      <sharedItems containsBlank="1" containsMixedTypes="1" containsNumber="1" minValue="2.0184042667901451E-5" maxValue="0.51144876310619369"/>
    </cacheField>
    <cacheField name="ID_ISIN" numFmtId="2">
      <sharedItems/>
    </cacheField>
    <cacheField name="BBG - 95% VAR (Historical 2 Yr)" numFmtId="0">
      <sharedItems/>
    </cacheField>
    <cacheField name="BBG - Stress Test (Lehman)" numFmtId="0">
      <sharedItems containsMixedTypes="1" containsNumber="1" minValue="-29.65" maxValue="0"/>
    </cacheField>
    <cacheField name="Gross Market Value (USD)" numFmtId="4">
      <sharedItems containsSemiMixedTypes="0" containsString="0" containsNumber="1" minValue="-19568778.795267768" maxValue="51116780.549857445"/>
    </cacheField>
    <cacheField name="Gross MV (%)" numFmtId="10">
      <sharedItems containsSemiMixedTypes="0" containsString="0" containsNumber="1" minValue="-3.5768663908925191E-2" maxValue="9.3433471895358333E-2"/>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56.741353703706" createdVersion="6" refreshedVersion="6" minRefreshableVersion="3" recordCount="261" xr:uid="{CB6DDF7B-9F0C-45F0-9DB7-4CCBC9C2514C}">
  <cacheSource type="worksheet">
    <worksheetSource ref="A1:BO300" sheet="Geneva investment position repo"/>
  </cacheSource>
  <cacheFields count="67">
    <cacheField name="ReportMode" numFmtId="0">
      <sharedItems containsBlank="1"/>
    </cacheField>
    <cacheField name="LongShortDescription" numFmtId="0">
      <sharedItems containsBlank="1"/>
    </cacheField>
    <cacheField name="SortKey" numFmtId="0">
      <sharedItems containsBlank="1"/>
    </cacheField>
    <cacheField name="LocalCurrency" numFmtId="0">
      <sharedItems containsBlank="1"/>
    </cacheField>
    <cacheField name="BasketInvestDescription" numFmtId="0">
      <sharedItems containsNonDate="0" containsString="0" containsBlank="1"/>
    </cacheField>
    <cacheField name="Description" numFmtId="0">
      <sharedItems containsBlank="1"/>
    </cacheField>
    <cacheField name="InvestID" numFmtId="0">
      <sharedItems containsBlank="1"/>
    </cacheField>
    <cacheField name="Quantity" numFmtId="43">
      <sharedItems containsString="0" containsBlank="1" containsNumber="1" minValue="-12552120" maxValue="15000000"/>
    </cacheField>
    <cacheField name="LocalPrice" numFmtId="43">
      <sharedItems containsBlank="1" containsMixedTypes="1" containsNumber="1" minValue="1" maxValue="417"/>
    </cacheField>
    <cacheField name="CostLocal" numFmtId="43">
      <sharedItems containsString="0" containsBlank="1" containsNumber="1" minValue="-12552120" maxValue="22577241.100000001"/>
    </cacheField>
    <cacheField name="CostBook" numFmtId="43">
      <sharedItems containsString="0" containsBlank="1" containsNumber="1" minValue="-97281440.420000002" maxValue="116257500"/>
    </cacheField>
    <cacheField name="BookUnrealizedGainOrLoss" numFmtId="43">
      <sharedItems containsString="0" containsBlank="1" containsNumber="1" minValue="-24478491.59" maxValue="8838848.3000000007"/>
    </cacheField>
    <cacheField name="AccruedInterest" numFmtId="43">
      <sharedItems containsString="0" containsBlank="1" containsNumber="1" minValue="0" maxValue="3047066.46"/>
    </cacheField>
    <cacheField name="MarketValueBook" numFmtId="43">
      <sharedItems containsString="0" containsBlank="1" containsNumber="1" minValue="-97281113.340000004" maxValue="115410165.75"/>
    </cacheField>
    <cacheField name="Invest" numFmtId="0">
      <sharedItems containsString="0" containsBlank="1" containsNumber="1" minValue="-5.9999999999999995E-4" maxValue="1.0005999999999999"/>
    </cacheField>
    <cacheField name="Sub-Acct" numFmtId="0">
      <sharedItems containsNonDate="0" containsString="0" containsBlank="1"/>
    </cacheField>
    <cacheField name="Classification" numFmtId="0">
      <sharedItems containsBlank="1"/>
    </cacheField>
    <cacheField name="ID_BB_GLOBAL" numFmtId="0">
      <sharedItems containsBlank="1"/>
    </cacheField>
    <cacheField name="MIFID_ASSET_CLASS" numFmtId="0">
      <sharedItems containsBlank="1"/>
    </cacheField>
    <cacheField name="Asset Class" numFmtId="0">
      <sharedItems containsBlank="1"/>
    </cacheField>
    <cacheField name="SECURITY_TYP2" numFmtId="0">
      <sharedItems containsBlank="1"/>
    </cacheField>
    <cacheField name="Liquidation Horizon" numFmtId="0">
      <sharedItems containsBlank="1" containsMixedTypes="1" containsNumber="1" minValue="0" maxValue="45"/>
    </cacheField>
    <cacheField name="Liquidation Cost" numFmtId="0">
      <sharedItems containsBlank="1" containsMixedTypes="1" containsNumber="1" minValue="0" maxValue="0.356265"/>
    </cacheField>
    <cacheField name="BBG Liquidity Category" numFmtId="0">
      <sharedItems containsBlank="1"/>
    </cacheField>
    <cacheField name="Liquidation Horizon (Stress)" numFmtId="0">
      <sharedItems containsBlank="1" containsMixedTypes="1" containsNumber="1" minValue="0" maxValue="75.099999999999994"/>
    </cacheField>
    <cacheField name="Liquidation Cost (Stress)" numFmtId="0">
      <sharedItems containsBlank="1" containsMixedTypes="1" containsNumber="1" minValue="0" maxValue="1.607064"/>
    </cacheField>
    <cacheField name="BBG Liquidity Category (Stress)" numFmtId="0">
      <sharedItems containsBlank="1"/>
    </cacheField>
    <cacheField name="Market Value (USD)" numFmtId="0">
      <sharedItems containsString="0" containsBlank="1" containsNumber="1" minValue="-12549163.22755418" maxValue="14916119.03379773"/>
    </cacheField>
    <cacheField name="AMT_OUTSTANDING" numFmtId="0">
      <sharedItems containsBlank="1" containsMixedTypes="1" containsNumber="1" minValue="2E-3" maxValue="6.6666666666666671E-3"/>
    </cacheField>
    <cacheField name="DDIS_AVERAGE_YEARS_MATURITY" numFmtId="0">
      <sharedItems containsBlank="1" containsMixedTypes="1" containsNumber="1" minValue="4.8323066392881584" maxValue="7.4414784394250511"/>
    </cacheField>
    <cacheField name="RTG_SP" numFmtId="0">
      <sharedItems containsBlank="1"/>
    </cacheField>
    <cacheField name="RTG_MOODY" numFmtId="0">
      <sharedItems containsBlank="1"/>
    </cacheField>
    <cacheField name="RTG_FITCH" numFmtId="0">
      <sharedItems containsBlank="1"/>
    </cacheField>
    <cacheField name="SP Rating Score" numFmtId="0">
      <sharedItems containsString="0" containsBlank="1" containsNumber="1" containsInteger="1" minValue="0" maxValue="21"/>
    </cacheField>
    <cacheField name="Moody Rating Score" numFmtId="0">
      <sharedItems containsString="0" containsBlank="1" containsNumber="1" containsInteger="1" minValue="0" maxValue="21"/>
    </cacheField>
    <cacheField name="Fitch Rating Score" numFmtId="0">
      <sharedItems containsString="0" containsBlank="1" containsNumber="1" containsInteger="1" minValue="0" maxValue="21"/>
    </cacheField>
    <cacheField name="Averaage Rating" numFmtId="0">
      <sharedItems containsString="0" containsBlank="1" containsNumber="1" containsInteger="1" minValue="0" maxValue="21"/>
    </cacheField>
    <cacheField name="CNTRY_OF_RISK" numFmtId="0">
      <sharedItems containsBlank="1"/>
    </cacheField>
    <cacheField name="INDUSTRY_SECTOR" numFmtId="0">
      <sharedItems containsBlank="1"/>
    </cacheField>
    <cacheField name="INDUSTRY_GROUP" numFmtId="0">
      <sharedItems containsBlank="1" count="37">
        <s v="Cash"/>
        <s v="Insurance"/>
        <s v="Internet"/>
        <s v="Retail"/>
        <s v="Food"/>
        <s v="Banks"/>
        <s v="Telecommunications"/>
        <s v="Engineering&amp;Construction"/>
        <s v="Electric"/>
        <s v="Water"/>
        <s v="Diversified Finan Serv"/>
        <s v="Equity Fund"/>
        <s v="REITS"/>
        <s v="Transportation"/>
        <s v="Healthcare-Services"/>
        <s v="Coal"/>
        <s v="Real Estate"/>
        <s v="Distribution/Wholesale"/>
        <s v="Energy-Alternate Sources"/>
        <s v="Commercial Services"/>
        <s v="Auto Manufacturers"/>
        <s v="Mining"/>
        <s v="Oil&amp;Gas Services"/>
        <s v="Metal Fabricate/Hardware"/>
        <s v="Sovereign"/>
        <s v="Oil&amp;Gas"/>
        <s v="Lodging"/>
        <s v="Software"/>
        <s v="Aerospace/Defense"/>
        <s v="Computers"/>
        <s v="Cash Adjustments"/>
        <m/>
        <s v="Gas" u="1"/>
        <s v="Apparel" u="1"/>
        <s v="Forest Products&amp;Paper" u="1"/>
        <s v="Chemicals" u="1"/>
        <s v="Environmental Control" u="1"/>
      </sharedItems>
    </cacheField>
    <cacheField name="INDUSTRY_SUBGROUP" numFmtId="0">
      <sharedItems containsBlank="1"/>
    </cacheField>
    <cacheField name="CAPITAL_CONTINGENT_SECURITY" numFmtId="0">
      <sharedItems containsBlank="1"/>
    </cacheField>
    <cacheField name="CAPITAL_TYP_COCO_INITIAL_TRIGGER" numFmtId="0">
      <sharedItems containsBlank="1"/>
    </cacheField>
    <cacheField name="EXCH_MARKET_STATUS" numFmtId="0">
      <sharedItems containsBlank="1"/>
    </cacheField>
    <cacheField name="SFC Sector" numFmtId="0">
      <sharedItems containsBlank="1" count="6">
        <s v="Cash"/>
        <s v="Equity"/>
        <s v="Corporate"/>
        <s v="Government"/>
        <s v="Cash Adjustments"/>
        <m/>
      </sharedItems>
    </cacheField>
    <cacheField name="SFC Industry" numFmtId="0">
      <sharedItems containsBlank="1" count="5">
        <s v="Cash"/>
        <s v="Financial"/>
        <s v="Non-Financial"/>
        <s v="Cash Adjustments"/>
        <m/>
      </sharedItems>
    </cacheField>
    <cacheField name="SFC Rating Type" numFmtId="0">
      <sharedItems containsBlank="1"/>
    </cacheField>
    <cacheField name="SFC Country" numFmtId="0">
      <sharedItems containsBlank="1"/>
    </cacheField>
    <cacheField name="SFC Liquidity Bucket" numFmtId="0">
      <sharedItems containsBlank="1"/>
    </cacheField>
    <cacheField name="SFC Liquidity Bucket (Stress)" numFmtId="0">
      <sharedItems containsBlank="1"/>
    </cacheField>
    <cacheField name="GICS_SECTOR_NAME" numFmtId="0">
      <sharedItems containsBlank="1"/>
    </cacheField>
    <cacheField name="ISSUER_INDUSTRY" numFmtId="0">
      <sharedItems containsBlank="1"/>
    </cacheField>
    <cacheField name="BOND_CLASSIFICATION_NAME" numFmtId="0">
      <sharedItems containsBlank="1"/>
    </cacheField>
    <cacheField name="Fixed Avg Rating" numFmtId="0">
      <sharedItems containsBlank="1" containsMixedTypes="1" containsNumber="1" minValue="0" maxValue="0.29808911459799387"/>
    </cacheField>
    <cacheField name="CALC_MATURITY" numFmtId="0">
      <sharedItems containsBlank="1"/>
    </cacheField>
    <cacheField name="Years to Maturity" numFmtId="0">
      <sharedItems containsBlank="1" containsMixedTypes="1" containsNumber="1" minValue="5.4794520547945202E-2" maxValue="149.1013698630137"/>
    </cacheField>
    <cacheField name="Maturity Bucket" numFmtId="43">
      <sharedItems containsBlank="1"/>
    </cacheField>
    <cacheField name="Weighted Maturity" numFmtId="43">
      <sharedItems containsBlank="1" containsMixedTypes="1" containsNumber="1" minValue="7.5680761912473651E-7" maxValue="3.3861795132303962"/>
    </cacheField>
    <cacheField name="DUR_ADJ_MID" numFmtId="0">
      <sharedItems containsBlank="1" containsMixedTypes="1" containsNumber="1" minValue="3.6094063859830453E-2" maxValue="20.110408975810007"/>
    </cacheField>
    <cacheField name="Weighted Duration" numFmtId="0">
      <sharedItems containsBlank="1" containsMixedTypes="1" containsNumber="1" minValue="6.8831426691921976E-7" maxValue="0.15200736021477285"/>
    </cacheField>
    <cacheField name="YLD_YTM_MID" numFmtId="0">
      <sharedItems containsBlank="1" containsMixedTypes="1" containsNumber="1" minValue="1.3079095902700426" maxValue="214.68726913273795"/>
    </cacheField>
    <cacheField name="Weighted Yield" numFmtId="0">
      <sharedItems containsBlank="1" containsMixedTypes="1" containsNumber="1" minValue="2.1758506605068529E-7" maxValue="0.42399987744840528"/>
    </cacheField>
    <cacheField name="ID_ISIN" numFmtId="0">
      <sharedItems containsBlank="1"/>
    </cacheField>
    <cacheField name="BBG - 95% VAR (Historical 2 Yr)" numFmtId="0">
      <sharedItems containsBlank="1"/>
    </cacheField>
    <cacheField name="BBG - Stress Test (Lehman)" numFmtId="0">
      <sharedItems containsBlank="1" containsMixedTypes="1" containsNumber="1" minValue="-23.87" maxValue="0"/>
    </cacheField>
    <cacheField name="Gross Market Value (USD)" numFmtId="0">
      <sharedItems containsString="0" containsBlank="1" containsNumber="1" minValue="-12549163.22755418" maxValue="14916119.03379773"/>
    </cacheField>
    <cacheField name="Gross MV (%)" numFmtId="0">
      <sharedItems containsString="0" containsBlank="1" containsNumber="1" minValue="-2.4617051895882355E-2" maxValue="2.9260188084406842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m/>
    <m/>
    <n v="4942872046"/>
    <n v="100"/>
    <n v="0.72"/>
    <n v="100"/>
    <m/>
    <n v="0.97"/>
    <n v="0.69"/>
    <n v="100"/>
    <m/>
    <n v="0.96"/>
    <m/>
    <m/>
    <x v="0"/>
  </r>
  <r>
    <s v="ACAFP 6 ⅞ PERP"/>
    <n v="7700000"/>
    <n v="65179338"/>
    <n v="1.32"/>
    <n v="0.02"/>
    <n v="0.63"/>
    <n v="0.34"/>
    <n v="0.03"/>
    <n v="0.02"/>
    <n v="1.87"/>
    <n v="0.98"/>
    <n v="0.03"/>
    <s v="USF2R125CF03"/>
    <m/>
    <x v="1"/>
  </r>
  <r>
    <s v="AGILE 6.7 03/07/22"/>
    <n v="5000000"/>
    <n v="40263420"/>
    <n v="0.81"/>
    <n v="0.01"/>
    <n v="0.56999999999999995"/>
    <n v="0.5"/>
    <n v="0.01"/>
    <n v="0.01"/>
    <n v="0.52"/>
    <n v="0.44"/>
    <n v="0.01"/>
    <s v="XS1959497782"/>
    <m/>
    <x v="2"/>
  </r>
  <r>
    <s v="AIA GROUP LTD"/>
    <n v="162200"/>
    <n v="12010910"/>
    <n v="0.24"/>
    <n v="0.03"/>
    <n v="0.32"/>
    <n v="0.95"/>
    <n v="0.04"/>
    <n v="0.03"/>
    <n v="1.55"/>
    <n v="4.42"/>
    <n v="0.04"/>
    <s v="HK0000069689"/>
    <m/>
    <x v="3"/>
  </r>
  <r>
    <s v="ALIBABA GROUP HOLDING-SP ADR"/>
    <n v="7500"/>
    <n v="9832371"/>
    <n v="0.2"/>
    <n v="0.03"/>
    <n v="0.76"/>
    <n v="2.72"/>
    <n v="0.04"/>
    <n v="0.03"/>
    <n v="0.04"/>
    <n v="0.13"/>
    <n v="0.04"/>
    <s v="US01609W1027"/>
    <m/>
    <x v="4"/>
  </r>
  <r>
    <s v="ANHUII 4 ⅞ 10/18/21"/>
    <n v="8000000"/>
    <n v="65726026"/>
    <n v="1.33"/>
    <n v="0.01"/>
    <n v="0.8"/>
    <n v="0.43"/>
    <n v="0.01"/>
    <n v="0.01"/>
    <n v="0.75"/>
    <n v="0.39"/>
    <n v="0.01"/>
    <s v="XS1891659358"/>
    <m/>
    <x v="5"/>
  </r>
  <r>
    <s v="BBLTB 3.733 09/25/34"/>
    <n v="3500000"/>
    <n v="27802198"/>
    <n v="0.56000000000000005"/>
    <n v="0.01"/>
    <n v="1.17"/>
    <n v="1.49"/>
    <n v="0.02"/>
    <n v="0.02"/>
    <n v="1.24"/>
    <n v="1.52"/>
    <n v="0.02"/>
    <s v="USY0606WCA63"/>
    <m/>
    <x v="6"/>
  </r>
  <r>
    <s v="BHARTI 4 ⅜ 06/10/25"/>
    <n v="2000000"/>
    <n v="16418206"/>
    <n v="0.33"/>
    <n v="0.01"/>
    <n v="0.47"/>
    <n v="1.01"/>
    <n v="0.01"/>
    <n v="0.01"/>
    <n v="0.43"/>
    <n v="0.9"/>
    <n v="0.01"/>
    <s v="USY0889VAA80"/>
    <m/>
    <x v="7"/>
  </r>
  <r>
    <s v="BMRIIJ 3 ¾ 04/11/24"/>
    <n v="2000000"/>
    <n v="16479804"/>
    <n v="0.33"/>
    <n v="0"/>
    <n v="0.3"/>
    <n v="0.64"/>
    <n v="0"/>
    <n v="0"/>
    <n v="0.38"/>
    <n v="0.79"/>
    <n v="0.01"/>
    <s v="XS1978319108"/>
    <m/>
    <x v="6"/>
  </r>
  <r>
    <s v="BOCHKL 5.9 PERP"/>
    <n v="5830000"/>
    <n v="48967683"/>
    <n v="0.99"/>
    <n v="0.01"/>
    <n v="0.96"/>
    <n v="0.69"/>
    <n v="0.02"/>
    <n v="0.01"/>
    <n v="0.77"/>
    <n v="0.54"/>
    <n v="0.02"/>
    <s v="US06428YAA47"/>
    <m/>
    <x v="6"/>
  </r>
  <r>
    <s v="CAPG 6.35 01/11/20"/>
    <n v="8500000"/>
    <n v="67865387"/>
    <n v="1.37"/>
    <n v="0"/>
    <n v="0.28000000000000003"/>
    <n v="0.14000000000000001"/>
    <n v="0.01"/>
    <n v="0"/>
    <n v="0.06"/>
    <n v="0.03"/>
    <n v="0"/>
    <s v="XS1543555533"/>
    <m/>
    <x v="2"/>
  </r>
  <r>
    <s v="CAPG 7.95 09/07/21"/>
    <n v="6000000"/>
    <n v="48939022"/>
    <n v="0.99"/>
    <n v="0.01"/>
    <n v="0.53"/>
    <n v="0.38"/>
    <n v="0.01"/>
    <n v="0.01"/>
    <n v="0.36"/>
    <n v="0.25"/>
    <n v="0.01"/>
    <s v="XS1876052025"/>
    <m/>
    <x v="2"/>
  </r>
  <r>
    <s v="CAPG 8 ½ 01/23/22"/>
    <n v="6000000"/>
    <n v="50021826"/>
    <n v="1.01"/>
    <n v="0.01"/>
    <n v="0.73"/>
    <n v="0.52"/>
    <n v="0.01"/>
    <n v="0.01"/>
    <n v="0.57999999999999996"/>
    <n v="0.4"/>
    <n v="0.01"/>
    <s v="XS1937690128"/>
    <m/>
    <x v="2"/>
  </r>
  <r>
    <s v="CENCHI 6 ½ 03/05/21"/>
    <n v="4000000"/>
    <n v="31246263"/>
    <n v="0.63"/>
    <n v="0.01"/>
    <n v="0.41"/>
    <n v="0.46"/>
    <n v="0.01"/>
    <n v="0.01"/>
    <n v="0.28000000000000003"/>
    <n v="0.31"/>
    <n v="0.01"/>
    <s v="XS1759562710"/>
    <m/>
    <x v="2"/>
  </r>
  <r>
    <s v="CENCHI 6 ⅞ 10/23/20"/>
    <n v="5000000"/>
    <n v="40543558"/>
    <n v="0.82"/>
    <n v="0.01"/>
    <n v="0.39"/>
    <n v="0.34"/>
    <n v="0.01"/>
    <n v="0"/>
    <n v="0.33"/>
    <n v="0.28000000000000003"/>
    <n v="0.01"/>
    <s v="XS1809984625"/>
    <m/>
    <x v="2"/>
  </r>
  <r>
    <s v="CERCG 5.55 04/14/21"/>
    <n v="5000000"/>
    <n v="10649825"/>
    <n v="0.22"/>
    <m/>
    <m/>
    <m/>
    <m/>
    <m/>
    <m/>
    <m/>
    <m/>
    <s v="XS1376566714"/>
    <m/>
    <x v="8"/>
  </r>
  <r>
    <s v="CHALUM 4.1 PERP"/>
    <n v="2500000"/>
    <n v="19666071"/>
    <n v="0.4"/>
    <n v="0.01"/>
    <n v="0.6"/>
    <n v="1.0900000000000001"/>
    <n v="0.01"/>
    <n v="0.01"/>
    <n v="0.62"/>
    <n v="1.08"/>
    <n v="0.01"/>
    <s v="XS2051055908"/>
    <m/>
    <x v="9"/>
  </r>
  <r>
    <s v="CHALUM 4.1 PERP"/>
    <n v="8000000"/>
    <n v="62931428"/>
    <n v="1.27"/>
    <n v="0.02"/>
    <n v="1.93"/>
    <n v="1.0900000000000001"/>
    <n v="0.02"/>
    <n v="0.02"/>
    <n v="2"/>
    <n v="1.08"/>
    <n v="0.03"/>
    <s v="XS2051055908"/>
    <m/>
    <x v="9"/>
  </r>
  <r>
    <s v="CHINA MERCHANTS BANK-H"/>
    <n v="190000"/>
    <n v="7087000"/>
    <n v="0.14000000000000001"/>
    <n v="0.02"/>
    <n v="0.43"/>
    <n v="2.15"/>
    <n v="0.03"/>
    <n v="0.02"/>
    <n v="0.99"/>
    <n v="4.75"/>
    <n v="0.02"/>
    <s v="CNE1000002M1"/>
    <m/>
    <x v="10"/>
  </r>
  <r>
    <s v="CHINA MOBILE LTD"/>
    <n v="140000"/>
    <n v="9079000"/>
    <n v="0.18"/>
    <n v="0.02"/>
    <n v="0.86"/>
    <n v="3.36"/>
    <n v="0.03"/>
    <n v="0.02"/>
    <n v="1.24"/>
    <n v="4.6500000000000004"/>
    <n v="0.03"/>
    <s v="HK0941009539"/>
    <m/>
    <x v="11"/>
  </r>
  <r>
    <s v="CHINSC 7.45 04/17/21"/>
    <n v="3000000"/>
    <n v="24700434"/>
    <n v="0.5"/>
    <n v="0"/>
    <n v="0.35"/>
    <n v="0.5"/>
    <n v="0.01"/>
    <n v="0"/>
    <n v="0.27"/>
    <n v="0.37"/>
    <n v="0.01"/>
    <s v="XS1795479291"/>
    <m/>
    <x v="2"/>
  </r>
  <r>
    <s v="CHINSC 8 ¾ 01/15/21"/>
    <n v="6000000"/>
    <n v="49382915"/>
    <n v="1"/>
    <n v="0.01"/>
    <n v="0.68"/>
    <n v="0.48"/>
    <n v="0.01"/>
    <n v="0.01"/>
    <n v="0.38"/>
    <n v="0.26"/>
    <n v="0.01"/>
    <s v="XS1893648904"/>
    <m/>
    <x v="2"/>
  </r>
  <r>
    <s v="CHOHIN 5.7 PERP"/>
    <n v="6000000"/>
    <n v="48759970"/>
    <n v="0.99"/>
    <n v="0.02"/>
    <n v="1.68"/>
    <n v="1.22"/>
    <n v="0.03"/>
    <n v="0.02"/>
    <n v="1.47"/>
    <n v="1.03"/>
    <n v="0.03"/>
    <s v="XS2020061326"/>
    <m/>
    <x v="6"/>
  </r>
  <r>
    <s v="CHPWCN 4.3 PERP"/>
    <n v="9000000"/>
    <n v="72896934"/>
    <n v="1.47"/>
    <n v="0.02"/>
    <n v="2.1"/>
    <n v="1.02"/>
    <n v="0.03"/>
    <n v="0.02"/>
    <n v="1.86"/>
    <n v="0.87"/>
    <n v="0.03"/>
    <s v="XS2008565116"/>
    <m/>
    <x v="12"/>
  </r>
  <r>
    <s v="CHPWCN 4.3 PERP"/>
    <n v="7000000"/>
    <n v="56697616"/>
    <n v="1.1499999999999999"/>
    <n v="0.02"/>
    <n v="1.63"/>
    <n v="1.02"/>
    <n v="0.02"/>
    <n v="0.02"/>
    <n v="1.45"/>
    <n v="0.87"/>
    <n v="0.02"/>
    <s v="XS2008565116"/>
    <m/>
    <x v="12"/>
  </r>
  <r>
    <s v="CHSCOI 6 PERP"/>
    <n v="1500000"/>
    <n v="12593604"/>
    <n v="0.25"/>
    <n v="0"/>
    <n v="0.15"/>
    <n v="0.43"/>
    <n v="0"/>
    <n v="0"/>
    <n v="0.14000000000000001"/>
    <n v="0.38"/>
    <n v="0"/>
    <s v="XS1912494538"/>
    <m/>
    <x v="2"/>
  </r>
  <r>
    <s v="CHUANT 4 ⅝ 09/26/21"/>
    <n v="1500000"/>
    <n v="12011419"/>
    <n v="0.24"/>
    <n v="0"/>
    <n v="0.12"/>
    <n v="0.35"/>
    <n v="0"/>
    <n v="0"/>
    <n v="0.14000000000000001"/>
    <n v="0.41"/>
    <n v="0"/>
    <s v="XS1852561031"/>
    <m/>
    <x v="13"/>
  </r>
  <r>
    <s v="CIFIHG 6 ⅞ 04/23/21"/>
    <n v="3000000"/>
    <n v="24761575"/>
    <n v="0.5"/>
    <n v="0"/>
    <n v="0.23"/>
    <n v="0.33"/>
    <n v="0"/>
    <n v="0"/>
    <n v="0.14000000000000001"/>
    <n v="0.19"/>
    <n v="0"/>
    <s v="XS1801151371"/>
    <m/>
    <x v="2"/>
  </r>
  <r>
    <s v="CIFIHG 7 ⅝ 03/02/21"/>
    <n v="5000000"/>
    <n v="40721072"/>
    <n v="0.82"/>
    <n v="0.01"/>
    <n v="0.35"/>
    <n v="0.3"/>
    <n v="0.01"/>
    <n v="0"/>
    <n v="0.3"/>
    <n v="0.25"/>
    <n v="0.01"/>
    <s v="XS1924328807"/>
    <m/>
    <x v="2"/>
  </r>
  <r>
    <s v="CINDBK 4 ⅝ 02/28/29"/>
    <n v="7000000"/>
    <n v="57598166"/>
    <n v="1.17"/>
    <n v="0.01"/>
    <n v="1.01"/>
    <n v="0.62"/>
    <n v="0.02"/>
    <n v="0.02"/>
    <n v="1.4"/>
    <n v="0.83"/>
    <n v="0.02"/>
    <s v="XS1897158892"/>
    <m/>
    <x v="6"/>
  </r>
  <r>
    <s v="CISIFG 5 08/28/20"/>
    <n v="4000000"/>
    <n v="31487751"/>
    <n v="0.64"/>
    <n v="0"/>
    <n v="0.26"/>
    <n v="0.28999999999999998"/>
    <n v="0"/>
    <n v="0"/>
    <n v="0.18"/>
    <n v="0.19"/>
    <n v="0"/>
    <s v="XS2042630355"/>
    <m/>
    <x v="14"/>
  </r>
  <r>
    <s v="CISIFG 5 08/28/20"/>
    <n v="5000000"/>
    <n v="39359689"/>
    <n v="0.8"/>
    <n v="0"/>
    <n v="0.32"/>
    <n v="0.28999999999999998"/>
    <n v="0.01"/>
    <n v="0"/>
    <n v="0.22"/>
    <n v="0.19"/>
    <n v="0"/>
    <s v="XS2042630355"/>
    <m/>
    <x v="14"/>
  </r>
  <r>
    <s v="CLP HOLDINGS LTD"/>
    <n v="115000"/>
    <n v="9470250"/>
    <n v="0.19"/>
    <n v="0.02"/>
    <n v="0.66"/>
    <n v="2.4500000000000002"/>
    <n v="0.03"/>
    <n v="0.02"/>
    <n v="0.91"/>
    <n v="3.27"/>
    <n v="0.03"/>
    <s v="HK0002007356"/>
    <m/>
    <x v="15"/>
  </r>
  <r>
    <s v="CMHI 4 ⅜ 08/06/23"/>
    <n v="2500000"/>
    <n v="20849061"/>
    <n v="0.42"/>
    <n v="0"/>
    <n v="0.3"/>
    <n v="0.51"/>
    <n v="0.01"/>
    <n v="0"/>
    <n v="0.42"/>
    <n v="0.68"/>
    <n v="0.01"/>
    <s v="XS1856799421"/>
    <m/>
    <x v="16"/>
  </r>
  <r>
    <s v="CMHI 5 08/06/28"/>
    <n v="10000000"/>
    <n v="89986034"/>
    <n v="1.82"/>
    <n v="0.04"/>
    <n v="3.56"/>
    <n v="1.4"/>
    <n v="0.05"/>
    <n v="0.04"/>
    <n v="3.3"/>
    <n v="1.25"/>
    <n v="0.06"/>
    <s v="XS1856800450"/>
    <m/>
    <x v="16"/>
  </r>
  <r>
    <s v="CNPFP 6 01/22/49"/>
    <n v="3000000"/>
    <n v="23373093"/>
    <n v="0.47"/>
    <n v="0.02"/>
    <n v="0.68"/>
    <n v="1.02"/>
    <n v="0.02"/>
    <n v="0.02"/>
    <n v="0.28999999999999998"/>
    <n v="0.43"/>
    <n v="0.02"/>
    <s v="FR0013101599"/>
    <m/>
    <x v="17"/>
  </r>
  <r>
    <s v="COGARD 6.15 09/17/25"/>
    <n v="4500000"/>
    <n v="36191041"/>
    <n v="0.73"/>
    <n v="0.02"/>
    <n v="1.37"/>
    <n v="1.34"/>
    <n v="0.02"/>
    <n v="0.02"/>
    <n v="1.4"/>
    <n v="1.32"/>
    <n v="0.02"/>
    <s v="XS2051371222"/>
    <m/>
    <x v="2"/>
  </r>
  <r>
    <s v="COGARD 7 ¼ 04/04/21"/>
    <n v="1000000"/>
    <n v="8144163"/>
    <n v="0.16"/>
    <n v="0"/>
    <n v="0.02"/>
    <n v="0.1"/>
    <n v="0"/>
    <n v="0"/>
    <n v="0"/>
    <n v="0.01"/>
    <n v="0"/>
    <s v="USG24524AH67"/>
    <m/>
    <x v="2"/>
  </r>
  <r>
    <s v="COGARD 7 ½ 03/09/20"/>
    <n v="6000000"/>
    <n v="47989749"/>
    <n v="0.97"/>
    <n v="0"/>
    <n v="0.2"/>
    <n v="0.15"/>
    <n v="0.01"/>
    <n v="0"/>
    <n v="0.05"/>
    <n v="0.03"/>
    <n v="0"/>
    <s v="XS1164776020"/>
    <m/>
    <x v="2"/>
  </r>
  <r>
    <s v="COGO 4 ⅞ 06/01/21"/>
    <n v="7100000"/>
    <n v="58047821"/>
    <n v="1.17"/>
    <n v="0.01"/>
    <n v="0.53"/>
    <n v="0.32"/>
    <n v="0.01"/>
    <n v="0.01"/>
    <n v="0.55000000000000004"/>
    <n v="0.32"/>
    <n v="0.01"/>
    <s v="XS1823212904"/>
    <m/>
    <x v="2"/>
  </r>
  <r>
    <s v="EURO"/>
    <n v="116129.43"/>
    <n v="992547"/>
    <n v="0.02"/>
    <n v="0"/>
    <n v="0.02"/>
    <n v="0.72"/>
    <n v="0"/>
    <n v="0"/>
    <n v="0.02"/>
    <n v="0.72"/>
    <n v="0"/>
    <m/>
    <m/>
    <x v="18"/>
  </r>
  <r>
    <s v="Future Margin of 19437-A"/>
    <n v="-16806.400000000001"/>
    <n v="-16806"/>
    <n v="0"/>
    <n v="0"/>
    <n v="0"/>
    <n v="0"/>
    <n v="0"/>
    <n v="0"/>
    <n v="0"/>
    <n v="0"/>
    <n v="0"/>
    <m/>
    <m/>
    <x v="18"/>
  </r>
  <r>
    <s v="Future Margin of 19437-B"/>
    <n v="26292947.129999999"/>
    <n v="26292947"/>
    <n v="0.53"/>
    <n v="0"/>
    <n v="0"/>
    <n v="0"/>
    <n v="0"/>
    <n v="0"/>
    <n v="0"/>
    <n v="0"/>
    <n v="0"/>
    <m/>
    <m/>
    <x v="18"/>
  </r>
  <r>
    <s v="GRNCH 8 ⅛ PERP"/>
    <n v="1000000"/>
    <n v="8306290"/>
    <n v="0.17"/>
    <n v="0"/>
    <n v="0.18"/>
    <n v="0.79"/>
    <n v="0"/>
    <n v="0"/>
    <n v="0.13"/>
    <n v="0.53"/>
    <n v="0"/>
    <s v="XS1940394502"/>
    <m/>
    <x v="2"/>
  </r>
  <r>
    <s v="GRNCH 8 ⅛ PERP"/>
    <n v="7000000"/>
    <n v="58144027"/>
    <n v="1.18"/>
    <n v="0.01"/>
    <n v="1.29"/>
    <n v="0.79"/>
    <n v="0.02"/>
    <n v="0.01"/>
    <n v="0.91"/>
    <n v="0.53"/>
    <n v="0.02"/>
    <s v="XS1940394502"/>
    <m/>
    <x v="2"/>
  </r>
  <r>
    <s v="GRNLGR 6 ¾ 09/26/23"/>
    <n v="5000000"/>
    <n v="39137519"/>
    <n v="0.79"/>
    <n v="0.02"/>
    <n v="1.42"/>
    <n v="1.28"/>
    <n v="0.02"/>
    <n v="0.02"/>
    <n v="0.99"/>
    <n v="0.86"/>
    <n v="0.02"/>
    <s v="XS2055399054"/>
    <m/>
    <x v="2"/>
  </r>
  <r>
    <s v="GRWALL 3.95 PERP"/>
    <n v="9000000"/>
    <n v="71024004"/>
    <n v="1.44"/>
    <n v="0.02"/>
    <n v="1.42"/>
    <n v="0.71"/>
    <n v="0.03"/>
    <n v="0.02"/>
    <n v="1.97"/>
    <n v="0.95"/>
    <n v="0.03"/>
    <s v="XS2023803872"/>
    <m/>
    <x v="13"/>
  </r>
  <r>
    <s v="GRWALL 4 ⅜ 05/25/23"/>
    <n v="8000000"/>
    <n v="66937344"/>
    <n v="1.35"/>
    <n v="0.01"/>
    <n v="0.8"/>
    <n v="0.42"/>
    <n v="0.02"/>
    <n v="0.01"/>
    <n v="1.19"/>
    <n v="0.61"/>
    <n v="0.02"/>
    <s v="XS1819966687"/>
    <m/>
    <x v="13"/>
  </r>
  <r>
    <s v="GUANGDONG INVESTMENT LTD"/>
    <n v="750000"/>
    <n v="11505000"/>
    <n v="0.23"/>
    <n v="0.03"/>
    <n v="0.75"/>
    <n v="2.29"/>
    <n v="0.03"/>
    <n v="0.02"/>
    <n v="1.62"/>
    <n v="4.8099999999999996"/>
    <n v="0.03"/>
    <s v="HK0270001396"/>
    <m/>
    <x v="15"/>
  </r>
  <r>
    <s v="HANG SENG BANK LTD"/>
    <n v="65900"/>
    <n v="11137100"/>
    <n v="0.23"/>
    <n v="0.02"/>
    <n v="0.82"/>
    <n v="2.61"/>
    <n v="0.03"/>
    <n v="0.02"/>
    <n v="1.19"/>
    <n v="3.65"/>
    <n v="0.03"/>
    <s v="HK0011000095"/>
    <m/>
    <x v="10"/>
  </r>
  <r>
    <s v="HAOHUA 3.9 PERP"/>
    <n v="2500000"/>
    <n v="20074286"/>
    <n v="0.41"/>
    <n v="0"/>
    <n v="0.23"/>
    <n v="0.41"/>
    <n v="0"/>
    <n v="0"/>
    <n v="0.28000000000000003"/>
    <n v="0.48"/>
    <n v="0"/>
    <s v="XS1622745203"/>
    <m/>
    <x v="19"/>
  </r>
  <r>
    <s v="HILOHO 8 ¼ 09/26/22"/>
    <n v="4000000"/>
    <n v="31801807"/>
    <n v="0.64"/>
    <n v="0.01"/>
    <n v="1.04"/>
    <n v="1.1499999999999999"/>
    <n v="0.02"/>
    <n v="0.01"/>
    <n v="0.91"/>
    <n v="0.97"/>
    <n v="0.02"/>
    <s v="XS2016067303"/>
    <m/>
    <x v="20"/>
  </r>
  <r>
    <s v="HKCGAS 4 ¾ PERP"/>
    <n v="3250000"/>
    <n v="26838330"/>
    <n v="0.54"/>
    <n v="0.01"/>
    <n v="0.51"/>
    <n v="0.67"/>
    <n v="0.01"/>
    <n v="0.01"/>
    <n v="0.49"/>
    <n v="0.63"/>
    <n v="0.01"/>
    <s v="XS1933097633"/>
    <m/>
    <x v="15"/>
  </r>
  <r>
    <s v="HKT TRUST AND HKT LTD-SS"/>
    <n v="957000"/>
    <n v="11905080"/>
    <n v="0.24"/>
    <n v="0.03"/>
    <n v="0.52"/>
    <n v="1.55"/>
    <n v="0.03"/>
    <n v="0.02"/>
    <n v="0.89"/>
    <n v="2.54"/>
    <n v="0.03"/>
    <s v="HK0000093390"/>
    <m/>
    <x v="11"/>
  </r>
  <r>
    <s v="HONG KONG DOLLAR"/>
    <n v="711685.16"/>
    <n v="711685"/>
    <n v="0.01"/>
    <n v="0"/>
    <n v="0"/>
    <n v="0"/>
    <n v="0"/>
    <n v="0"/>
    <n v="0"/>
    <n v="0"/>
    <n v="0"/>
    <m/>
    <m/>
    <x v="18"/>
  </r>
  <r>
    <s v="HONG KONG DOLLAR"/>
    <n v="23887304.059999999"/>
    <n v="23887304"/>
    <n v="0.48"/>
    <n v="0"/>
    <n v="0"/>
    <n v="0"/>
    <n v="0"/>
    <n v="0"/>
    <n v="0"/>
    <n v="0"/>
    <n v="0"/>
    <m/>
    <m/>
    <x v="18"/>
  </r>
  <r>
    <s v="HONG KONG DOLLAR"/>
    <n v="7072887.75"/>
    <n v="7072888"/>
    <n v="0.14000000000000001"/>
    <n v="0"/>
    <n v="0"/>
    <n v="0"/>
    <n v="0"/>
    <n v="0"/>
    <n v="0"/>
    <n v="0"/>
    <n v="0"/>
    <m/>
    <m/>
    <x v="18"/>
  </r>
  <r>
    <s v="HONG KONG EXCHANGES &amp; CLEAR"/>
    <n v="40000"/>
    <n v="9200000"/>
    <n v="0.19"/>
    <n v="0.02"/>
    <n v="0.61"/>
    <n v="2.34"/>
    <n v="0.03"/>
    <n v="0.02"/>
    <n v="1.35"/>
    <n v="5.01"/>
    <n v="0.03"/>
    <s v="HK0388045442"/>
    <m/>
    <x v="21"/>
  </r>
  <r>
    <s v="HONGQI 7 ⅛ 07/22/22"/>
    <n v="4000000"/>
    <n v="31851521"/>
    <n v="0.64"/>
    <n v="0.01"/>
    <n v="0.78"/>
    <n v="0.86"/>
    <n v="0.01"/>
    <n v="0.01"/>
    <n v="0.8"/>
    <n v="0.85"/>
    <n v="0.01"/>
    <s v="XS2024786035"/>
    <m/>
    <x v="9"/>
  </r>
  <r>
    <s v="HONHUA 6 ⅜ 08/01/22"/>
    <n v="5000000"/>
    <n v="39837087"/>
    <n v="0.81"/>
    <n v="0.01"/>
    <n v="0.92"/>
    <n v="0.82"/>
    <n v="0.02"/>
    <n v="0.01"/>
    <n v="0.91"/>
    <n v="0.78"/>
    <n v="0.02"/>
    <s v="XS2034868047"/>
    <m/>
    <x v="20"/>
  </r>
  <r>
    <s v="HPDLF 7 ½ 06/27/22"/>
    <n v="6000000"/>
    <n v="47977755"/>
    <n v="0.97"/>
    <n v="0.01"/>
    <n v="0.86"/>
    <n v="0.63"/>
    <n v="0.01"/>
    <n v="0.01"/>
    <n v="0.97"/>
    <n v="0.69"/>
    <n v="0.01"/>
    <s v="XS1813551584"/>
    <m/>
    <x v="2"/>
  </r>
  <r>
    <s v="HPDLF 7 ½ 06/27/22"/>
    <n v="3000000"/>
    <n v="23988878"/>
    <n v="0.49"/>
    <n v="0.01"/>
    <n v="0.43"/>
    <n v="0.63"/>
    <n v="0.01"/>
    <n v="0.01"/>
    <n v="0.49"/>
    <n v="0.69"/>
    <n v="0.01"/>
    <s v="XS1813551584"/>
    <m/>
    <x v="2"/>
  </r>
  <r>
    <s v="HSBC HOLDINGS PLC"/>
    <n v="130000"/>
    <n v="7852000"/>
    <n v="0.16"/>
    <n v="0.01"/>
    <n v="0.27"/>
    <n v="1.22"/>
    <n v="0.02"/>
    <n v="0.02"/>
    <n v="0.56999999999999995"/>
    <n v="2.46"/>
    <n v="0.02"/>
    <s v="GB0005405286"/>
    <m/>
    <x v="10"/>
  </r>
  <r>
    <s v="HUAYI 4 12/02/19"/>
    <n v="6000000"/>
    <n v="47658326"/>
    <n v="0.96"/>
    <n v="0"/>
    <n v="0.16"/>
    <n v="0.12"/>
    <n v="0.01"/>
    <n v="0"/>
    <n v="0.02"/>
    <n v="0.01"/>
    <n v="0"/>
    <s v="XS1139661224"/>
    <m/>
    <x v="22"/>
  </r>
  <r>
    <s v="ICBCAS 6 PERP"/>
    <n v="4000000"/>
    <n v="33048402"/>
    <n v="0.67"/>
    <n v="0"/>
    <n v="0.1"/>
    <n v="0.11"/>
    <n v="0"/>
    <n v="0"/>
    <n v="0.01"/>
    <n v="0.01"/>
    <n v="0"/>
    <s v="USY39656AA40"/>
    <m/>
    <x v="6"/>
  </r>
  <r>
    <s v="IND &amp; COMM BK OF CHINA-H"/>
    <n v="600000"/>
    <n v="3150000"/>
    <n v="0.06"/>
    <n v="0.01"/>
    <n v="0.26"/>
    <n v="2.91"/>
    <n v="0.01"/>
    <n v="0.01"/>
    <n v="0.26"/>
    <n v="2.79"/>
    <n v="0.01"/>
    <s v="CNE1000003G1"/>
    <m/>
    <x v="10"/>
  </r>
  <r>
    <s v="JIAPRO 4.85 02/21/22"/>
    <n v="1000000"/>
    <n v="8116514"/>
    <n v="0.16"/>
    <n v="0"/>
    <n v="0.1"/>
    <n v="0.43"/>
    <n v="0"/>
    <n v="0"/>
    <n v="0.1"/>
    <n v="0.42"/>
    <n v="0"/>
    <s v="XS1917106061"/>
    <m/>
    <x v="9"/>
  </r>
  <r>
    <s v="JINKE 8 ⅜ 06/20/21"/>
    <n v="11500000"/>
    <n v="90832091"/>
    <n v="1.84"/>
    <n v="0.03"/>
    <n v="2.21"/>
    <n v="0.86"/>
    <n v="0.04"/>
    <n v="0.03"/>
    <n v="2.16"/>
    <n v="0.81"/>
    <n v="0.04"/>
    <s v="XS2010988074"/>
    <m/>
    <x v="2"/>
  </r>
  <r>
    <s v="JINKE 8 ⅜ 06/20/21"/>
    <n v="7000000"/>
    <n v="55289099"/>
    <n v="1.1200000000000001"/>
    <n v="0.02"/>
    <n v="1.34"/>
    <n v="0.86"/>
    <n v="0.02"/>
    <n v="0.02"/>
    <n v="1.32"/>
    <n v="0.81"/>
    <n v="0.02"/>
    <s v="XS2010988074"/>
    <m/>
    <x v="2"/>
  </r>
  <r>
    <s v="JPM 1.001 07/25/31"/>
    <n v="6000000"/>
    <n v="53335758"/>
    <n v="1.08"/>
    <n v="0.04"/>
    <n v="1.59"/>
    <n v="1.06"/>
    <n v="0.04"/>
    <n v="0.04"/>
    <n v="1.73"/>
    <n v="1.1100000000000001"/>
    <n v="0.05"/>
    <s v="XS2033262622"/>
    <m/>
    <x v="1"/>
  </r>
  <r>
    <s v="KEBHNB Float 10/02/22"/>
    <n v="3000000"/>
    <n v="23563943"/>
    <n v="0.48"/>
    <n v="0"/>
    <n v="0.12"/>
    <n v="0.18"/>
    <n v="0"/>
    <n v="0"/>
    <n v="0.04"/>
    <n v="0.06"/>
    <n v="0"/>
    <s v="USY4S96CSP92"/>
    <m/>
    <x v="1"/>
  </r>
  <r>
    <s v="KWGPRO 6 09/15/22"/>
    <n v="6000000"/>
    <n v="46353040"/>
    <n v="0.94"/>
    <n v="0.02"/>
    <n v="0.97"/>
    <n v="0.74"/>
    <n v="0.02"/>
    <n v="0.01"/>
    <n v="0.7"/>
    <n v="0.52"/>
    <n v="0.02"/>
    <s v="XS1556169206"/>
    <m/>
    <x v="2"/>
  </r>
  <r>
    <s v="KWGPRO 9.85 11/26/20"/>
    <n v="7200000"/>
    <n v="61262355"/>
    <n v="1.24"/>
    <n v="0.01"/>
    <n v="0.51"/>
    <n v="0.3"/>
    <n v="0.01"/>
    <n v="0.01"/>
    <n v="0.37"/>
    <n v="0.21"/>
    <n v="0.01"/>
    <s v="XS1900228971"/>
    <m/>
    <x v="2"/>
  </r>
  <r>
    <s v="LINK REIT"/>
    <n v="92000"/>
    <n v="7953400"/>
    <n v="0.16"/>
    <n v="0.02"/>
    <n v="0.43"/>
    <n v="1.92"/>
    <n v="0.02"/>
    <n v="0.02"/>
    <n v="0.81"/>
    <n v="3.48"/>
    <n v="0.02"/>
    <s v="HK0823032773"/>
    <m/>
    <x v="2"/>
  </r>
  <r>
    <s v="LLPLCA 6 ⅞ 02/04/39"/>
    <n v="4000000"/>
    <n v="36402363"/>
    <n v="0.74"/>
    <n v="0.02"/>
    <n v="1.5"/>
    <n v="1.45"/>
    <n v="0.03"/>
    <n v="0.02"/>
    <n v="1.5"/>
    <n v="1.41"/>
    <n v="0.02"/>
    <s v="USY51478AA66"/>
    <m/>
    <x v="23"/>
  </r>
  <r>
    <s v="LOGPH 6 ⅜ 03/07/21"/>
    <n v="2000000"/>
    <n v="15982812"/>
    <n v="0.32"/>
    <n v="0"/>
    <n v="0.18"/>
    <n v="0.39"/>
    <n v="0"/>
    <n v="0"/>
    <n v="0.17"/>
    <n v="0.36"/>
    <n v="0"/>
    <s v="XS1772325210"/>
    <m/>
    <x v="2"/>
  </r>
  <r>
    <s v="LOGPH 7 ½ 08/25/22"/>
    <n v="5000000"/>
    <n v="40922256"/>
    <n v="0.83"/>
    <n v="0.01"/>
    <n v="0.72"/>
    <n v="0.62"/>
    <n v="0.01"/>
    <n v="0.01"/>
    <n v="0.64"/>
    <n v="0.54"/>
    <n v="0.01"/>
    <s v="XS1954961295"/>
    <m/>
    <x v="2"/>
  </r>
  <r>
    <s v="LOGPH 7 ½ 08/27/21"/>
    <n v="5000000"/>
    <n v="40817731"/>
    <n v="0.83"/>
    <n v="0"/>
    <n v="0.4"/>
    <n v="0.35"/>
    <n v="0.01"/>
    <n v="0"/>
    <n v="0.31"/>
    <n v="0.26"/>
    <n v="0.01"/>
    <s v="XS1870205819"/>
    <m/>
    <x v="2"/>
  </r>
  <r>
    <s v="LOGPH 8 ¾ 12/12/20"/>
    <n v="4000000"/>
    <n v="33523408"/>
    <n v="0.68"/>
    <n v="0"/>
    <n v="0.32"/>
    <n v="0.34"/>
    <n v="0.01"/>
    <n v="0"/>
    <n v="0.28000000000000003"/>
    <n v="0.28999999999999998"/>
    <n v="0"/>
    <s v="XS1920256564"/>
    <m/>
    <x v="2"/>
  </r>
  <r>
    <s v="MINCAP 4 ⅝ 08/10/30"/>
    <n v="4000000"/>
    <n v="32510998"/>
    <n v="0.66"/>
    <n v="0.01"/>
    <n v="1.01"/>
    <n v="1.1000000000000001"/>
    <n v="0.02"/>
    <n v="0.01"/>
    <n v="1.3"/>
    <n v="1.36"/>
    <n v="0.02"/>
    <s v="USN57445AA17"/>
    <m/>
    <x v="23"/>
  </r>
  <r>
    <s v="MONDFI 5 ⅛ 05/07/29"/>
    <n v="4500000"/>
    <n v="36222790"/>
    <n v="0.73"/>
    <n v="0.01"/>
    <n v="0.75"/>
    <n v="0.73"/>
    <n v="0.02"/>
    <n v="0.01"/>
    <n v="0.61"/>
    <n v="0.56999999999999995"/>
    <n v="0.02"/>
    <s v="USN6000DAA11"/>
    <m/>
    <x v="23"/>
  </r>
  <r>
    <s v="MSINS 4.95 PERP"/>
    <n v="7500000"/>
    <n v="65373982"/>
    <n v="1.32"/>
    <n v="0.03"/>
    <n v="1.74"/>
    <n v="0.94"/>
    <n v="0.03"/>
    <n v="0.03"/>
    <n v="1.73"/>
    <n v="0.9"/>
    <n v="0.04"/>
    <s v="USJ4517MAA74"/>
    <m/>
    <x v="24"/>
  </r>
  <r>
    <s v="MTR CORP"/>
    <n v="331500"/>
    <n v="14586000"/>
    <n v="0.3"/>
    <n v="0.04"/>
    <n v="1.8"/>
    <n v="4.3499999999999996"/>
    <n v="0.05"/>
    <n v="0.04"/>
    <n v="0.88"/>
    <n v="2.06"/>
    <n v="0.05"/>
    <s v="HK0066009694"/>
    <m/>
    <x v="25"/>
  </r>
  <r>
    <s v="MUFG 0.848 07/19/29"/>
    <n v="4000000"/>
    <n v="35712034"/>
    <n v="0.72"/>
    <n v="0.02"/>
    <n v="1.02"/>
    <n v="1.01"/>
    <n v="0.03"/>
    <n v="0.02"/>
    <n v="1.1299999999999999"/>
    <n v="1.08"/>
    <n v="0.03"/>
    <s v="XS2028900087"/>
    <m/>
    <x v="1"/>
  </r>
  <r>
    <s v="MYLIFE 5.2 10/20/45"/>
    <n v="1500000"/>
    <n v="13264213"/>
    <n v="0.27"/>
    <n v="0"/>
    <n v="0.22"/>
    <n v="0.59"/>
    <n v="0"/>
    <n v="0"/>
    <n v="0.24"/>
    <n v="0.62"/>
    <n v="0"/>
    <s v="USJ41838AA14"/>
    <m/>
    <x v="17"/>
  </r>
  <r>
    <s v="OCTOWN 4.3 PERP"/>
    <n v="5000000"/>
    <n v="39987799"/>
    <n v="0.81"/>
    <n v="0"/>
    <n v="0.31"/>
    <n v="0.27"/>
    <n v="0"/>
    <n v="0"/>
    <n v="0.19"/>
    <n v="0.16"/>
    <n v="0"/>
    <s v="XS1692254359"/>
    <m/>
    <x v="2"/>
  </r>
  <r>
    <s v="ORIEAS 3 ⅞ 03/20/24"/>
    <n v="500000"/>
    <n v="4088831"/>
    <n v="0.08"/>
    <n v="0"/>
    <n v="7.0000000000000007E-2"/>
    <n v="0.6"/>
    <n v="0"/>
    <n v="0"/>
    <n v="0.1"/>
    <n v="0.85"/>
    <n v="0"/>
    <s v="XS1964673351"/>
    <m/>
    <x v="13"/>
  </r>
  <r>
    <s v="ORIEAS 4 ½ 03/20/29"/>
    <n v="3000000"/>
    <n v="25367436"/>
    <n v="0.51"/>
    <n v="0.01"/>
    <n v="0.98"/>
    <n v="1.36"/>
    <n v="0.02"/>
    <n v="0.01"/>
    <n v="1.29"/>
    <n v="1.74"/>
    <n v="0.02"/>
    <s v="XS1964673435"/>
    <m/>
    <x v="13"/>
  </r>
  <r>
    <s v="PERTIJ 3.65 07/30/29"/>
    <n v="1500000"/>
    <n v="12161611"/>
    <n v="0.25"/>
    <n v="0.01"/>
    <n v="0.52"/>
    <n v="1.52"/>
    <n v="0.01"/>
    <n v="0.01"/>
    <n v="0.53"/>
    <n v="1.5"/>
    <n v="0.01"/>
    <s v="US69370RAD98"/>
    <m/>
    <x v="26"/>
  </r>
  <r>
    <s v="PING AN INSURANCE GROUP CO-H"/>
    <n v="95000"/>
    <n v="8554750"/>
    <n v="0.17"/>
    <n v="0.02"/>
    <n v="0.78"/>
    <n v="3.22"/>
    <n v="0.03"/>
    <n v="0.02"/>
    <n v="1.3"/>
    <n v="5.19"/>
    <n v="0.03"/>
    <s v="CNE1000003X6"/>
    <m/>
    <x v="3"/>
  </r>
  <r>
    <s v="PNSTTA 6 ⅝ 06/17/31"/>
    <n v="5000000"/>
    <n v="40312753"/>
    <n v="0.82"/>
    <n v="0.03"/>
    <n v="1.6"/>
    <n v="1.4"/>
    <n v="0.04"/>
    <n v="0.04"/>
    <n v="1.52"/>
    <n v="1.28"/>
    <n v="0.05"/>
    <s v="USG7150PAA87"/>
    <m/>
    <x v="20"/>
  </r>
  <r>
    <s v="POSABK 4 ½ PERP"/>
    <n v="8000000"/>
    <n v="62761923"/>
    <n v="1.27"/>
    <n v="0.03"/>
    <n v="2.11"/>
    <n v="1.19"/>
    <n v="0.03"/>
    <n v="0.02"/>
    <n v="1.88"/>
    <n v="1.02"/>
    <n v="0.03"/>
    <s v="XS1684793018"/>
    <m/>
    <x v="6"/>
  </r>
  <r>
    <s v="POSABK 4 ½ PERP"/>
    <n v="4500000"/>
    <n v="35303582"/>
    <n v="0.71"/>
    <n v="0.01"/>
    <n v="1.19"/>
    <n v="1.19"/>
    <n v="0.02"/>
    <n v="0.01"/>
    <n v="1.06"/>
    <n v="1.02"/>
    <n v="0.02"/>
    <s v="XS1684793018"/>
    <m/>
    <x v="6"/>
  </r>
  <r>
    <s v="POWER ASSETS HOLDINGS LTD"/>
    <n v="70000"/>
    <n v="3685500"/>
    <n v="7.0000000000000007E-2"/>
    <n v="0.01"/>
    <n v="0.08"/>
    <n v="0.74"/>
    <n v="0.01"/>
    <n v="0.01"/>
    <n v="0.17"/>
    <n v="1.55"/>
    <n v="0.01"/>
    <s v="HK0006000050"/>
    <m/>
    <x v="15"/>
  </r>
  <r>
    <s v="PRUFIN 5 ¼ PERP"/>
    <n v="4000000"/>
    <n v="31495326"/>
    <n v="0.64"/>
    <n v="0"/>
    <n v="0.11"/>
    <n v="0.12"/>
    <n v="0"/>
    <n v="0"/>
    <n v="0.02"/>
    <n v="0.02"/>
    <n v="0"/>
    <s v="XS0873630742"/>
    <m/>
    <x v="17"/>
  </r>
  <r>
    <s v="PWCNPG 4 ½ 12/06/21"/>
    <n v="7000000"/>
    <n v="57142719"/>
    <n v="1.1599999999999999"/>
    <n v="0.01"/>
    <n v="0.69"/>
    <n v="0.43"/>
    <n v="0.01"/>
    <n v="0.01"/>
    <n v="0.72"/>
    <n v="0.43"/>
    <n v="0.01"/>
    <s v="XS1917764372"/>
    <m/>
    <x v="2"/>
  </r>
  <r>
    <s v="RLCONS 3.97 PERP"/>
    <n v="2000000"/>
    <n v="15838820"/>
    <n v="0.32"/>
    <n v="0.01"/>
    <n v="0.44"/>
    <n v="0.98"/>
    <n v="0.01"/>
    <n v="0"/>
    <n v="0.52"/>
    <n v="1.1200000000000001"/>
    <n v="0.01"/>
    <s v="XS2014269018"/>
    <m/>
    <x v="27"/>
  </r>
  <r>
    <s v="RLCONS 3.97 PERP"/>
    <n v="3000000"/>
    <n v="23758229"/>
    <n v="0.48"/>
    <n v="0.01"/>
    <n v="0.66"/>
    <n v="0.98"/>
    <n v="0.01"/>
    <n v="0.01"/>
    <n v="0.78"/>
    <n v="1.1200000000000001"/>
    <n v="0.01"/>
    <s v="XS2014269018"/>
    <m/>
    <x v="27"/>
  </r>
  <r>
    <s v="ROADKG 6.7 09/30/24"/>
    <n v="2000000"/>
    <n v="15681718"/>
    <n v="0.32"/>
    <n v="0.01"/>
    <n v="0.35"/>
    <n v="0.78"/>
    <n v="0.01"/>
    <n v="0.01"/>
    <n v="0.48"/>
    <n v="1.04"/>
    <n v="0.01"/>
    <s v="XS2057076387"/>
    <m/>
    <x v="2"/>
  </r>
  <r>
    <s v="ROADKG 7 ⅞ 02/01/23"/>
    <n v="2000000"/>
    <n v="16743547"/>
    <n v="0.34"/>
    <n v="0"/>
    <n v="0.18"/>
    <n v="0.38"/>
    <n v="0"/>
    <n v="0"/>
    <n v="0.24"/>
    <n v="0.48"/>
    <n v="0"/>
    <s v="XS1943451788"/>
    <m/>
    <x v="2"/>
  </r>
  <r>
    <s v="RONXIN 10 ½ 03/01/22"/>
    <n v="6000000"/>
    <n v="49413855"/>
    <n v="1"/>
    <n v="0.02"/>
    <n v="1.05"/>
    <n v="0.75"/>
    <n v="0.02"/>
    <n v="0.02"/>
    <n v="1.29"/>
    <n v="0.89"/>
    <n v="0.02"/>
    <s v="XS1957481440"/>
    <m/>
    <x v="2"/>
  </r>
  <r>
    <s v="RONXIN 11 ¼ 08/22/21"/>
    <n v="7000000"/>
    <n v="58735352"/>
    <n v="1.19"/>
    <n v="0.01"/>
    <n v="1.1000000000000001"/>
    <n v="0.66"/>
    <n v="0.02"/>
    <n v="0.01"/>
    <n v="1.07"/>
    <n v="0.62"/>
    <n v="0.02"/>
    <s v="XS1950819729"/>
    <m/>
    <x v="2"/>
  </r>
  <r>
    <s v="SCBTB 3.9 02/11/24"/>
    <n v="3000000"/>
    <n v="24898758"/>
    <n v="0.5"/>
    <n v="0.01"/>
    <n v="0.43"/>
    <n v="0.62"/>
    <n v="0.01"/>
    <n v="0.01"/>
    <n v="0.54"/>
    <n v="0.75"/>
    <n v="0.01"/>
    <s v="XS1945125463"/>
    <m/>
    <x v="6"/>
  </r>
  <r>
    <s v="SHBASS 6 ¼ PERP"/>
    <n v="2000000"/>
    <n v="17407401"/>
    <n v="0.35"/>
    <n v="0"/>
    <n v="0.21"/>
    <n v="0.42"/>
    <n v="0.01"/>
    <n v="0"/>
    <n v="0.37"/>
    <n v="0.73"/>
    <n v="0.01"/>
    <s v="XS1952091202"/>
    <m/>
    <x v="6"/>
  </r>
  <r>
    <s v="SHCMBK 5 01/17/29"/>
    <n v="1500000"/>
    <n v="12586503"/>
    <n v="0.25"/>
    <n v="0"/>
    <n v="0.22"/>
    <n v="0.6"/>
    <n v="0"/>
    <n v="0"/>
    <n v="0.28999999999999998"/>
    <n v="0.78"/>
    <n v="0"/>
    <s v="XS1892105823"/>
    <m/>
    <x v="6"/>
  </r>
  <r>
    <s v="SHDOIS 6 ½ 06/14/21"/>
    <n v="6000000"/>
    <n v="48333638"/>
    <n v="0.98"/>
    <n v="0.01"/>
    <n v="0.74"/>
    <n v="0.54"/>
    <n v="0.01"/>
    <n v="0.01"/>
    <n v="0.49"/>
    <n v="0.34"/>
    <n v="0.01"/>
    <s v="XS1728741346"/>
    <m/>
    <x v="9"/>
  </r>
  <r>
    <s v="SHDOIS 6.85 09/25/22"/>
    <n v="1800000"/>
    <n v="14281686"/>
    <n v="0.28999999999999998"/>
    <n v="0"/>
    <n v="0.43"/>
    <n v="1.05"/>
    <n v="0.01"/>
    <n v="0"/>
    <n v="0.26"/>
    <n v="0.62"/>
    <n v="0.01"/>
    <s v="XS2050594071"/>
    <m/>
    <x v="9"/>
  </r>
  <r>
    <s v="SHIMAO 5.6 07/15/26"/>
    <n v="4000000"/>
    <n v="32515235"/>
    <n v="0.66"/>
    <n v="0.01"/>
    <n v="1.1100000000000001"/>
    <n v="1.2"/>
    <n v="0.02"/>
    <n v="0.01"/>
    <n v="0.61"/>
    <n v="0.64"/>
    <n v="0.02"/>
    <s v="XS2025575114"/>
    <m/>
    <x v="2"/>
  </r>
  <r>
    <s v="SHIMAO 6 ⅛ 02/21/24"/>
    <n v="1500000"/>
    <n v="12563723"/>
    <n v="0.25"/>
    <n v="0"/>
    <n v="0.21"/>
    <n v="0.57999999999999996"/>
    <n v="0"/>
    <n v="0"/>
    <n v="0.2"/>
    <n v="0.55000000000000004"/>
    <n v="0"/>
    <s v="XS1953029284"/>
    <m/>
    <x v="2"/>
  </r>
  <r>
    <s v="SHIMAO 6 ⅜ 10/15/21"/>
    <n v="1500000"/>
    <n v="12666442"/>
    <n v="0.26"/>
    <n v="0"/>
    <n v="0.13"/>
    <n v="0.36"/>
    <n v="0"/>
    <n v="0"/>
    <n v="0.13"/>
    <n v="0.36"/>
    <n v="0"/>
    <s v="XS1891434604"/>
    <m/>
    <x v="2"/>
  </r>
  <r>
    <s v="SHINFN 5 ⅞ PERP"/>
    <n v="5000000"/>
    <n v="42469100"/>
    <n v="0.86"/>
    <n v="0.01"/>
    <n v="0.84"/>
    <n v="0.7"/>
    <n v="0.01"/>
    <n v="0.01"/>
    <n v="0.75"/>
    <n v="0.61"/>
    <n v="0.01"/>
    <s v="XS1856024432"/>
    <m/>
    <x v="6"/>
  </r>
  <r>
    <s v="SIB 5 PERP"/>
    <n v="7000000"/>
    <n v="57095587"/>
    <n v="1.1599999999999999"/>
    <n v="0.04"/>
    <n v="1.84"/>
    <n v="1.1399999999999999"/>
    <n v="0.05"/>
    <n v="0.04"/>
    <n v="1.1499999999999999"/>
    <n v="0.69"/>
    <n v="0.05"/>
    <s v="XS2010323009"/>
    <m/>
    <x v="6"/>
  </r>
  <r>
    <s v="SRENVX 4 ¼ PERP"/>
    <n v="5000000"/>
    <n v="40284815"/>
    <n v="0.82"/>
    <n v="0.01"/>
    <n v="0.43"/>
    <n v="0.38"/>
    <n v="0.01"/>
    <n v="0.01"/>
    <n v="0.53"/>
    <n v="0.45"/>
    <n v="0.01"/>
    <s v="XS2049422343"/>
    <m/>
    <x v="24"/>
  </r>
  <r>
    <s v="SRENVX 5 04/02/49"/>
    <n v="2000000"/>
    <n v="17761511"/>
    <n v="0.36"/>
    <n v="0.01"/>
    <n v="0.31"/>
    <n v="0.62"/>
    <n v="0.01"/>
    <n v="0.01"/>
    <n v="0.43"/>
    <n v="0.83"/>
    <n v="0.01"/>
    <s v="XS1973748707"/>
    <m/>
    <x v="24"/>
  </r>
  <r>
    <s v="SUNAC 7 ⅞ 02/15/22"/>
    <n v="1500000"/>
    <n v="11867019"/>
    <n v="0.24"/>
    <n v="0"/>
    <n v="0.34"/>
    <n v="1.01"/>
    <n v="0.01"/>
    <n v="0"/>
    <n v="0.2"/>
    <n v="0.59"/>
    <n v="0.01"/>
    <s v="XS1953150197"/>
    <m/>
    <x v="2"/>
  </r>
  <r>
    <s v="SUNAC 8 ⅜ 01/15/21"/>
    <n v="4000000"/>
    <n v="32569432"/>
    <n v="0.66"/>
    <n v="0"/>
    <n v="0.46"/>
    <n v="0.5"/>
    <n v="0.01"/>
    <n v="0"/>
    <n v="0.35"/>
    <n v="0.36"/>
    <n v="0.01"/>
    <s v="XS1936202644"/>
    <m/>
    <x v="2"/>
  </r>
  <r>
    <s v="SUNAC 8 ⅝ 07/27/20"/>
    <n v="1000000"/>
    <n v="8124819"/>
    <n v="0.16"/>
    <n v="0"/>
    <n v="0.08"/>
    <n v="0.34"/>
    <n v="0"/>
    <n v="0"/>
    <n v="0.03"/>
    <n v="0.13"/>
    <n v="0"/>
    <s v="XS1861032628"/>
    <m/>
    <x v="2"/>
  </r>
  <r>
    <s v="SUNAC 8 ⅝ 07/27/20"/>
    <n v="5000000"/>
    <n v="40624097"/>
    <n v="0.82"/>
    <n v="0"/>
    <n v="0.39"/>
    <n v="0.34"/>
    <n v="0.01"/>
    <n v="0"/>
    <n v="0.16"/>
    <n v="0.13"/>
    <n v="0"/>
    <s v="XS1861032628"/>
    <m/>
    <x v="2"/>
  </r>
  <r>
    <s v="T 1 ½ 10/31/19"/>
    <n v="8000000"/>
    <n v="63089276"/>
    <n v="1.28"/>
    <n v="0"/>
    <n v="0.18"/>
    <n v="0.1"/>
    <n v="0.01"/>
    <n v="0"/>
    <n v="0.01"/>
    <n v="0.01"/>
    <n v="0"/>
    <s v="US912828F627"/>
    <m/>
    <x v="28"/>
  </r>
  <r>
    <s v="T 1 ½ 11/30/19"/>
    <n v="8000000"/>
    <n v="62990924"/>
    <n v="1.27"/>
    <n v="0"/>
    <n v="0.18"/>
    <n v="0.1"/>
    <n v="0.01"/>
    <n v="0"/>
    <n v="0.02"/>
    <n v="0.01"/>
    <n v="0"/>
    <s v="US912828G617"/>
    <m/>
    <x v="28"/>
  </r>
  <r>
    <s v="T 1 ⅝ 08/15/29"/>
    <n v="10000000"/>
    <n v="78262722"/>
    <n v="1.58"/>
    <n v="0.04"/>
    <n v="2.57"/>
    <n v="1.1599999999999999"/>
    <n v="0.05"/>
    <n v="0.04"/>
    <n v="2.73"/>
    <n v="1.19"/>
    <n v="0.06"/>
    <s v="US912828YB05"/>
    <m/>
    <x v="28"/>
  </r>
  <r>
    <s v="T 1 ⅝ 08/15/29"/>
    <n v="4000000"/>
    <n v="31305089"/>
    <n v="0.63"/>
    <n v="0.02"/>
    <n v="1.03"/>
    <n v="1.1599999999999999"/>
    <n v="0.02"/>
    <n v="0.02"/>
    <n v="1.0900000000000001"/>
    <n v="1.19"/>
    <n v="0.02"/>
    <s v="US912828YB05"/>
    <m/>
    <x v="28"/>
  </r>
  <r>
    <s v="TENCENT HOLDINGS LTD"/>
    <n v="38000"/>
    <n v="12547600"/>
    <n v="0.25"/>
    <n v="0.04"/>
    <n v="1.36"/>
    <n v="3.82"/>
    <n v="0.05"/>
    <n v="0.03"/>
    <n v="1.39"/>
    <n v="3.79"/>
    <n v="0.04"/>
    <s v="KYG875721634"/>
    <m/>
    <x v="29"/>
  </r>
  <r>
    <s v="TPHL 7 ⅝ 02/21/22"/>
    <n v="5000000"/>
    <n v="40607983"/>
    <n v="0.82"/>
    <n v="0.01"/>
    <n v="0.51"/>
    <n v="0.44"/>
    <n v="0.01"/>
    <n v="0.01"/>
    <n v="0.48"/>
    <n v="0.4"/>
    <n v="0.01"/>
    <s v="XS1945401674"/>
    <m/>
    <x v="2"/>
  </r>
  <r>
    <s v="TPHL 7.85 06/04/21"/>
    <n v="8000000"/>
    <n v="65903484"/>
    <n v="1.33"/>
    <n v="0.01"/>
    <n v="0.46"/>
    <n v="0.25"/>
    <n v="0.01"/>
    <n v="0"/>
    <n v="0.2"/>
    <n v="0.1"/>
    <n v="0.01"/>
    <s v="XS1831884702"/>
    <m/>
    <x v="2"/>
  </r>
  <r>
    <s v="US DOLLAR"/>
    <n v="3659578.17"/>
    <n v="28688897"/>
    <n v="0.57999999999999996"/>
    <n v="0"/>
    <n v="0.08"/>
    <n v="0.1"/>
    <n v="0"/>
    <n v="0"/>
    <n v="0"/>
    <n v="0"/>
    <n v="0"/>
    <m/>
    <m/>
    <x v="18"/>
  </r>
  <r>
    <s v="US DOLLAR"/>
    <n v="6219523.1900000004"/>
    <n v="48757330"/>
    <n v="0.99"/>
    <n v="0"/>
    <n v="0.13"/>
    <n v="0.1"/>
    <n v="0.01"/>
    <n v="0"/>
    <n v="0"/>
    <n v="0"/>
    <n v="0"/>
    <m/>
    <m/>
    <x v="18"/>
  </r>
  <r>
    <s v="US DOLLAR"/>
    <n v="11441015.199999999"/>
    <n v="89690695"/>
    <n v="1.81"/>
    <n v="0.01"/>
    <n v="0.25"/>
    <n v="0.1"/>
    <n v="0.01"/>
    <n v="0"/>
    <n v="0"/>
    <n v="0"/>
    <n v="0"/>
    <m/>
    <m/>
    <x v="18"/>
  </r>
  <r>
    <s v="VNET 7 08/17/20"/>
    <n v="4000000"/>
    <n v="31698475"/>
    <n v="0.64"/>
    <n v="0"/>
    <n v="0.33"/>
    <n v="0.37"/>
    <n v="0.01"/>
    <n v="0"/>
    <n v="0.15"/>
    <n v="0.16"/>
    <n v="0"/>
    <s v="XS1640517907"/>
    <m/>
    <x v="30"/>
  </r>
  <r>
    <s v="VNET 7 08/17/20"/>
    <n v="3000000"/>
    <n v="23773856"/>
    <n v="0.48"/>
    <n v="0"/>
    <n v="0.25"/>
    <n v="0.37"/>
    <n v="0"/>
    <n v="0"/>
    <n v="0.11"/>
    <n v="0.16"/>
    <n v="0"/>
    <s v="XS1640517907"/>
    <m/>
    <x v="30"/>
  </r>
  <r>
    <s v="VNET 7 ⅞ 10/15/21"/>
    <n v="2000000"/>
    <n v="16447100"/>
    <n v="0.33"/>
    <n v="0"/>
    <n v="0.33"/>
    <n v="0.71"/>
    <n v="0.01"/>
    <n v="0"/>
    <n v="0.09"/>
    <n v="0.18"/>
    <n v="0.01"/>
    <s v="XS1976766045"/>
    <m/>
    <x v="30"/>
  </r>
  <r>
    <s v="VNET 7 ⅞ 10/15/21"/>
    <n v="3500000"/>
    <n v="28782426"/>
    <n v="0.57999999999999996"/>
    <n v="0.01"/>
    <n v="0.57999999999999996"/>
    <n v="0.71"/>
    <n v="0.01"/>
    <n v="0.01"/>
    <n v="0.15"/>
    <n v="0.18"/>
    <n v="0.01"/>
    <s v="XS1976766045"/>
    <m/>
    <x v="30"/>
  </r>
  <r>
    <s v="WEICHA 4 ⅛ 09/30/20"/>
    <n v="5000000"/>
    <n v="39677147"/>
    <n v="0.8"/>
    <n v="0"/>
    <n v="0.24"/>
    <n v="0.21"/>
    <n v="0"/>
    <n v="0"/>
    <n v="0.13"/>
    <n v="0.11"/>
    <n v="0"/>
    <s v="XS1294535833"/>
    <m/>
    <x v="16"/>
  </r>
  <r>
    <s v="WOORIB 4 ¼ PERP"/>
    <n v="20000000"/>
    <n v="156788000"/>
    <n v="3.17"/>
    <n v="7.0000000000000007E-2"/>
    <n v="6.28"/>
    <n v="1.42"/>
    <n v="0.09"/>
    <n v="7.0000000000000007E-2"/>
    <n v="6.2"/>
    <n v="1.35"/>
    <n v="0.1"/>
    <s v="USY9700WAA46"/>
    <m/>
    <x v="1"/>
  </r>
  <r>
    <s v="WOORIB 4 ¼ PERP"/>
    <n v="3000000"/>
    <n v="23518200"/>
    <n v="0.48"/>
    <n v="0.01"/>
    <n v="0.94"/>
    <n v="1.42"/>
    <n v="0.01"/>
    <n v="0.01"/>
    <n v="0.93"/>
    <n v="1.35"/>
    <n v="0.01"/>
    <s v="USY9700WAA46"/>
    <m/>
    <x v="1"/>
  </r>
  <r>
    <s v="WUXIMU 4 ½ 04/17/22"/>
    <n v="2500000"/>
    <n v="20345007"/>
    <n v="0.41"/>
    <n v="0"/>
    <n v="0.28000000000000003"/>
    <n v="0.48"/>
    <n v="0"/>
    <n v="0"/>
    <n v="0.33"/>
    <n v="0.55000000000000004"/>
    <n v="0"/>
    <s v="XS1958219922"/>
    <m/>
    <x v="12"/>
  </r>
  <r>
    <s v="YGCZCH 4 ¾ 11/30/20"/>
    <n v="6000000"/>
    <n v="48134478"/>
    <n v="0.97"/>
    <n v="0"/>
    <n v="0.37"/>
    <n v="0.27"/>
    <n v="0.01"/>
    <n v="0"/>
    <n v="0.25"/>
    <n v="0.18"/>
    <n v="0"/>
    <s v="XS1728036952"/>
    <m/>
    <x v="31"/>
  </r>
  <r>
    <s v="YGCZCH 4 ¾ 11/30/20"/>
    <n v="3000000"/>
    <n v="24067239"/>
    <n v="0.49"/>
    <n v="0"/>
    <n v="0.19"/>
    <n v="0.27"/>
    <n v="0"/>
    <n v="0"/>
    <n v="0.12"/>
    <n v="0.18"/>
    <n v="0"/>
    <s v="XS1728036952"/>
    <m/>
    <x v="31"/>
  </r>
  <r>
    <s v="YUZHOU 7.9 05/11/21"/>
    <n v="7000000"/>
    <n v="57638918"/>
    <n v="1.17"/>
    <n v="0.01"/>
    <n v="0.87"/>
    <n v="0.53"/>
    <n v="0.02"/>
    <n v="0.01"/>
    <n v="0.9"/>
    <n v="0.53"/>
    <n v="0.01"/>
    <s v="XS1819960136"/>
    <m/>
    <x v="2"/>
  </r>
  <r>
    <s v="YUZHOU 8 ⅝ 01/23/22"/>
    <n v="5000000"/>
    <n v="41065586"/>
    <n v="0.83"/>
    <n v="0.01"/>
    <n v="0.96"/>
    <n v="0.83"/>
    <n v="0.02"/>
    <n v="0.01"/>
    <n v="0.97"/>
    <n v="0.81"/>
    <n v="0.02"/>
    <s v="XS1938265474"/>
    <m/>
    <x v="2"/>
  </r>
  <r>
    <s v="YWSOAO 4 ½ 05/30/22"/>
    <n v="5000000"/>
    <n v="40338613"/>
    <n v="0.82"/>
    <n v="0.01"/>
    <n v="0.51"/>
    <n v="0.45"/>
    <n v="0.01"/>
    <n v="0.01"/>
    <n v="0.7"/>
    <n v="0.59"/>
    <n v="0.01"/>
    <s v="XS1831038143"/>
    <m/>
    <x v="2"/>
  </r>
  <r>
    <s v="YZCOAL 5 ¾ PERP"/>
    <n v="4060000"/>
    <n v="32967670"/>
    <n v="0.67"/>
    <n v="0"/>
    <n v="0.17"/>
    <n v="0.18"/>
    <n v="0"/>
    <n v="0"/>
    <n v="0.04"/>
    <n v="0.05"/>
    <n v="0"/>
    <s v="XS1577730895"/>
    <m/>
    <x v="31"/>
  </r>
  <r>
    <s v="ZHPRHK 10 ½ 06/28/20"/>
    <n v="1000000"/>
    <n v="8237132"/>
    <n v="0.17"/>
    <n v="0"/>
    <n v="7.0000000000000007E-2"/>
    <n v="0.28999999999999998"/>
    <n v="0"/>
    <n v="0"/>
    <n v="0.04"/>
    <n v="0.19"/>
    <n v="0"/>
    <s v="XS1821808588"/>
    <m/>
    <x v="2"/>
  </r>
  <r>
    <s v="ZHPRHK 9.15 03/08/22"/>
    <n v="6000000"/>
    <n v="47348055"/>
    <n v="0.96"/>
    <n v="0.02"/>
    <n v="0.99"/>
    <n v="0.74"/>
    <n v="0.03"/>
    <n v="0.02"/>
    <n v="1.25"/>
    <n v="0.9"/>
    <n v="0.02"/>
    <s v="XS1960071303"/>
    <m/>
    <x v="2"/>
  </r>
  <r>
    <s v="ZHPRHK 9.8 08/20/21"/>
    <n v="8000000"/>
    <n v="65044826"/>
    <n v="1.32"/>
    <n v="0.02"/>
    <n v="0.87"/>
    <n v="0.47"/>
    <n v="0.02"/>
    <n v="0.02"/>
    <n v="1.22"/>
    <n v="0.64"/>
    <n v="0.02"/>
    <s v="XS1951935847"/>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
  <r>
    <s v="Investments"/>
    <s v="Cash Long"/>
    <s v="BOCHK Custody account"/>
    <s v="Euro"/>
    <m/>
    <s v="Euro"/>
    <s v="EUR"/>
    <n v="321393.99"/>
    <n v="1"/>
    <n v="321393.99"/>
    <n v="2711913.93"/>
    <n v="50146.02"/>
    <n v="0"/>
    <n v="2762059.95"/>
    <n v="5.9999999999999995E-4"/>
    <m/>
    <s v="Cash"/>
    <m/>
    <s v="Cash"/>
    <s v="Cash"/>
    <s v="Cash"/>
    <n v="0"/>
    <n v="0"/>
    <s v="High"/>
    <n v="0"/>
    <n v="0"/>
    <s v="High"/>
    <n v="355738.4374637765"/>
    <s v=""/>
    <s v=""/>
    <s v=""/>
    <s v=""/>
    <s v=""/>
    <n v="21"/>
    <n v="21"/>
    <n v="21"/>
    <n v="21"/>
    <s v="EU"/>
    <s v="Cash"/>
    <s v="Cash"/>
    <s v="Cash"/>
    <s v="Cash"/>
    <s v="Cash"/>
    <s v="Cash"/>
    <s v="Cash"/>
    <s v="Cash"/>
    <s v=""/>
    <s v="Cash"/>
    <s v="High"/>
    <s v="High"/>
    <s v="Cash"/>
    <s v="Cash"/>
    <s v="Cash"/>
    <s v=""/>
    <s v=""/>
    <s v=""/>
    <s v=""/>
    <s v=""/>
    <s v=""/>
    <s v=""/>
    <s v=""/>
    <m/>
    <s v="-"/>
    <s v="-"/>
    <s v="-"/>
    <n v="355738.4374637765"/>
    <n v="5.7801087626503948E-4"/>
    <s v=""/>
    <x v="0"/>
  </r>
  <r>
    <s v="Investments"/>
    <s v="Cash Long"/>
    <s v="BOCHK Custody account"/>
    <s v="Hong Kong Dollar"/>
    <m/>
    <s v="Hong Kong Dollar"/>
    <s v="HKD"/>
    <n v="23075648.5"/>
    <n v="1"/>
    <n v="23075648.5"/>
    <n v="23075648.5"/>
    <n v="0"/>
    <n v="0"/>
    <n v="23075648.5"/>
    <n v="4.7999999999999996E-3"/>
    <m/>
    <s v="Cash"/>
    <m/>
    <s v="Cash"/>
    <s v="Cash"/>
    <s v="Cash"/>
    <n v="0"/>
    <n v="0"/>
    <s v="High"/>
    <n v="0"/>
    <n v="0"/>
    <s v="High"/>
    <n v="2972019.1775176125"/>
    <s v=""/>
    <s v=""/>
    <s v=""/>
    <s v=""/>
    <s v=""/>
    <n v="21"/>
    <n v="21"/>
    <n v="21"/>
    <n v="21"/>
    <s v="HK"/>
    <s v="Cash"/>
    <s v="Cash"/>
    <s v="Cash"/>
    <s v="Cash"/>
    <s v="Cash"/>
    <s v="Cash"/>
    <s v="Cash"/>
    <s v="Cash"/>
    <s v=""/>
    <s v="Cash"/>
    <s v="High"/>
    <s v="High"/>
    <s v="Cash"/>
    <s v="Cash"/>
    <s v="Cash"/>
    <s v=""/>
    <s v=""/>
    <s v=""/>
    <s v=""/>
    <s v=""/>
    <s v=""/>
    <s v=""/>
    <s v=""/>
    <s v=""/>
    <s v="-"/>
    <s v="-"/>
    <s v="-"/>
    <n v="2972019.1775176125"/>
    <n v="4.8289957681291618E-3"/>
    <s v=""/>
    <x v="0"/>
  </r>
  <r>
    <s v="Investments"/>
    <s v="Cash Long"/>
    <s v="BOCHK Custody account"/>
    <s v="United States Dollar"/>
    <m/>
    <s v="United States Dollar"/>
    <s v="USD"/>
    <n v="58923940.090000004"/>
    <n v="1"/>
    <n v="58923940.090000004"/>
    <n v="459211139.18000001"/>
    <n v="12587.91"/>
    <n v="0"/>
    <n v="459223727.08999997"/>
    <n v="9.4799999999999995E-2"/>
    <m/>
    <s v="Cash"/>
    <m/>
    <s v="Cash"/>
    <s v="Cash"/>
    <s v="Cash"/>
    <n v="0"/>
    <n v="0"/>
    <s v="High"/>
    <n v="0"/>
    <n v="0"/>
    <s v="High"/>
    <n v="59145541.399739832"/>
    <s v=""/>
    <s v=""/>
    <s v=""/>
    <s v=""/>
    <s v=""/>
    <n v="21"/>
    <n v="21"/>
    <n v="21"/>
    <n v="21"/>
    <s v="US"/>
    <s v="Cash"/>
    <s v="Cash"/>
    <s v="Cash"/>
    <s v="Cash"/>
    <s v="Cash"/>
    <s v="Cash"/>
    <s v="Cash"/>
    <s v="Cash"/>
    <s v=""/>
    <s v="Cash"/>
    <s v="High"/>
    <s v="High"/>
    <s v="Cash"/>
    <s v="Cash"/>
    <s v="Cash"/>
    <s v=""/>
    <s v=""/>
    <s v=""/>
    <s v=""/>
    <s v=""/>
    <s v=""/>
    <s v=""/>
    <s v=""/>
    <s v=""/>
    <s v="-"/>
    <s v="-"/>
    <s v="-"/>
    <n v="59145541.399739832"/>
    <n v="9.6100849982270753E-2"/>
    <s v=""/>
    <x v="0"/>
  </r>
  <r>
    <s v="Investments"/>
    <s v="Cash Long"/>
    <s v="Morgan Stanley Future Account"/>
    <s v="United States Dollar"/>
    <m/>
    <s v="United States Dollar"/>
    <s v="USD"/>
    <n v="2555153.5499999998"/>
    <n v="1"/>
    <n v="2555153.5499999998"/>
    <n v="19982775.120000001"/>
    <n v="-69185.929999999993"/>
    <n v="0"/>
    <n v="19913589.190000001"/>
    <n v="4.1000000000000003E-3"/>
    <m/>
    <s v="Cash"/>
    <m/>
    <s v="Cash"/>
    <s v="Cash"/>
    <s v="Cash"/>
    <n v="0"/>
    <n v="0"/>
    <s v="High"/>
    <n v="0"/>
    <n v="0"/>
    <s v="High"/>
    <n v="2564762.9779890012"/>
    <s v=""/>
    <s v=""/>
    <s v=""/>
    <s v=""/>
    <s v=""/>
    <n v="21"/>
    <n v="21"/>
    <n v="21"/>
    <n v="21"/>
    <s v="US"/>
    <s v="Cash"/>
    <s v="Cash"/>
    <s v="Cash"/>
    <s v="Cash"/>
    <s v="Cash"/>
    <s v="Cash"/>
    <s v="Cash"/>
    <s v="Cash"/>
    <s v=""/>
    <s v="Cash"/>
    <s v="High"/>
    <s v="High"/>
    <s v="Cash"/>
    <s v="Cash"/>
    <s v="Cash"/>
    <s v=""/>
    <s v=""/>
    <s v=""/>
    <s v=""/>
    <s v=""/>
    <s v=""/>
    <s v=""/>
    <s v=""/>
    <s v=""/>
    <s v="-"/>
    <s v="-"/>
    <s v="-"/>
    <n v="2564762.9779890012"/>
    <n v="4.1672778091923456E-3"/>
    <s v=""/>
    <x v="0"/>
  </r>
  <r>
    <s v="Investments"/>
    <s v="Investments Long"/>
    <m/>
    <s v="Hong Kong Dollar"/>
    <m/>
    <s v="AIA GROUP LTD"/>
    <s v="1299 HK"/>
    <n v="177200"/>
    <n v="76.900000000000006"/>
    <n v="12571534.66"/>
    <n v="12571534.66"/>
    <n v="1055145.3400000001"/>
    <n v="0"/>
    <n v="13626680"/>
    <n v="2.8E-3"/>
    <m/>
    <s v="Investments"/>
    <s v="BBG0016XR1Q8"/>
    <s v="EQUI"/>
    <s v="Equity"/>
    <s v="Common Stock"/>
    <n v="0.2"/>
    <n v="1.2145E-2"/>
    <s v="High"/>
    <n v="0.5"/>
    <n v="2.1835E-2"/>
    <s v="High"/>
    <n v="1755042.9530028463"/>
    <s v=""/>
    <s v=""/>
    <s v=""/>
    <s v=""/>
    <s v=""/>
    <n v="0"/>
    <n v="0"/>
    <n v="0"/>
    <n v="0"/>
    <s v="HK"/>
    <s v="Financial"/>
    <s v="Insurance"/>
    <s v="Life/Health Insurance"/>
    <s v="N"/>
    <s v=" "/>
    <s v="ACTV"/>
    <s v="Equity"/>
    <s v="Financial"/>
    <s v=""/>
    <s v="Hong Kong"/>
    <s v="High"/>
    <s v="High"/>
    <s v="Financials"/>
    <s v="Life/Health Insurance"/>
    <s v="#N/A Field Not Applicable"/>
    <s v=""/>
    <s v=""/>
    <s v=""/>
    <s v=""/>
    <s v=""/>
    <s v=""/>
    <s v=""/>
    <s v=""/>
    <s v=""/>
    <s v="HK0000069689"/>
    <s v="-"/>
    <n v="-11.91"/>
    <n v="1755042.9530028463"/>
    <n v="2.8516286358604521E-3"/>
    <s v=""/>
    <x v="1"/>
  </r>
  <r>
    <s v="Investments"/>
    <s v="Investments Long"/>
    <m/>
    <s v="Hong Kong Dollar"/>
    <m/>
    <s v="ALIBABA GROUP HOLDING LTD"/>
    <s v="9988 HK"/>
    <n v="127000"/>
    <n v="200"/>
    <n v="22577241.100000001"/>
    <n v="22577241.100000001"/>
    <n v="2822758.9"/>
    <n v="0"/>
    <n v="25400000"/>
    <n v="5.1999999999999998E-3"/>
    <m/>
    <s v="Investments"/>
    <s v="BBG00QV37ZP9"/>
    <s v="EQUI"/>
    <s v="Equity"/>
    <s v="Common Stock"/>
    <n v="0.2"/>
    <n v="1.7160999999999999E-2"/>
    <s v="High"/>
    <n v="0.4"/>
    <n v="3.0891999999999999E-2"/>
    <s v="High"/>
    <n v="3271383.125330036"/>
    <s v=""/>
    <s v=""/>
    <s v=""/>
    <s v=""/>
    <s v=""/>
    <n v="0"/>
    <n v="0"/>
    <n v="0"/>
    <n v="0"/>
    <s v="HK"/>
    <s v="Communications"/>
    <s v="Internet"/>
    <s v="E-Commerce/Products"/>
    <s v="N"/>
    <s v=" "/>
    <s v="ACTV"/>
    <s v="Equity"/>
    <s v="Non-Financial"/>
    <s v=""/>
    <s v="Hong Kong"/>
    <s v="High"/>
    <s v="High"/>
    <s v="Consumer Discretionary"/>
    <s v="E-Commerce/Products"/>
    <s v="#N/A Field Not Applicable"/>
    <s v=""/>
    <s v=""/>
    <s v=""/>
    <s v=""/>
    <s v=""/>
    <s v=""/>
    <s v=""/>
    <s v=""/>
    <s v=""/>
    <s v="KYG017191142"/>
    <s v="-"/>
    <n v="-8.43"/>
    <n v="3271383.125330036"/>
    <n v="5.3154082543110642E-3"/>
    <s v=""/>
    <x v="1"/>
  </r>
  <r>
    <s v="Investments"/>
    <s v="Investments Long"/>
    <m/>
    <s v="Hong Kong Dollar"/>
    <m/>
    <s v="CHINA GAS HOLDINGS LTD"/>
    <s v="384 HK"/>
    <n v="300000"/>
    <n v="28.5"/>
    <n v="9361634.5899999999"/>
    <n v="9361634.5899999999"/>
    <n v="-811634.59"/>
    <n v="0"/>
    <n v="8550000"/>
    <n v="1.8E-3"/>
    <m/>
    <s v="Investments"/>
    <s v="BBG000C2ZS65"/>
    <s v="EQUI"/>
    <s v="Equity"/>
    <s v="Common Stock"/>
    <n v="1"/>
    <n v="1.5566999999999999E-2"/>
    <s v="High"/>
    <n v="2.5"/>
    <n v="2.7532000000000001E-2"/>
    <s v="High"/>
    <n v="1101193.9260461342"/>
    <s v=""/>
    <s v=""/>
    <s v=""/>
    <s v=""/>
    <s v=""/>
    <n v="0"/>
    <n v="0"/>
    <n v="0"/>
    <n v="0"/>
    <s v="HK"/>
    <s v="Utilities"/>
    <s v="Gas"/>
    <s v="Gas-Distribution"/>
    <s v="N"/>
    <s v=" "/>
    <s v="ACTV"/>
    <s v="Equity"/>
    <s v="Non-Financial"/>
    <s v=""/>
    <s v="Hong Kong"/>
    <s v="High"/>
    <s v="High"/>
    <s v="Utilities"/>
    <s v="Gas-Distribution"/>
    <s v="#N/A Field Not Applicable"/>
    <s v=""/>
    <s v=""/>
    <s v=""/>
    <s v=""/>
    <s v=""/>
    <s v=""/>
    <s v=""/>
    <s v=""/>
    <s v=""/>
    <s v="BMG2109G1033"/>
    <s v="-"/>
    <n v="-15.04"/>
    <n v="1101193.9260461342"/>
    <n v="1.7892417548960472E-3"/>
    <s v=""/>
    <x v="1"/>
  </r>
  <r>
    <s v="Investments"/>
    <s v="Investments Long"/>
    <m/>
    <s v="Hong Kong Dollar"/>
    <m/>
    <s v="CHINA MENGNIU DAIRY CO"/>
    <s v="2319 HK"/>
    <n v="230000"/>
    <n v="27.95"/>
    <n v="7242665.1900000004"/>
    <n v="7242665.1900000004"/>
    <n v="-814165.19"/>
    <n v="0"/>
    <n v="6428500"/>
    <n v="1.2999999999999999E-3"/>
    <m/>
    <s v="Investments"/>
    <s v="BBG000PXTGY5"/>
    <s v="EQUI"/>
    <s v="Equity"/>
    <s v="Common Stock"/>
    <n v="0.6"/>
    <n v="1.8925000000000001E-2"/>
    <s v="High"/>
    <n v="1.3"/>
    <n v="3.3584000000000003E-2"/>
    <s v="High"/>
    <n v="827956.15831433609"/>
    <s v=""/>
    <s v=""/>
    <s v=""/>
    <s v=""/>
    <s v=""/>
    <n v="0"/>
    <n v="0"/>
    <n v="0"/>
    <n v="0"/>
    <s v="HK"/>
    <s v="Consumer, Non-cyclical"/>
    <s v="Food"/>
    <s v="Food-Dairy Products"/>
    <s v="N"/>
    <s v=" "/>
    <s v="ACTV"/>
    <s v="Equity"/>
    <s v="Non-Financial"/>
    <s v=""/>
    <s v="Hong Kong"/>
    <s v="High"/>
    <s v="High"/>
    <s v="Consumer Staples"/>
    <s v="Food-Dairy Products"/>
    <s v="#N/A Field Not Applicable"/>
    <s v=""/>
    <s v=""/>
    <s v=""/>
    <s v=""/>
    <s v=""/>
    <s v=""/>
    <s v=""/>
    <s v=""/>
    <s v=""/>
    <s v="KYG210961051"/>
    <s v="-"/>
    <n v="-13.91"/>
    <n v="827956.15831433609"/>
    <n v="1.3452796048361681E-3"/>
    <s v=""/>
    <x v="1"/>
  </r>
  <r>
    <s v="Investments"/>
    <s v="Investments Long"/>
    <m/>
    <s v="Hong Kong Dollar"/>
    <m/>
    <s v="CHINA MERCHANTS BANK-H"/>
    <s v="3968 HK"/>
    <n v="290000"/>
    <n v="36.75"/>
    <n v="10831349.199999999"/>
    <n v="10831349.199999999"/>
    <n v="-173849.2"/>
    <n v="0"/>
    <n v="10657500"/>
    <n v="2.2000000000000001E-3"/>
    <m/>
    <s v="Investments"/>
    <s v="BBG000DVPPK1"/>
    <s v="EQUI"/>
    <s v="Equity"/>
    <s v="Common Stock"/>
    <n v="0.5"/>
    <n v="1.5324000000000001E-2"/>
    <s v="High"/>
    <n v="1.2"/>
    <n v="2.7392E-2"/>
    <s v="High"/>
    <n v="1372628.5692206637"/>
    <s v=""/>
    <s v=""/>
    <s v=""/>
    <s v=""/>
    <s v=""/>
    <n v="0"/>
    <n v="0"/>
    <n v="0"/>
    <n v="0"/>
    <s v="HK"/>
    <s v="Financial"/>
    <s v="Banks"/>
    <s v="Commer Banks Non-US"/>
    <s v="N"/>
    <s v=" "/>
    <s v="ACTV"/>
    <s v="Equity"/>
    <s v="Financial"/>
    <s v=""/>
    <s v="Hong Kong"/>
    <s v="High"/>
    <s v="High"/>
    <s v="Financials"/>
    <s v="Commer Banks Non-US"/>
    <s v="#N/A Field Not Applicable"/>
    <s v=""/>
    <s v=""/>
    <s v=""/>
    <s v=""/>
    <s v=""/>
    <s v=""/>
    <s v=""/>
    <s v=""/>
    <s v=""/>
    <s v="CNE1000002M1"/>
    <s v="-"/>
    <n v="-9.48"/>
    <n v="1372628.5692206637"/>
    <n v="2.2302741523748094E-3"/>
    <s v=""/>
    <x v="1"/>
  </r>
  <r>
    <s v="Investments"/>
    <s v="Investments Long"/>
    <m/>
    <s v="Hong Kong Dollar"/>
    <m/>
    <s v="CHINA MOBILE LTD"/>
    <s v="941 HK"/>
    <n v="250000"/>
    <n v="61.3"/>
    <n v="16958328.27"/>
    <n v="16958328.27"/>
    <n v="-1633328.27"/>
    <n v="0"/>
    <n v="15325000"/>
    <n v="3.2000000000000002E-3"/>
    <m/>
    <s v="Investments"/>
    <s v="BBG000BZWNT2"/>
    <s v="EQUI"/>
    <s v="Equity"/>
    <s v="Common Stock"/>
    <n v="0.4"/>
    <n v="1.7989999999999999E-2"/>
    <s v="High"/>
    <n v="0.8"/>
    <n v="3.2205999999999999E-2"/>
    <s v="High"/>
    <n v="1973777.4171528663"/>
    <s v=""/>
    <s v=""/>
    <s v=""/>
    <s v=""/>
    <s v=""/>
    <n v="0"/>
    <n v="0"/>
    <n v="0"/>
    <n v="0"/>
    <s v="HK"/>
    <s v="Communications"/>
    <s v="Telecommunications"/>
    <s v="Cellular Telecom"/>
    <s v="N"/>
    <s v=" "/>
    <s v="ACTV"/>
    <s v="Equity"/>
    <s v="Non-Financial"/>
    <s v=""/>
    <s v="Hong Kong"/>
    <s v="High"/>
    <s v="High"/>
    <s v="Communication Services"/>
    <s v="Cellular Telecom"/>
    <s v="#N/A Field Not Applicable"/>
    <s v=""/>
    <s v=""/>
    <s v=""/>
    <s v=""/>
    <s v=""/>
    <s v=""/>
    <s v=""/>
    <s v=""/>
    <s v=""/>
    <s v="HK0941009539"/>
    <s v="-"/>
    <n v="-4.9400000000000004"/>
    <n v="1973777.4171528663"/>
    <n v="3.2070327361148447E-3"/>
    <s v=""/>
    <x v="1"/>
  </r>
  <r>
    <s v="Investments"/>
    <s v="Investments Long"/>
    <m/>
    <s v="Hong Kong Dollar"/>
    <m/>
    <s v="CLP HOLDINGS LTD"/>
    <s v="2 HK"/>
    <n v="115000"/>
    <n v="81.8"/>
    <n v="9917909.9800000004"/>
    <n v="9917909.9800000004"/>
    <n v="-510909.98"/>
    <n v="0"/>
    <n v="9407000"/>
    <n v="1.9E-3"/>
    <m/>
    <s v="Investments"/>
    <s v="BBG000BDV566"/>
    <s v="EQUI"/>
    <s v="Equity"/>
    <s v="Common Stock"/>
    <n v="1"/>
    <n v="8.2950000000000003E-3"/>
    <s v="High"/>
    <n v="2.4"/>
    <n v="1.4735E-2"/>
    <s v="High"/>
    <n v="1211570.9078732145"/>
    <s v=""/>
    <s v=""/>
    <s v=""/>
    <s v=""/>
    <s v=""/>
    <n v="0"/>
    <n v="0"/>
    <n v="0"/>
    <n v="0"/>
    <s v="HK"/>
    <s v="Utilities"/>
    <s v="Electric"/>
    <s v="Electric-Integrated"/>
    <s v="N"/>
    <s v=" "/>
    <s v="ACTV"/>
    <s v="Equity"/>
    <s v="Non-Financial"/>
    <s v=""/>
    <s v="Hong Kong"/>
    <s v="High"/>
    <s v="High"/>
    <s v="Utilities"/>
    <s v="Electric-Integrated"/>
    <s v="#N/A Field Not Applicable"/>
    <s v=""/>
    <s v=""/>
    <s v=""/>
    <s v=""/>
    <s v=""/>
    <s v=""/>
    <s v=""/>
    <s v=""/>
    <s v=""/>
    <s v="HK0002007356"/>
    <s v="-"/>
    <n v="-10.62"/>
    <n v="1211570.9078732145"/>
    <n v="1.9685844664686682E-3"/>
    <s v=""/>
    <x v="1"/>
  </r>
  <r>
    <s v="Investments"/>
    <s v="Investments Long"/>
    <m/>
    <s v="Hong Kong Dollar"/>
    <m/>
    <s v="GUANGDONG INVESTMENT LTD"/>
    <s v="270 HK"/>
    <n v="750000"/>
    <n v="14.64"/>
    <n v="11300550.470000001"/>
    <n v="11300550.470000001"/>
    <n v="-320550.46999999997"/>
    <n v="0"/>
    <n v="10980000"/>
    <n v="2.3E-3"/>
    <m/>
    <s v="Investments"/>
    <s v="BBG000BDW8M1"/>
    <s v="EQUI"/>
    <s v="Equity"/>
    <s v="Common Stock"/>
    <n v="2.6"/>
    <n v="1.4363000000000001E-2"/>
    <s v="High"/>
    <n v="7.3"/>
    <n v="2.5085E-2"/>
    <s v="Low"/>
    <n v="1414164.8313434564"/>
    <s v=""/>
    <s v=""/>
    <s v=""/>
    <s v=""/>
    <s v=""/>
    <n v="0"/>
    <n v="0"/>
    <n v="0"/>
    <n v="0"/>
    <s v="HK"/>
    <s v="Utilities"/>
    <s v="Water"/>
    <s v="Water"/>
    <s v="N"/>
    <s v=" "/>
    <s v="ACTV"/>
    <s v="Equity"/>
    <s v="Non-Financial"/>
    <s v=""/>
    <s v="Hong Kong"/>
    <s v="High"/>
    <s v="Low"/>
    <s v="Utilities"/>
    <s v="Water"/>
    <s v="#N/A Field Not Applicable"/>
    <s v=""/>
    <s v=""/>
    <s v=""/>
    <s v=""/>
    <s v=""/>
    <s v=""/>
    <s v=""/>
    <s v=""/>
    <s v=""/>
    <s v="HK0270001396"/>
    <s v="-"/>
    <n v="-10.85"/>
    <n v="1414164.8313434564"/>
    <n v="2.2977630957612392E-3"/>
    <s v=""/>
    <x v="1"/>
  </r>
  <r>
    <s v="Investments"/>
    <s v="Investments Long"/>
    <m/>
    <s v="Hong Kong Dollar"/>
    <m/>
    <s v="HK ELECTRIC INVESTMENTS -SS"/>
    <s v="2638 HK"/>
    <n v="552500"/>
    <n v="7.84"/>
    <n v="4343599.3600000003"/>
    <n v="4343599.3600000003"/>
    <n v="-11999.36"/>
    <n v="0"/>
    <n v="4331600"/>
    <n v="8.9999999999999998E-4"/>
    <m/>
    <s v="Investments"/>
    <s v="BBG005Q0XWK0"/>
    <s v="EQUI"/>
    <s v="Equity"/>
    <s v="Unit"/>
    <n v="3.6"/>
    <n v="5.2700000000000004E-3"/>
    <s v="Medium"/>
    <n v="10.6"/>
    <n v="9.1760000000000001E-3"/>
    <s v="Illiquid"/>
    <n v="557886.7380188813"/>
    <s v=""/>
    <s v=""/>
    <s v=""/>
    <s v=""/>
    <s v=""/>
    <n v="0"/>
    <n v="0"/>
    <n v="0"/>
    <n v="0"/>
    <s v="HK"/>
    <s v="Utilities"/>
    <s v="Electric"/>
    <s v="Electric-Generation"/>
    <s v="N"/>
    <s v=" "/>
    <s v="ACTV"/>
    <s v="Equity"/>
    <s v="Non-Financial"/>
    <s v=""/>
    <s v="Hong Kong"/>
    <s v="Medium"/>
    <s v="Illiquid"/>
    <s v="Utilities"/>
    <s v="Electric-Generation"/>
    <s v="#N/A Field Not Applicable"/>
    <s v=""/>
    <s v=""/>
    <s v=""/>
    <s v=""/>
    <s v=""/>
    <s v=""/>
    <s v=""/>
    <s v=""/>
    <s v=""/>
    <s v="HK0000179108"/>
    <s v="-"/>
    <n v="-11.05"/>
    <n v="557886.7380188813"/>
    <n v="9.0646544859739389E-4"/>
    <s v=""/>
    <x v="1"/>
  </r>
  <r>
    <s v="Investments"/>
    <s v="Investments Long"/>
    <m/>
    <s v="Hong Kong Dollar"/>
    <m/>
    <s v="HKT TRUST AND HKT LTD-SS"/>
    <s v="6823 HK"/>
    <n v="957000"/>
    <n v="11.66"/>
    <n v="9928959.3200000003"/>
    <n v="9928959.3200000003"/>
    <n v="1229660.68"/>
    <n v="0"/>
    <n v="11158620"/>
    <n v="2.3E-3"/>
    <m/>
    <s v="Investments"/>
    <s v="BBG00226B1T3"/>
    <s v="EQUI"/>
    <s v="Equity"/>
    <s v="Unit"/>
    <n v="2.9"/>
    <n v="9.9729999999999992E-3"/>
    <s v="High"/>
    <n v="8.5"/>
    <n v="1.7406000000000001E-2"/>
    <s v="Low"/>
    <n v="1437170.1248019782"/>
    <s v=""/>
    <s v=""/>
    <s v=""/>
    <s v=""/>
    <s v=""/>
    <n v="0"/>
    <n v="0"/>
    <n v="0"/>
    <n v="0"/>
    <s v="HK"/>
    <s v="Communications"/>
    <s v="Telecommunications"/>
    <s v="Telecom Services"/>
    <s v="N"/>
    <s v=" "/>
    <s v="ACTV"/>
    <s v="Equity"/>
    <s v="Non-Financial"/>
    <s v=""/>
    <s v="Hong Kong"/>
    <s v="High"/>
    <s v="Low"/>
    <s v="Communication Services"/>
    <s v="Telecom Services"/>
    <s v="#N/A Field Not Applicable"/>
    <s v=""/>
    <s v=""/>
    <s v=""/>
    <s v=""/>
    <s v=""/>
    <s v=""/>
    <s v=""/>
    <s v=""/>
    <s v=""/>
    <s v="HK0000093390"/>
    <s v="-"/>
    <n v="-11.62"/>
    <n v="1437170.1248019782"/>
    <n v="2.3351425533354535E-3"/>
    <s v=""/>
    <x v="1"/>
  </r>
  <r>
    <s v="Investments"/>
    <s v="Investments Long"/>
    <m/>
    <s v="Hong Kong Dollar"/>
    <m/>
    <s v="HONG KONG EXCHANGES &amp; CLEAR"/>
    <s v="388 HK"/>
    <n v="40000"/>
    <n v="255.8"/>
    <n v="9792037.1600000001"/>
    <n v="9792037.1600000001"/>
    <n v="439962.84"/>
    <n v="0"/>
    <n v="10232000"/>
    <n v="2.0999999999999999E-3"/>
    <m/>
    <s v="Investments"/>
    <s v="BBG000BGW354"/>
    <s v="EQUI"/>
    <s v="Equity"/>
    <s v="Common Stock"/>
    <n v="0.3"/>
    <n v="1.2311000000000001E-2"/>
    <s v="High"/>
    <n v="0.6"/>
    <n v="2.2068000000000001E-2"/>
    <s v="High"/>
    <n v="1317826.4621408239"/>
    <s v=""/>
    <s v=""/>
    <s v=""/>
    <s v=""/>
    <s v=""/>
    <n v="0"/>
    <n v="0"/>
    <n v="0"/>
    <n v="0"/>
    <s v="HK"/>
    <s v="Financial"/>
    <s v="Diversified Finan Serv"/>
    <s v="Finance-Other Services"/>
    <s v="N"/>
    <s v=" "/>
    <s v="ACTV"/>
    <s v="Equity"/>
    <s v="Financial"/>
    <s v=""/>
    <s v="Hong Kong"/>
    <s v="High"/>
    <s v="High"/>
    <s v="Financials"/>
    <s v="Finance-Other Services"/>
    <s v="#N/A Field Not Applicable"/>
    <s v=""/>
    <s v=""/>
    <s v=""/>
    <s v=""/>
    <s v=""/>
    <s v=""/>
    <s v=""/>
    <s v=""/>
    <s v=""/>
    <s v="HK0388045442"/>
    <s v="-"/>
    <n v="-12.17"/>
    <n v="1317826.4621408239"/>
    <n v="2.1412306007130236E-3"/>
    <s v=""/>
    <x v="1"/>
  </r>
  <r>
    <s v="Investments"/>
    <s v="Investments Long"/>
    <m/>
    <s v="Hong Kong Dollar"/>
    <m/>
    <s v="IND &amp; COMM BK OF CHINA-H"/>
    <s v="1398 HK"/>
    <n v="1500000"/>
    <n v="5.33"/>
    <n v="8332270.2599999998"/>
    <n v="8332270.2599999998"/>
    <n v="-337270.26"/>
    <n v="0"/>
    <n v="7995000"/>
    <n v="1.6999999999999999E-3"/>
    <m/>
    <s v="Investments"/>
    <s v="BBG000Q16VR4"/>
    <s v="EQUI"/>
    <s v="Equity"/>
    <s v="Common Stock"/>
    <n v="0.2"/>
    <n v="1.3672E-2"/>
    <s v="High"/>
    <n v="0.4"/>
    <n v="2.4618000000000001E-2"/>
    <s v="High"/>
    <n v="1029712.9168115605"/>
    <s v=""/>
    <s v=""/>
    <s v=""/>
    <s v=""/>
    <s v=""/>
    <n v="0"/>
    <n v="0"/>
    <n v="0"/>
    <n v="0"/>
    <s v="HK"/>
    <s v="Financial"/>
    <s v="Banks"/>
    <s v="Commer Banks Non-US"/>
    <s v="N"/>
    <s v=" "/>
    <s v="ACTV"/>
    <s v="Equity"/>
    <s v="Financial"/>
    <s v=""/>
    <s v="Hong Kong"/>
    <s v="High"/>
    <s v="High"/>
    <s v="Financials"/>
    <s v="Commer Banks Non-US"/>
    <s v="#N/A Field Not Applicable"/>
    <s v=""/>
    <s v=""/>
    <s v=""/>
    <s v=""/>
    <s v=""/>
    <s v=""/>
    <s v=""/>
    <s v=""/>
    <s v=""/>
    <s v="CNE1000003G1"/>
    <s v="-"/>
    <n v="-5.09"/>
    <n v="1029712.9168115605"/>
    <n v="1.6730979918589352E-3"/>
    <s v=""/>
    <x v="1"/>
  </r>
  <r>
    <s v="Investments"/>
    <s v="Investments Long"/>
    <m/>
    <s v="Hong Kong Dollar"/>
    <m/>
    <s v="LINK REIT"/>
    <s v="823 HK"/>
    <n v="92000"/>
    <n v="72.2"/>
    <n v="6817556.8899999997"/>
    <n v="6817556.8899999997"/>
    <n v="-175156.89"/>
    <n v="0"/>
    <n v="6642400"/>
    <n v="1.4E-3"/>
    <m/>
    <s v="Investments"/>
    <s v="BBG000P9D267"/>
    <s v="EQUI"/>
    <s v="Equity"/>
    <s v="REIT"/>
    <n v="0.4"/>
    <n v="1.2756E-2"/>
    <s v="High"/>
    <n v="0.8"/>
    <n v="2.2797000000000001E-2"/>
    <s v="High"/>
    <n v="855505.32565717446"/>
    <s v=""/>
    <s v=""/>
    <s v=""/>
    <s v=""/>
    <s v=""/>
    <n v="0"/>
    <n v="0"/>
    <n v="0"/>
    <n v="0"/>
    <s v="HK"/>
    <s v="Financial"/>
    <s v="REITS"/>
    <s v="REITS-Shopping Centers"/>
    <s v="N"/>
    <s v=" "/>
    <s v="ACTV"/>
    <s v="Equity"/>
    <s v="Financial"/>
    <s v=""/>
    <s v="Hong Kong"/>
    <s v="High"/>
    <s v="High"/>
    <s v="Real Estate"/>
    <s v="REITS-Shopping Centers"/>
    <s v="#N/A Field Not Applicable"/>
    <s v=""/>
    <s v=""/>
    <s v=""/>
    <s v=""/>
    <s v=""/>
    <s v=""/>
    <s v=""/>
    <s v=""/>
    <s v=""/>
    <s v="HK0823032773"/>
    <s v="-"/>
    <n v="-17.170000000000002"/>
    <n v="855505.32565717446"/>
    <n v="1.3900420389147956E-3"/>
    <s v=""/>
    <x v="1"/>
  </r>
  <r>
    <s v="Investments"/>
    <s v="Investments Long"/>
    <m/>
    <s v="Hong Kong Dollar"/>
    <m/>
    <s v="MEITUAN DIANPING-CLASS B"/>
    <s v="3690 HK"/>
    <n v="40000"/>
    <n v="98.9"/>
    <n v="4101250.89"/>
    <n v="4101250.89"/>
    <n v="-145250.89000000001"/>
    <n v="0"/>
    <n v="3956000"/>
    <n v="8.0000000000000004E-4"/>
    <m/>
    <s v="Investments"/>
    <s v="BBG00LLV9WW6"/>
    <s v="EQUI"/>
    <s v="Equity"/>
    <s v="Common Stock"/>
    <n v="0.1"/>
    <n v="2.5663999999999999E-2"/>
    <s v="High"/>
    <n v="0.1"/>
    <n v="4.6182000000000001E-2"/>
    <s v="High"/>
    <n v="509511.48203959141"/>
    <s v=""/>
    <s v=""/>
    <s v=""/>
    <s v=""/>
    <s v=""/>
    <n v="0"/>
    <n v="0"/>
    <n v="0"/>
    <n v="0"/>
    <s v="HK"/>
    <s v="Communications"/>
    <s v="Internet"/>
    <s v="E-Commerce/Products"/>
    <s v="N"/>
    <s v=" "/>
    <s v="ACTV"/>
    <s v="Equity"/>
    <s v="Non-Financial"/>
    <s v=""/>
    <s v="Hong Kong"/>
    <s v="High"/>
    <s v="High"/>
    <s v="Consumer Discretionary"/>
    <s v="E-Commerce/Products"/>
    <s v="#N/A Field Not Applicable"/>
    <s v=""/>
    <s v=""/>
    <s v=""/>
    <s v=""/>
    <s v=""/>
    <s v=""/>
    <s v=""/>
    <s v=""/>
    <s v=""/>
    <s v="KYG596691041"/>
    <s v="-"/>
    <n v="-20.41"/>
    <n v="509511.48203959141"/>
    <n v="8.2786437220687273E-4"/>
    <s v=""/>
    <x v="1"/>
  </r>
  <r>
    <s v="Investments"/>
    <s v="Investments Long"/>
    <m/>
    <s v="Hong Kong Dollar"/>
    <m/>
    <s v="MTR CORP"/>
    <s v="66 HK"/>
    <n v="331500"/>
    <n v="43.85"/>
    <n v="13948001.720000001"/>
    <n v="13948001.720000001"/>
    <n v="588273.28"/>
    <n v="0"/>
    <n v="14536275"/>
    <n v="3.0000000000000001E-3"/>
    <m/>
    <s v="Investments"/>
    <s v="BBG000MKLJD1"/>
    <s v="EQUI"/>
    <s v="Equity"/>
    <s v="Common Stock"/>
    <n v="2"/>
    <n v="8.6789999999999992E-3"/>
    <s v="High"/>
    <n v="5.4"/>
    <n v="1.5304E-2"/>
    <s v="Medium"/>
    <n v="1872193.8874077508"/>
    <s v=""/>
    <s v=""/>
    <s v=""/>
    <s v=""/>
    <s v=""/>
    <n v="0"/>
    <n v="0"/>
    <n v="0"/>
    <n v="0"/>
    <s v="HK"/>
    <s v="Industrial"/>
    <s v="Transportation"/>
    <s v="Transport-Rail"/>
    <s v="N"/>
    <s v=" "/>
    <s v="ACTV"/>
    <s v="Equity"/>
    <s v="Non-Financial"/>
    <s v=""/>
    <s v="Hong Kong"/>
    <s v="High"/>
    <s v="Medium"/>
    <s v="Industrials"/>
    <s v="Transport-Rail"/>
    <s v="#N/A Field Not Applicable"/>
    <s v=""/>
    <s v=""/>
    <s v=""/>
    <s v=""/>
    <s v=""/>
    <s v=""/>
    <s v=""/>
    <s v=""/>
    <s v=""/>
    <s v="HK0066009694"/>
    <s v="-"/>
    <n v="-13.8"/>
    <n v="1872193.8874077508"/>
    <n v="3.0419778000762032E-3"/>
    <s v=""/>
    <x v="1"/>
  </r>
  <r>
    <s v="Investments"/>
    <s v="Investments Long"/>
    <m/>
    <s v="Hong Kong Dollar"/>
    <m/>
    <s v="PING AN INSURANCE GROUP CO-H"/>
    <s v="2318 HK"/>
    <n v="125000"/>
    <n v="86.65"/>
    <n v="10459443.83"/>
    <n v="10459443.83"/>
    <n v="371806.17"/>
    <n v="0"/>
    <n v="10831250"/>
    <n v="2.2000000000000001E-3"/>
    <m/>
    <s v="Investments"/>
    <s v="BBG000GD4N44"/>
    <s v="EQUI"/>
    <s v="Equity"/>
    <s v="Common Stock"/>
    <n v="0.1"/>
    <n v="1.1849E-2"/>
    <s v="High"/>
    <n v="0.3"/>
    <n v="2.1388999999999998E-2"/>
    <s v="High"/>
    <n v="1395006.6329224785"/>
    <s v=""/>
    <s v=""/>
    <s v=""/>
    <s v=""/>
    <s v=""/>
    <n v="0"/>
    <n v="0"/>
    <n v="0"/>
    <n v="0"/>
    <s v="HK"/>
    <s v="Financial"/>
    <s v="Insurance"/>
    <s v="Multi-line Insurance"/>
    <s v="N"/>
    <s v=" "/>
    <s v="ACTV"/>
    <s v="Equity"/>
    <s v="Financial"/>
    <s v=""/>
    <s v="Hong Kong"/>
    <s v="High"/>
    <s v="High"/>
    <s v="Financials"/>
    <s v="Multi-line Insurance"/>
    <s v="#N/A Field Not Applicable"/>
    <s v=""/>
    <s v=""/>
    <s v=""/>
    <s v=""/>
    <s v=""/>
    <s v=""/>
    <s v=""/>
    <s v=""/>
    <s v=""/>
    <s v="CNE1000003X6"/>
    <s v="-"/>
    <n v="-12.73"/>
    <n v="1395006.6329224785"/>
    <n v="2.2666344745868785E-3"/>
    <s v=""/>
    <x v="1"/>
  </r>
  <r>
    <s v="Investments"/>
    <s v="Investments Long"/>
    <m/>
    <s v="Hong Kong Dollar"/>
    <m/>
    <s v="POWER ASSETS HOLDINGS LTD"/>
    <s v="6 HK"/>
    <n v="70000"/>
    <n v="55.5"/>
    <n v="3804862.34"/>
    <n v="3804862.34"/>
    <n v="80137.66"/>
    <n v="0"/>
    <n v="3885000"/>
    <n v="8.0000000000000004E-4"/>
    <m/>
    <s v="Investments"/>
    <s v="BBG000BDWNL9"/>
    <s v="EQUI"/>
    <s v="Equity"/>
    <s v="Common Stock"/>
    <n v="0.8"/>
    <n v="1.0966E-2"/>
    <s v="High"/>
    <n v="1.9"/>
    <n v="1.9467999999999999E-2"/>
    <s v="High"/>
    <n v="500367.06464201538"/>
    <s v=""/>
    <s v=""/>
    <s v=""/>
    <s v=""/>
    <s v=""/>
    <n v="0"/>
    <n v="0"/>
    <n v="0"/>
    <n v="0"/>
    <s v="HK"/>
    <s v="Utilities"/>
    <s v="Electric"/>
    <s v="Electric-Integrated"/>
    <s v="N"/>
    <s v=" "/>
    <s v="ACTV"/>
    <s v="Equity"/>
    <s v="Non-Financial"/>
    <s v=""/>
    <s v="Hong Kong"/>
    <s v="High"/>
    <s v="High"/>
    <s v="Utilities"/>
    <s v="Electric-Integrated"/>
    <s v="#N/A Field Not Applicable"/>
    <s v=""/>
    <s v=""/>
    <s v=""/>
    <s v=""/>
    <s v=""/>
    <s v=""/>
    <s v=""/>
    <s v=""/>
    <s v=""/>
    <s v="HK0006000050"/>
    <s v="-"/>
    <n v="-8.26"/>
    <n v="500367.06464201538"/>
    <n v="8.1300634125978282E-4"/>
    <s v=""/>
    <x v="1"/>
  </r>
  <r>
    <s v="Investments"/>
    <s v="Investments Long"/>
    <m/>
    <s v="Hong Kong Dollar"/>
    <m/>
    <s v="SHENZHOU INTERNATIONAL GROUP"/>
    <s v="2313 HK"/>
    <n v="50000"/>
    <n v="95.75"/>
    <n v="5185117.8"/>
    <n v="5185117.8"/>
    <n v="-397617.8"/>
    <n v="0"/>
    <n v="4787500"/>
    <n v="1E-3"/>
    <m/>
    <s v="Investments"/>
    <s v="BBG000JSJ2F6"/>
    <s v="EQUI"/>
    <s v="Equity"/>
    <s v="Common Stock"/>
    <n v="0.4"/>
    <n v="2.2557000000000001E-2"/>
    <s v="High"/>
    <n v="1"/>
    <n v="4.0086999999999998E-2"/>
    <s v="High"/>
    <n v="616604.20128021843"/>
    <s v=""/>
    <s v=""/>
    <s v=""/>
    <s v=""/>
    <s v=""/>
    <n v="0"/>
    <n v="0"/>
    <n v="0"/>
    <n v="0"/>
    <s v="HK"/>
    <s v="Consumer, Cyclical"/>
    <s v="Apparel"/>
    <s v="Textile-Apparel"/>
    <s v="N"/>
    <s v=" "/>
    <s v="ACTV"/>
    <s v="Equity"/>
    <s v="Non-Financial"/>
    <s v=""/>
    <s v="Hong Kong"/>
    <s v="High"/>
    <s v="High"/>
    <s v="Consumer Discretionary"/>
    <s v="Textile-Apparel"/>
    <s v="#N/A Field Not Applicable"/>
    <s v=""/>
    <s v=""/>
    <s v=""/>
    <s v=""/>
    <s v=""/>
    <s v=""/>
    <s v=""/>
    <s v=""/>
    <s v=""/>
    <s v="KYG8087W1015"/>
    <s v="-"/>
    <n v="-18.239999999999998"/>
    <n v="616604.20128021843"/>
    <n v="1.0018707487210322E-3"/>
    <s v=""/>
    <x v="1"/>
  </r>
  <r>
    <s v="Investments"/>
    <s v="Investments Long"/>
    <m/>
    <s v="Hong Kong Dollar"/>
    <m/>
    <s v="TENCENT HOLDINGS LTD"/>
    <s v="700 HK"/>
    <n v="43000"/>
    <n v="386"/>
    <n v="15311258.85"/>
    <n v="15311258.85"/>
    <n v="1286741.1499999999"/>
    <n v="0"/>
    <n v="16598000"/>
    <n v="3.3999999999999998E-3"/>
    <m/>
    <s v="Investments"/>
    <s v="BBG000BJ35N5"/>
    <s v="EQUI"/>
    <s v="Equity"/>
    <s v="Common Stock"/>
    <n v="0.1"/>
    <n v="1.7817E-2"/>
    <s v="High"/>
    <n v="0.2"/>
    <n v="3.2168000000000002E-2"/>
    <s v="High"/>
    <n v="2137732.9572530682"/>
    <s v=""/>
    <s v=""/>
    <s v=""/>
    <s v=""/>
    <s v=""/>
    <n v="0"/>
    <n v="0"/>
    <n v="0"/>
    <n v="0"/>
    <s v="HK"/>
    <s v="Communications"/>
    <s v="Internet"/>
    <s v="Internet Content-Info/Ne"/>
    <s v="N"/>
    <s v=" "/>
    <s v="ACTV"/>
    <s v="Equity"/>
    <s v="Non-Financial"/>
    <s v=""/>
    <s v="Hong Kong"/>
    <s v="High"/>
    <s v="High"/>
    <s v="Communication Services"/>
    <s v="Internet Content-Info/Ne"/>
    <s v="#N/A Field Not Applicable"/>
    <s v=""/>
    <s v=""/>
    <s v=""/>
    <s v=""/>
    <s v=""/>
    <s v=""/>
    <s v=""/>
    <s v=""/>
    <s v=""/>
    <s v="KYG875721634"/>
    <s v="-"/>
    <n v="-15.85"/>
    <n v="2137732.9572530682"/>
    <n v="3.4734309529549224E-3"/>
    <s v=""/>
    <x v="1"/>
  </r>
  <r>
    <s v="Investments"/>
    <s v="Investments Long"/>
    <s v="Avaliable for Trading"/>
    <s v="Euro"/>
    <m/>
    <s v="BNP V1.125 01/15/32 EMTN"/>
    <s v="FR0013476611"/>
    <n v="7000000"/>
    <n v="98.742000000000004"/>
    <n v="6999510"/>
    <n v="60438669"/>
    <n v="-1037456.64"/>
    <n v="83210.350000000006"/>
    <n v="59401212.359999999"/>
    <n v="1.23E-2"/>
    <m/>
    <s v="Investments"/>
    <s v="BBG00RB6QVP0"/>
    <s v="BOND"/>
    <s v="Corp"/>
    <s v="#N/A Field Not Applicable"/>
    <n v="0.7"/>
    <n v="6.1619999999999999E-3"/>
    <s v="High"/>
    <n v="1.9"/>
    <n v="1.6062E-2"/>
    <s v="High"/>
    <n v="7661273.0973816048"/>
    <s v=""/>
    <s v=""/>
    <s v="BBB+"/>
    <s v="Baa2"/>
    <s v="A"/>
    <n v="14"/>
    <n v="13"/>
    <n v="16"/>
    <n v="14"/>
    <s v="FR"/>
    <s v="Financial"/>
    <s v="Banks"/>
    <s v="Diversified Banking Inst"/>
    <s v="N"/>
    <s v=" "/>
    <s v="ACTV"/>
    <s v="Corporate"/>
    <s v="Financial"/>
    <s v="Investment Grade"/>
    <s v="France"/>
    <s v="High"/>
    <s v="High"/>
    <s v="Financials"/>
    <s v="BANK"/>
    <s v="#N/A Field Not Applicable"/>
    <n v="0.20273785280313575"/>
    <s v="1/15/2032"/>
    <n v="11.884931506849314"/>
    <s v="10 yrs or Above"/>
    <n v="0.17210896388649763"/>
    <n v="6.5393227249522798"/>
    <n v="9.4697732003112572E-2"/>
    <n v="1.0420177119302423"/>
    <n v="1.5089745249969555E-2"/>
    <s v="FR0013476611"/>
    <s v="-"/>
    <n v="-11.2"/>
    <n v="7661273.0973816048"/>
    <n v="1.2448188640774113E-2"/>
    <s v="5 - 7 yrs"/>
    <x v="2"/>
  </r>
  <r>
    <s v="Investments"/>
    <s v="Investments Long"/>
    <s v="Avaliable for Trading"/>
    <s v="Euro"/>
    <m/>
    <s v="T V2.875 PERP B"/>
    <s v="XS2114413565"/>
    <n v="3000000"/>
    <n v="98.781000000000006"/>
    <n v="3000000"/>
    <n v="25347300"/>
    <n v="120417.42"/>
    <n v="22277.48"/>
    <n v="25467717.420000002"/>
    <n v="5.3E-3"/>
    <m/>
    <s v="Investments"/>
    <s v="BBG00RPJBQ56"/>
    <s v="EQUI"/>
    <s v="Corp"/>
    <s v="#N/A Field Not Applicable"/>
    <n v="0.3"/>
    <n v="9.7450000000000002E-3"/>
    <s v="High"/>
    <n v="1.9"/>
    <n v="2.7354E-2"/>
    <s v="High"/>
    <n v="3282973.9834885309"/>
    <s v=""/>
    <s v=""/>
    <s v=""/>
    <s v="Ba1"/>
    <s v="BBB"/>
    <n v="0"/>
    <n v="11"/>
    <n v="13"/>
    <n v="11"/>
    <s v="US"/>
    <s v="Communications"/>
    <s v="Telecommunications"/>
    <s v="Telephone-Integrated"/>
    <s v="N"/>
    <s v=" "/>
    <s v="ACTV"/>
    <s v="Corporate"/>
    <s v="Non-Financial"/>
    <s v="Non-Investment Grade"/>
    <s v="United States of America"/>
    <s v="High"/>
    <s v="High"/>
    <s v="Communication Services"/>
    <s v="TELEPHONE"/>
    <s v="#N/A Field Not Applicable"/>
    <n v="6.8259953715725727E-2"/>
    <s v="5/1/2168"/>
    <n v="148.26849315068492"/>
    <s v="10 yrs or Above"/>
    <n v="0.92007277090601358"/>
    <s v=""/>
    <s v=""/>
    <s v=""/>
    <s v=""/>
    <s v="XS2114413565"/>
    <s v="-"/>
    <n v="-19.46"/>
    <n v="3282973.9834885309"/>
    <n v="5.3342413107798003E-3"/>
    <s v=""/>
    <x v="3"/>
  </r>
  <r>
    <s v="Investments"/>
    <s v="Investments Long"/>
    <s v="Avaliable for Trading"/>
    <s v="United States Dollar"/>
    <m/>
    <s v="ACAFP V6.875 PERP REGS"/>
    <s v="USF2R125CF03"/>
    <n v="0"/>
    <s v="NA"/>
    <n v="0"/>
    <n v="0"/>
    <n v="0"/>
    <n v="1787796.42"/>
    <n v="0"/>
    <n v="0"/>
    <m/>
    <s v="Investments"/>
    <s v="BBG00NDWGW60"/>
    <s v="BOND"/>
    <s v="Corp"/>
    <s v="#N/A Field Not Applicable"/>
    <n v="0.1"/>
    <n v="7.5030000000000001E-3"/>
    <s v="High"/>
    <n v="0.1"/>
    <n v="2.1225000000000001E-2"/>
    <s v="High"/>
    <n v="230258.54487848227"/>
    <s v=""/>
    <s v=""/>
    <s v="BBB-"/>
    <s v="Baa3u"/>
    <s v="BBB-"/>
    <n v="12"/>
    <n v="12"/>
    <n v="12"/>
    <n v="12"/>
    <s v="FR"/>
    <s v="Financial"/>
    <s v="Banks"/>
    <s v="Diversified Banking Inst"/>
    <s v="Y"/>
    <s v="Common Equity Tier 1 Ratio"/>
    <s v="ACTV"/>
    <s v="Corporate"/>
    <s v="Financial"/>
    <s v="Investment Grade"/>
    <s v="France"/>
    <s v="High"/>
    <s v="High"/>
    <s v="Financials"/>
    <s v="BANK"/>
    <s v="#N/A Field Not Applicable"/>
    <n v="5.2227936216940832E-3"/>
    <s v="3/23/2168"/>
    <n v="148.16164383561645"/>
    <s v="10 yrs or Above"/>
    <n v="6.4484807367030661E-2"/>
    <n v="3.8051545042681676"/>
    <n v="1.6561280562043578E-3"/>
    <n v="4.8924513191967955"/>
    <n v="2.1293552953624856E-3"/>
    <s v="USF2R125CF03"/>
    <s v="-"/>
    <s v="-"/>
    <n v="230258.54487848227"/>
    <n v="3.7412865542896728E-4"/>
    <s v="3 - 5 yrs"/>
    <x v="2"/>
  </r>
  <r>
    <s v="Investments"/>
    <s v="Investments Long"/>
    <s v="Avaliable for Trading"/>
    <s v="United States Dollar"/>
    <m/>
    <s v="ADANEM 3.949 02/12/30 REGS"/>
    <s v="XS2109438205"/>
    <n v="0"/>
    <s v="NA"/>
    <n v="0"/>
    <n v="0"/>
    <n v="0"/>
    <n v="21800.04"/>
    <n v="0"/>
    <n v="0"/>
    <m/>
    <s v="Investments"/>
    <s v="BBG00RMVGMP4"/>
    <s v="BOND"/>
    <s v="Corp"/>
    <s v="#N/A Field Not Applicable"/>
    <n v="0.1"/>
    <n v="4.6940000000000003E-3"/>
    <s v="High"/>
    <n v="0.1"/>
    <n v="1.3277000000000001E-2"/>
    <s v="High"/>
    <n v="2807.7276766740079"/>
    <s v=""/>
    <s v=""/>
    <s v="BBB-"/>
    <s v="(P)Baa3"/>
    <s v="BBB-"/>
    <n v="12"/>
    <n v="12"/>
    <n v="12"/>
    <n v="12"/>
    <s v="IN"/>
    <s v="Utilities"/>
    <s v="Electric"/>
    <s v="Electric-Distribution"/>
    <s v="N"/>
    <s v=" "/>
    <s v="ACTV"/>
    <s v="Corporate"/>
    <s v="Non-Financial"/>
    <s v="Investment Grade"/>
    <s v="India"/>
    <s v="High"/>
    <s v="High"/>
    <s v="#N/A Field Not Applicable"/>
    <s v="INDUSTRIAL"/>
    <s v="#N/A Field Not Applicable"/>
    <n v="6.3685724275404853E-5"/>
    <s v="2/12/2030"/>
    <n v="9.9616438356164387"/>
    <s v="7 - 10 yrs"/>
    <n v="5.2867875220404574E-5"/>
    <n v="8.1822481870447152"/>
    <n v="4.3424366832755073E-5"/>
    <n v="3.4234054041552553"/>
    <n v="1.8168504387663539E-5"/>
    <s v="XS2109438205"/>
    <s v="-"/>
    <s v="-"/>
    <n v="2807.7276766740079"/>
    <n v="4.5620516756028097E-6"/>
    <s v="7 - 10 yrs"/>
    <x v="4"/>
  </r>
  <r>
    <s v="Investments"/>
    <s v="Investments Long"/>
    <s v="Avaliable for Trading"/>
    <s v="United States Dollar"/>
    <m/>
    <s v="AGILE 6.7 03/07/22"/>
    <s v="XS1959497782"/>
    <n v="5000000"/>
    <n v="103.75700000000001"/>
    <n v="5002486.1100000003"/>
    <n v="39268740.189999998"/>
    <n v="1162768.79"/>
    <n v="1247392.97"/>
    <n v="40431508.979999997"/>
    <n v="8.3000000000000001E-3"/>
    <m/>
    <s v="Investments"/>
    <s v="BBG00NGWHP25"/>
    <s v="BOND"/>
    <s v="Corp"/>
    <s v="#N/A Field Not Applicable"/>
    <n v="3"/>
    <n v="5.2709999999999996E-3"/>
    <s v="High"/>
    <n v="6.8"/>
    <n v="1.217E-2"/>
    <s v="Medium"/>
    <n v="5368017.9732879968"/>
    <s v=""/>
    <s v=""/>
    <s v="BB"/>
    <s v="Ba3"/>
    <s v=""/>
    <n v="10"/>
    <n v="9"/>
    <n v="0"/>
    <n v="9"/>
    <s v="CN"/>
    <s v="Financial"/>
    <s v="Real Estate"/>
    <s v="Real Estate Oper/Develop"/>
    <s v="N"/>
    <s v=" "/>
    <s v="ACTV"/>
    <s v="Corporate"/>
    <s v="Financial"/>
    <s v="Non-Investment Grade"/>
    <s v="China"/>
    <s v="High"/>
    <s v="Medium"/>
    <s v="Real Estate"/>
    <s v="FINANCIAL"/>
    <s v="#N/A Field Not Applicable"/>
    <n v="9.1319249564083368E-2"/>
    <s v="3/7/2022"/>
    <n v="2.0191780821917806"/>
    <s v="2 - 3 yrs"/>
    <n v="2.0487758577999827E-2"/>
    <n v="1.8549645291125434"/>
    <n v="1.8821552085172302E-2"/>
    <n v="4.6932273057078824"/>
    <n v="4.7620221732323179E-2"/>
    <s v="XS1959497782"/>
    <s v="-"/>
    <n v="-3.43"/>
    <n v="5368017.9732879968"/>
    <n v="8.722062183293364E-3"/>
    <s v="1 - 2 yrs"/>
    <x v="5"/>
  </r>
  <r>
    <s v="Investments"/>
    <s v="Investments Long"/>
    <s v="Avaliable for Trading"/>
    <s v="United States Dollar"/>
    <m/>
    <s v="ANHUII 4.875 10/18/21"/>
    <s v="XS1891659358"/>
    <n v="8000000"/>
    <n v="103.027"/>
    <n v="7984000"/>
    <n v="62525095.200000003"/>
    <n v="1710178.76"/>
    <n v="1106027.54"/>
    <n v="64235273.960000001"/>
    <n v="1.3299999999999999E-2"/>
    <m/>
    <s v="Investments"/>
    <s v="BBG00M5BYXF5"/>
    <s v="BOND"/>
    <s v="Corp"/>
    <s v="#N/A Field Not Applicable"/>
    <n v="11.1"/>
    <n v="7.803E-3"/>
    <s v="Illiquid"/>
    <n v="17.2"/>
    <n v="2.5610000000000001E-2"/>
    <s v="Illiquid"/>
    <n v="8415607.5241811872"/>
    <s v=""/>
    <s v=""/>
    <s v=""/>
    <s v="A3"/>
    <s v="A-"/>
    <n v="0"/>
    <n v="15"/>
    <n v="15"/>
    <n v="15"/>
    <s v="CN"/>
    <s v="Consumer, Cyclical"/>
    <s v="Distribution/Wholesale"/>
    <s v="Distribution/Wholesale"/>
    <s v="N"/>
    <s v=" "/>
    <s v="ACTV"/>
    <s v="Corporate"/>
    <s v="Non-Financial"/>
    <s v="Investment Grade"/>
    <s v="China"/>
    <s v="Illiquid"/>
    <s v="Illiquid"/>
    <s v="#N/A Field Not Applicable"/>
    <s v="INDUSTRIAL"/>
    <s v="Chengtou Bond"/>
    <n v="0.23860667865317545"/>
    <s v="10/18/2021"/>
    <n v="1.6356164383561644"/>
    <s v="1 - 2 yrs"/>
    <n v="2.601793372711338E-2"/>
    <n v="1.5152150936852897"/>
    <n v="2.4102696063293804E-2"/>
    <n v="2.8513726256417207"/>
    <n v="4.5357103453797017E-2"/>
    <s v="XS1891659358"/>
    <s v="-"/>
    <n v="-2.4700000000000002"/>
    <n v="8415607.5241811872"/>
    <n v="1.3673846194508971E-2"/>
    <s v="1 - 2 yrs"/>
    <x v="5"/>
  </r>
  <r>
    <s v="Investments"/>
    <s v="Investments Long"/>
    <s v="Avaliable for Trading"/>
    <s v="United States Dollar"/>
    <m/>
    <s v="ANTOIL 7.5 12/02/22"/>
    <s v="XS2082380515"/>
    <n v="2000000"/>
    <n v="92.623000000000005"/>
    <n v="1880000"/>
    <n v="14602336"/>
    <n v="-165189"/>
    <n v="282514.38"/>
    <n v="14437147"/>
    <n v="3.0000000000000001E-3"/>
    <m/>
    <s v="Investments"/>
    <s v="BBG00QVDPQK2"/>
    <s v="BOND"/>
    <s v="Corp"/>
    <s v="#N/A Field Not Applicable"/>
    <n v="0.5"/>
    <n v="7.6039999999999996E-3"/>
    <s v="High"/>
    <n v="1.3"/>
    <n v="3.1620000000000002E-2"/>
    <s v="High"/>
    <n v="1895813.0649253635"/>
    <s v=""/>
    <s v=""/>
    <s v=""/>
    <s v="B1"/>
    <s v=""/>
    <n v="0"/>
    <n v="8"/>
    <n v="0"/>
    <n v="8"/>
    <s v="CN"/>
    <s v="Energy"/>
    <s v="Oil&amp;Gas Services"/>
    <s v="Oil-Field Services"/>
    <s v="N"/>
    <s v=" "/>
    <s v="ACTV"/>
    <s v="Corporate"/>
    <s v="Non-Financial"/>
    <s v="Non-Investment Grade"/>
    <s v="China"/>
    <s v="High"/>
    <s v="High"/>
    <s v="Energy"/>
    <s v="INDUSTRIAL"/>
    <s v="#N/A Field Not Applicable"/>
    <n v="2.8667601713085702E-2"/>
    <s v="12/2/2022"/>
    <n v="2.7589041095890412"/>
    <s v="2 - 3 yrs"/>
    <n v="9.8863955222867478E-3"/>
    <n v="2.3297785297152753"/>
    <n v="8.3486453711969898E-3"/>
    <n v="10.826644006940491"/>
    <n v="3.8796739785042035E-2"/>
    <s v="XS2082380515"/>
    <s v="-"/>
    <n v="-14.76"/>
    <n v="1895813.0649253635"/>
    <n v="3.0803547086581018E-3"/>
    <s v="2 - 3 yrs"/>
    <x v="5"/>
  </r>
  <r>
    <s v="Investments"/>
    <s v="Investments Long"/>
    <s v="Avaliable for Trading"/>
    <s v="United States Dollar"/>
    <m/>
    <s v="ARACEN 5.375 11/26/24 REGS"/>
    <s v="XS2076168348"/>
    <n v="5000000"/>
    <n v="103.003"/>
    <n v="5000000"/>
    <n v="39138500"/>
    <n v="999194.02"/>
    <n v="541079.97"/>
    <n v="40137694.020000003"/>
    <n v="8.3000000000000001E-3"/>
    <m/>
    <s v="Investments"/>
    <s v="BBG00QXJWZC8"/>
    <s v="BOND"/>
    <s v="Corp"/>
    <s v="#N/A Field Not Applicable"/>
    <n v="0.5"/>
    <n v="7.1050000000000002E-3"/>
    <s v="High"/>
    <n v="2"/>
    <n v="1.6813000000000002E-2"/>
    <s v="High"/>
    <n v="5239206.8814960783"/>
    <s v=""/>
    <s v=""/>
    <s v=""/>
    <s v="Ba2"/>
    <s v="BB+"/>
    <n v="0"/>
    <n v="10"/>
    <n v="11"/>
    <n v="10"/>
    <s v="SA"/>
    <s v="Financial"/>
    <s v="Real Estate"/>
    <s v="Real Estate Oper/Develop"/>
    <s v="N"/>
    <s v=" "/>
    <s v="ACTV"/>
    <s v="Corporate"/>
    <s v="Financial"/>
    <s v="Non-Investment Grade"/>
    <s v="Saudi Arabia"/>
    <s v="High"/>
    <s v="High"/>
    <s v="#N/A Field Not Applicable"/>
    <s v="SPECIAL PURPOSE"/>
    <s v="#N/A Field Not Applicable"/>
    <n v="9.9031056219340677E-2"/>
    <s v="11/26/2024"/>
    <n v="4.7452054794520544"/>
    <s v="3 - 5 yrs"/>
    <n v="4.6992271060793983E-2"/>
    <n v="4.0774774458494853"/>
    <n v="4.0379689817301397E-2"/>
    <n v="4.637535599569703"/>
    <n v="4.5926004868018094E-2"/>
    <s v="XS2076168348"/>
    <s v="-"/>
    <n v="-9.16"/>
    <n v="5239206.8814960783"/>
    <n v="8.5127673638464661E-3"/>
    <s v="3 - 5 yrs"/>
    <x v="6"/>
  </r>
  <r>
    <s v="Investments"/>
    <s v="Investments Long"/>
    <s v="Avaliable for Trading"/>
    <s v="United States Dollar"/>
    <m/>
    <s v="BABA 4.4 12/06/57"/>
    <s v="US01609WAW29"/>
    <n v="3200000"/>
    <n v="128.233"/>
    <n v="4106037.26"/>
    <n v="31998758.969999999"/>
    <n v="-18474.64"/>
    <n v="252994.33"/>
    <n v="31980284.329999998"/>
    <n v="6.6E-3"/>
    <m/>
    <s v="Investments"/>
    <s v="BBG00JCQ6Y42"/>
    <s v="BOND"/>
    <s v="Corp"/>
    <s v="#N/A Field Not Applicable"/>
    <n v="0.5"/>
    <n v="1.4262E-2"/>
    <s v="High"/>
    <n v="2"/>
    <n v="3.7023E-2"/>
    <s v="High"/>
    <n v="4151472.5937946751"/>
    <s v=""/>
    <s v=""/>
    <s v="A+"/>
    <s v="A1"/>
    <s v="A+"/>
    <n v="17"/>
    <n v="17"/>
    <n v="17"/>
    <n v="17"/>
    <s v="CN"/>
    <s v="Communications"/>
    <s v="Internet"/>
    <s v="E-Commerce/Products"/>
    <s v="N"/>
    <s v=" "/>
    <s v="ACTV"/>
    <s v="Corporate"/>
    <s v="Non-Financial"/>
    <s v="Investment Grade"/>
    <s v="China"/>
    <s v="High"/>
    <s v="High"/>
    <s v="Consumer Discretionary"/>
    <s v="INDUSTRIAL"/>
    <s v="#N/A Field Not Applicable"/>
    <n v="0.13340034717429367"/>
    <s v="12/6/2057"/>
    <n v="37.794520547945204"/>
    <s v="10 yrs or Above"/>
    <n v="0.29657659778716855"/>
    <n v="20.261918322376292"/>
    <n v="0.15899687874248111"/>
    <n v="3.1273926786724386"/>
    <n v="2.4540898181485148E-2"/>
    <s v="US01609WAW29"/>
    <s v="-"/>
    <n v="-17.600000000000001"/>
    <n v="4151472.5937946751"/>
    <n v="6.745395096569789E-3"/>
    <s v="10 yrs or Above"/>
    <x v="5"/>
  </r>
  <r>
    <s v="Investments"/>
    <s v="Investments Long"/>
    <s v="Avaliable for Trading"/>
    <s v="United States Dollar"/>
    <m/>
    <s v="BBTNIJ 4.2 01/23/25"/>
    <s v="XS2099372802"/>
    <n v="3800000"/>
    <n v="100.816"/>
    <n v="3800000"/>
    <n v="29530940"/>
    <n v="326020.84999999998"/>
    <n v="124384.26"/>
    <n v="29856960.850000001"/>
    <n v="6.1999999999999998E-3"/>
    <m/>
    <s v="Investments"/>
    <s v="BBG00RDBJ3B2"/>
    <s v="BOND"/>
    <s v="Corp"/>
    <s v="#N/A Field Not Applicable"/>
    <n v="1.5"/>
    <n v="9.6080000000000002E-3"/>
    <s v="High"/>
    <n v="2"/>
    <n v="2.1468000000000001E-2"/>
    <s v="High"/>
    <n v="3861435.6876988267"/>
    <s v=""/>
    <s v=""/>
    <s v=""/>
    <s v="Ba3"/>
    <s v=""/>
    <n v="0"/>
    <n v="9"/>
    <n v="0"/>
    <n v="9"/>
    <s v="ID"/>
    <s v="Financial"/>
    <s v="Banks"/>
    <s v="Commer Banks Non-US"/>
    <s v="N"/>
    <s v=" "/>
    <s v="ACTV"/>
    <s v="Corporate"/>
    <s v="Financial"/>
    <s v="Non-Investment Grade"/>
    <s v="Asia - others (1)"/>
    <s v="High"/>
    <s v="High"/>
    <s v="Financials"/>
    <s v="BANK"/>
    <s v="#N/A Field Not Applicable"/>
    <n v="6.5689684907042065E-2"/>
    <s v="1/23/2025"/>
    <n v="4.904109589041096"/>
    <s v="3 - 5 yrs"/>
    <n v="3.5794379294857008E-2"/>
    <n v="4.3448288624653468"/>
    <n v="3.171227099448562E-2"/>
    <n v="4.0538327391422069"/>
    <n v="2.9588332811122532E-2"/>
    <s v="XS2099372802"/>
    <s v="-"/>
    <n v="-8.41"/>
    <n v="3861435.6876988267"/>
    <n v="6.2741373729544355E-3"/>
    <s v="3 - 5 yrs"/>
    <x v="7"/>
  </r>
  <r>
    <s v="Investments"/>
    <s v="Investments Long"/>
    <s v="Avaliable for Trading"/>
    <s v="United States Dollar"/>
    <m/>
    <s v="BCHINA V3.6 PERP"/>
    <s v="XS2125922349"/>
    <n v="14000000"/>
    <n v="98.706000000000003"/>
    <n v="14000000"/>
    <n v="109106200"/>
    <n v="-1409070.46"/>
    <n v="0"/>
    <n v="107697129.54000001"/>
    <n v="2.2200000000000001E-2"/>
    <m/>
    <s v="Investments"/>
    <s v="BBG00RYF5CJ7"/>
    <s v="BOND"/>
    <s v="Corp"/>
    <s v="#N/A Field Not Applicable"/>
    <s v="N.A."/>
    <s v="N.A."/>
    <s v="Not Covered"/>
    <s v="N.A."/>
    <s v="N.A."/>
    <s v="Not Covered"/>
    <n v="13870809.930064525"/>
    <n v="4.9645390070921988E-3"/>
    <n v="5.1663244353182751"/>
    <s v="BB+"/>
    <s v="Ba1"/>
    <s v="BB+"/>
    <n v="11"/>
    <n v="11"/>
    <n v="11"/>
    <n v="11"/>
    <s v="CN"/>
    <s v="Financial"/>
    <s v="Banks"/>
    <s v="Commer Banks Non-US"/>
    <s v="Y"/>
    <s v="Common Equity Tier 1 Ratio"/>
    <s v="ACTV"/>
    <s v="Corporate"/>
    <s v="Financial"/>
    <s v="Non-Investment Grade"/>
    <s v="China"/>
    <s v="Low"/>
    <s v="Low"/>
    <s v="Financials"/>
    <s v="BANK"/>
    <s v="#N/A Field Not Applicable"/>
    <n v="0.28840339539326143"/>
    <s v="3/4/2169"/>
    <n v="149.10958904109589"/>
    <s v="10 yrs or Above"/>
    <n v="3.9094283422859908"/>
    <n v="4.4876585157187403"/>
    <n v="0.11765963211806987"/>
    <n v="3.1851888776771458"/>
    <n v="8.3510844299176407E-2"/>
    <s v="XS2125922349"/>
    <s v="-"/>
    <n v="-10.11"/>
    <n v="13870809.930064525"/>
    <n v="2.2537567374902517E-2"/>
    <s v="3 - 5 yrs"/>
    <x v="5"/>
  </r>
  <r>
    <s v="Investments"/>
    <s v="Investments Long"/>
    <s v="Avaliable for Trading"/>
    <s v="United States Dollar"/>
    <m/>
    <s v="BHARTI V5.65 PERP FEB"/>
    <s v="USV6703DAB02"/>
    <n v="0"/>
    <s v="NA"/>
    <n v="0"/>
    <n v="0"/>
    <n v="0"/>
    <n v="163901.63"/>
    <n v="0"/>
    <n v="0"/>
    <m/>
    <s v="Investments"/>
    <s v="BBG00RQ7HVR0"/>
    <s v="BOND"/>
    <s v="Corp"/>
    <s v="#N/A Field Not Applicable"/>
    <n v="0.1"/>
    <n v="1.4243E-2"/>
    <s v="High"/>
    <n v="0.1"/>
    <n v="4.0288999999999998E-2"/>
    <s v="High"/>
    <n v="21109.646716381387"/>
    <s v=""/>
    <s v=""/>
    <s v="BB *-"/>
    <s v=""/>
    <s v=""/>
    <n v="10"/>
    <n v="0"/>
    <n v="0"/>
    <n v="10"/>
    <s v="IN"/>
    <s v="Communications"/>
    <s v="Telecommunications"/>
    <s v="Telecom Services"/>
    <s v="N"/>
    <s v=" "/>
    <s v="ACTV"/>
    <s v="Corporate"/>
    <s v="Non-Financial"/>
    <s v="Non-Investment Grade"/>
    <s v="India"/>
    <s v="High"/>
    <s v="High"/>
    <s v="#N/A Field Not Applicable"/>
    <s v="INDUSTRIAL"/>
    <s v="#N/A Field Not Applicable"/>
    <n v="3.9901280060607782E-4"/>
    <s v="4/15/2168"/>
    <n v="148.22465753424657"/>
    <s v="10 yrs or Above"/>
    <n v="5.9143535721616495E-3"/>
    <n v="4.0902511410707261"/>
    <n v="1.6320625629808358E-4"/>
    <n v="5.1371278487128293"/>
    <n v="2.0497797699863815E-4"/>
    <s v="USV6703DAB02"/>
    <s v="-"/>
    <s v="-"/>
    <n v="21109.646716381387"/>
    <n v="3.4299373110119601E-5"/>
    <s v="3 - 5 yrs"/>
    <x v="4"/>
  </r>
  <r>
    <s v="Investments"/>
    <s v="Investments Long"/>
    <s v="Avaliable for Trading"/>
    <s v="United States Dollar"/>
    <m/>
    <s v="BNP V4.5 PERP REGS"/>
    <s v="USF1R15XL274"/>
    <n v="0"/>
    <s v="NA"/>
    <n v="0"/>
    <n v="0"/>
    <n v="0"/>
    <n v="7793.5"/>
    <n v="0"/>
    <n v="0"/>
    <m/>
    <s v="Investments"/>
    <s v="BBG00RRSMX11"/>
    <s v="BOND"/>
    <s v="Corp"/>
    <s v="#N/A Field Not Applicable"/>
    <n v="0.1"/>
    <n v="2.3283000000000002E-2"/>
    <s v="High"/>
    <n v="0.1"/>
    <n v="6.5861000000000003E-2"/>
    <s v="High"/>
    <n v="1003.7608026480171"/>
    <s v=""/>
    <s v=""/>
    <s v="BBB-"/>
    <s v="Ba1"/>
    <s v="BBB-"/>
    <n v="12"/>
    <n v="11"/>
    <n v="12"/>
    <n v="12"/>
    <s v="FR"/>
    <s v="Financial"/>
    <s v="Banks"/>
    <s v="Diversified Banking Inst"/>
    <s v="Y"/>
    <s v="Common Equity Tier 1 Ratio"/>
    <s v="ACTV"/>
    <s v="Corporate"/>
    <s v="Financial"/>
    <s v="Investment Grade"/>
    <s v="France"/>
    <s v="High"/>
    <s v="High"/>
    <s v="Financials"/>
    <s v="BANK"/>
    <s v="#N/A Field Not Applicable"/>
    <n v="2.2767604653035853E-5"/>
    <s v="8/25/2168"/>
    <n v="148.58630136986301"/>
    <s v="10 yrs or Above"/>
    <n v="2.8191284720382331E-4"/>
    <n v="7.9086843172347123"/>
    <n v="1.5005149821705392E-5"/>
    <n v="3.9972162006059038"/>
    <n v="7.5839198473421048E-6"/>
    <s v="USF1R15XL274"/>
    <s v="-"/>
    <s v="-"/>
    <n v="1003.7608026480171"/>
    <n v="1.6309304814950108E-6"/>
    <s v="7 - 10 yrs"/>
    <x v="2"/>
  </r>
  <r>
    <s v="Investments"/>
    <s v="Investments Long"/>
    <s v="Avaliable for Trading"/>
    <s v="United States Dollar"/>
    <m/>
    <s v="BOCHKL V5.9 PERP REGS"/>
    <s v="US06428YAA47"/>
    <n v="5830000"/>
    <n v="107.877"/>
    <n v="5838430.1200000001"/>
    <n v="45718543.659999996"/>
    <n v="3296563.26"/>
    <n v="1228668"/>
    <n v="49015106.920000002"/>
    <n v="1.01E-2"/>
    <m/>
    <s v="Investments"/>
    <s v="BBG00LY91MN1"/>
    <s v="BOND"/>
    <s v="Corp"/>
    <s v="#N/A Field Not Applicable"/>
    <n v="0.5"/>
    <n v="2.9889999999999999E-3"/>
    <s v="High"/>
    <n v="2"/>
    <n v="7.1329999999999996E-3"/>
    <s v="High"/>
    <n v="6471127.4577231687"/>
    <s v=""/>
    <s v=""/>
    <s v="BBB"/>
    <s v="Baa2"/>
    <s v=""/>
    <n v="13"/>
    <n v="13"/>
    <n v="0"/>
    <n v="13"/>
    <s v="HK"/>
    <s v="Financial"/>
    <s v="Banks"/>
    <s v="Money Center Banks"/>
    <s v="N"/>
    <s v=" "/>
    <s v="ACTV"/>
    <s v="Corporate"/>
    <s v="Financial"/>
    <s v="Investment Grade"/>
    <s v="Hong Kong"/>
    <s v="High"/>
    <s v="High"/>
    <s v="#N/A Field Not Applicable"/>
    <s v="BANK"/>
    <s v="#N/A Field Not Applicable"/>
    <n v="0.15901173250690545"/>
    <s v="3/14/2168"/>
    <n v="148.13698630136986"/>
    <s v="10 yrs or Above"/>
    <n v="1.8119629877025034"/>
    <n v="3.0987350826254367"/>
    <n v="3.7902710312938431E-2"/>
    <n v="3.6689146516794602"/>
    <n v="4.4876959629501584E-2"/>
    <s v="US06428YAA47"/>
    <s v="-"/>
    <n v="-4.8"/>
    <n v="6471127.4577231687"/>
    <n v="1.0514416375492724E-2"/>
    <s v="3 - 5 yrs"/>
    <x v="1"/>
  </r>
  <r>
    <s v="Investments"/>
    <s v="Investments Long"/>
    <s v="Avaliable for Trading"/>
    <s v="United States Dollar"/>
    <m/>
    <s v="BYANIJ 6.125 01/24/23 REGS"/>
    <s v="USY711AJAA00"/>
    <n v="2500000"/>
    <n v="96.06"/>
    <n v="2495267.85"/>
    <n v="19391206.84"/>
    <n v="-675116.6"/>
    <n v="116023.02"/>
    <n v="18716090.239999998"/>
    <n v="3.8999999999999998E-3"/>
    <m/>
    <s v="Investments"/>
    <s v="BBG00RCY5V08"/>
    <s v="BOND"/>
    <s v="Corp"/>
    <s v="#N/A Field Not Applicable"/>
    <n v="0.5"/>
    <n v="1.0692E-2"/>
    <s v="High"/>
    <n v="2"/>
    <n v="2.8119999999999999E-2"/>
    <s v="High"/>
    <n v="2425474.7060262994"/>
    <s v=""/>
    <s v=""/>
    <s v=""/>
    <s v="Ba3"/>
    <s v="BB-"/>
    <n v="0"/>
    <n v="9"/>
    <n v="9"/>
    <n v="9"/>
    <s v="ID"/>
    <s v="Energy"/>
    <s v="Coal"/>
    <s v="Coal"/>
    <s v="N"/>
    <s v=" "/>
    <s v="ACTV"/>
    <s v="Corporate"/>
    <s v="Non-Financial"/>
    <s v="Non-Investment Grade"/>
    <s v="Asia - others (1)"/>
    <s v="High"/>
    <s v="High"/>
    <s v="Energy"/>
    <s v="INDUSTRIAL"/>
    <s v="#N/A Field Not Applicable"/>
    <n v="4.1261510504093872E-2"/>
    <s v="1/24/2023"/>
    <n v="2.904109589041096"/>
    <s v="2 - 3 yrs"/>
    <n v="1.331421647925099E-2"/>
    <n v="2.5600361332695134"/>
    <n v="1.1736773089306653E-2"/>
    <n v="7.329531186610609"/>
    <n v="3.3603058671824136E-2"/>
    <s v="USY711AJAA00"/>
    <s v="-"/>
    <n v="-12.61"/>
    <n v="2425474.7060262994"/>
    <n v="3.9409594593828668E-3"/>
    <s v="2 - 3 yrs"/>
    <x v="7"/>
  </r>
  <r>
    <s v="Investments"/>
    <s v="Investments Long"/>
    <s v="Avaliable for Trading"/>
    <s v="United States Dollar"/>
    <m/>
    <s v="CAPG 4.8 02/18/21"/>
    <s v="XS2123967452"/>
    <n v="4200000"/>
    <n v="100.151"/>
    <n v="4200000"/>
    <n v="32625180"/>
    <n v="156946.38"/>
    <n v="34914.879999999997"/>
    <n v="32782126.379999999"/>
    <n v="6.7999999999999996E-3"/>
    <m/>
    <s v="Investments"/>
    <s v="BBG00RRMFK74"/>
    <s v="BOND"/>
    <s v="Corp"/>
    <s v="#N/A Field Not Applicable"/>
    <n v="0.5"/>
    <n v="1.7619999999999999E-3"/>
    <s v="High"/>
    <n v="1.8"/>
    <n v="4.3880000000000004E-3"/>
    <s v="High"/>
    <n v="4226658.0709143123"/>
    <s v=""/>
    <s v=""/>
    <s v=""/>
    <s v=""/>
    <s v=""/>
    <n v="0"/>
    <n v="0"/>
    <n v="0"/>
    <n v="0"/>
    <s v="CN"/>
    <s v="Financial"/>
    <s v="Real Estate"/>
    <s v="Real Estate Oper/Develop"/>
    <s v="N"/>
    <s v=" "/>
    <s v="ACTV"/>
    <s v="Corporate"/>
    <s v="Financial"/>
    <s v="Non-Investment Grade"/>
    <s v="China"/>
    <s v="High"/>
    <s v="High"/>
    <s v="Real Estate"/>
    <s v="FINANCIAL"/>
    <s v="#N/A Field Not Applicable"/>
    <n v="0"/>
    <s v="2/18/2021"/>
    <n v="0.9726027397260274"/>
    <s v="0 - 1 yr"/>
    <n v="7.7703121808264325E-3"/>
    <n v="0.90541008459877215"/>
    <n v="7.2334970092544776E-3"/>
    <n v="4.8482373988377665"/>
    <n v="3.8733510175325316E-2"/>
    <s v="XS2123967452"/>
    <s v="-"/>
    <n v="-0.77"/>
    <n v="4226658.0709143123"/>
    <n v="6.8675579525775878E-3"/>
    <s v="0 - 1 yr"/>
    <x v="5"/>
  </r>
  <r>
    <s v="Investments"/>
    <s v="Investments Long"/>
    <s v="Avaliable for Trading"/>
    <s v="United States Dollar"/>
    <m/>
    <s v="CAPG 7.95 09/07/21"/>
    <s v="XS1876052025"/>
    <n v="6000000"/>
    <n v="103.514"/>
    <n v="6017196.1799999997"/>
    <n v="47186416.869999997"/>
    <n v="1217764.75"/>
    <n v="1776138.64"/>
    <n v="48404181.619999997"/>
    <n v="0.01"/>
    <m/>
    <s v="Investments"/>
    <s v="BBG00LVCWLT9"/>
    <s v="BOND"/>
    <s v="Corp"/>
    <s v="#N/A Field Not Applicable"/>
    <n v="3.1"/>
    <n v="5.7520000000000002E-3"/>
    <s v="Medium"/>
    <n v="6.9"/>
    <n v="1.3236E-2"/>
    <s v="Medium"/>
    <n v="6462954.8394575166"/>
    <s v=""/>
    <s v=""/>
    <s v="B"/>
    <s v="B2"/>
    <s v="BB-"/>
    <n v="7"/>
    <n v="7"/>
    <n v="9"/>
    <n v="7"/>
    <s v="CN"/>
    <s v="Financial"/>
    <s v="Real Estate"/>
    <s v="Real Estate Oper/Develop"/>
    <s v="N"/>
    <s v=" "/>
    <s v="ACTV"/>
    <s v="Corporate"/>
    <s v="Financial"/>
    <s v="Non-Investment Grade"/>
    <s v="China"/>
    <s v="Medium"/>
    <s v="Medium"/>
    <s v="Real Estate"/>
    <s v="FINANCIAL"/>
    <s v="#N/A Field Not Applicable"/>
    <n v="8.5513567409773478E-2"/>
    <s v="9/7/2021"/>
    <n v="1.5232876712328767"/>
    <s v="1 - 2 yrs"/>
    <n v="1.8608823279778496E-2"/>
    <n v="0.48040322120769519"/>
    <n v="5.8687133200880813E-3"/>
    <n v="5.4870921524326919"/>
    <n v="6.7031546380098866E-2"/>
    <s v="XS1876052025"/>
    <s v="-"/>
    <n v="-1.75"/>
    <n v="6462954.8394575166"/>
    <n v="1.0501137343069948E-2"/>
    <s v="0 - 1 yr"/>
    <x v="5"/>
  </r>
  <r>
    <s v="Investments"/>
    <s v="Investments Long"/>
    <s v="Avaliable for Trading"/>
    <s v="United States Dollar"/>
    <m/>
    <s v="CAPG 8.5 01/23/22"/>
    <s v="XS1937690128"/>
    <n v="6000000"/>
    <n v="104.723"/>
    <n v="6152708.3300000001"/>
    <n v="48237073.630000003"/>
    <n v="732448.39"/>
    <n v="397468.5"/>
    <n v="48969522.020000003"/>
    <n v="1.01E-2"/>
    <m/>
    <s v="Investments"/>
    <s v="BBG00N2K8LG0"/>
    <s v="BOND"/>
    <s v="Corp"/>
    <s v="#N/A Field Not Applicable"/>
    <n v="0.7"/>
    <n v="6.4330000000000003E-3"/>
    <s v="High"/>
    <n v="2"/>
    <n v="1.5086E-2"/>
    <s v="High"/>
    <n v="6358202.3517896011"/>
    <s v=""/>
    <s v=""/>
    <s v=""/>
    <s v="B2"/>
    <s v="BB-"/>
    <n v="0"/>
    <n v="7"/>
    <n v="9"/>
    <n v="7"/>
    <s v="CN"/>
    <s v="Financial"/>
    <s v="Real Estate"/>
    <s v="Real Estate Oper/Develop"/>
    <s v="N"/>
    <s v=" "/>
    <s v="ACTV"/>
    <s v="Corporate"/>
    <s v="Financial"/>
    <s v="Non-Investment Grade"/>
    <s v="China"/>
    <s v="High"/>
    <s v="High"/>
    <s v="Real Estate"/>
    <s v="FINANCIAL"/>
    <s v="#N/A Field Not Applicable"/>
    <n v="8.4127551394182126E-2"/>
    <s v="1/23/2022"/>
    <n v="1.9013698630136986"/>
    <s v="1 - 2 yrs"/>
    <n v="2.2851084410004854E-2"/>
    <n v="0.82886445085944571"/>
    <n v="9.961476669784081E-3"/>
    <n v="5.7411579457409516"/>
    <n v="6.8998508591777002E-2"/>
    <s v="XS1937690128"/>
    <s v="-"/>
    <n v="-2.4300000000000002"/>
    <n v="6358202.3517896011"/>
    <n v="1.0330933421279687E-2"/>
    <s v="0 - 1 yr"/>
    <x v="5"/>
  </r>
  <r>
    <s v="Investments"/>
    <s v="Investments Long"/>
    <s v="Avaliable for Trading"/>
    <s v="United States Dollar"/>
    <m/>
    <s v="CCAMCL V4.45 PERP"/>
    <s v="XS1496760239"/>
    <n v="3500000"/>
    <n v="100.379"/>
    <n v="3482500"/>
    <n v="27121361.760000002"/>
    <n v="259269.01"/>
    <n v="502393.91"/>
    <n v="27380630.77"/>
    <n v="5.7000000000000002E-3"/>
    <m/>
    <s v="Investments"/>
    <s v="BBG00DVX5HS1"/>
    <s v="EQUI"/>
    <s v="Corp"/>
    <s v="#N/A Field Not Applicable"/>
    <n v="0.5"/>
    <n v="1.5629999999999999E-3"/>
    <s v="High"/>
    <n v="1.4"/>
    <n v="4.1370000000000001E-3"/>
    <s v="High"/>
    <n v="3591183.3236737372"/>
    <s v=""/>
    <s v=""/>
    <s v=""/>
    <s v="B1"/>
    <s v=""/>
    <n v="0"/>
    <n v="8"/>
    <n v="0"/>
    <n v="8"/>
    <s v="CN"/>
    <s v="Financial"/>
    <s v="Diversified Finan Serv"/>
    <s v="Invest Mgmnt/Advis Serv"/>
    <s v="N"/>
    <s v=" "/>
    <s v="ACTV"/>
    <s v="Corporate"/>
    <s v="Financial"/>
    <s v="Non-Investment Grade"/>
    <s v="China"/>
    <s v="High"/>
    <s v="High"/>
    <s v="Financials"/>
    <s v="FINANCIAL"/>
    <s v="#N/A Field Not Applicable"/>
    <n v="5.430420071812677E-2"/>
    <s v="9/30/2168"/>
    <n v="148.68493150684932"/>
    <s v="10 yrs or Above"/>
    <n v="1.0092770455386095"/>
    <s v=""/>
    <s v=""/>
    <s v=""/>
    <s v=""/>
    <s v="XS1496760239"/>
    <s v="-"/>
    <n v="-4.5"/>
    <n v="3591183.3236737372"/>
    <n v="5.8350259661114606E-3"/>
    <s v=""/>
    <x v="5"/>
  </r>
  <r>
    <s v="Investments"/>
    <s v="Investments Long"/>
    <s v="Avaliable for Trading"/>
    <s v="United States Dollar"/>
    <m/>
    <s v="CERCG 5.55 04/14/21"/>
    <s v="XS1376566714"/>
    <n v="5000000"/>
    <n v="22.832999999999998"/>
    <n v="4224220"/>
    <n v="32809956.59"/>
    <n v="-23912507.32"/>
    <n v="811011.09"/>
    <n v="8897449.2699999996"/>
    <n v="1.8E-3"/>
    <m/>
    <s v="Investments"/>
    <s v="BBG00CNK44T9"/>
    <s v="BOND"/>
    <s v="Corp"/>
    <s v="#N/A Field Not Applicable"/>
    <n v="43.3"/>
    <n v="0.15007100000000001"/>
    <s v="Illiquid"/>
    <n v="81.599999999999994"/>
    <n v="0.67694799999999999"/>
    <s v="Illiquid"/>
    <n v="1250397.3777417152"/>
    <s v=""/>
    <s v=""/>
    <s v=""/>
    <s v=""/>
    <s v=""/>
    <n v="0"/>
    <n v="0"/>
    <n v="0"/>
    <n v="0"/>
    <s v="CN"/>
    <s v="Energy"/>
    <s v="Energy-Alternate Sources"/>
    <s v="Energy-Alternate Sources"/>
    <s v="N"/>
    <s v=" "/>
    <s v="ACTV"/>
    <s v="Corporate"/>
    <s v="Non-Financial"/>
    <s v="Non-Investment Grade"/>
    <s v="China"/>
    <s v="Illiquid"/>
    <s v="Illiquid"/>
    <s v="#N/A Field Not Applicable"/>
    <s v="SPECIAL PURPOSE"/>
    <s v="#N/A Field Not Applicable"/>
    <n v="0"/>
    <s v="4/14/2021"/>
    <n v="1.1232876712328768"/>
    <s v="1 - 2 yrs"/>
    <n v="2.6548800847422476E-3"/>
    <n v="0.56218998556429234"/>
    <n v="1.3287308627522015E-3"/>
    <n v="180.65615235147314"/>
    <n v="0.42697915533754127"/>
    <s v="XS1376566714"/>
    <s v="-"/>
    <n v="0"/>
    <n v="1250397.3777417152"/>
    <n v="2.0316704855982584E-3"/>
    <s v="0 - 1 yr"/>
    <x v="5"/>
  </r>
  <r>
    <s v="Investments"/>
    <s v="Investments Long"/>
    <s v="Avaliable for Trading"/>
    <s v="United States Dollar"/>
    <m/>
    <s v="CHALUM V5 PERP"/>
    <s v="XS2079799024"/>
    <n v="10000000"/>
    <n v="102.47799999999999"/>
    <n v="10000000"/>
    <n v="78273999.989999995"/>
    <n v="1592229.39"/>
    <n v="1060781.94"/>
    <n v="79866229.379999995"/>
    <n v="1.6500000000000001E-2"/>
    <m/>
    <s v="Investments"/>
    <s v="BBG00QT8QWY7"/>
    <s v="BOND"/>
    <s v="Corp"/>
    <s v="#N/A Field Not Applicable"/>
    <n v="1.9"/>
    <n v="3.1719999999999999E-3"/>
    <s v="High"/>
    <n v="6.7"/>
    <n v="7.0670000000000004E-3"/>
    <s v="Medium"/>
    <n v="10422962.961245701"/>
    <s v=""/>
    <s v=""/>
    <s v="BB"/>
    <s v=""/>
    <s v=""/>
    <n v="10"/>
    <n v="0"/>
    <n v="0"/>
    <n v="10"/>
    <s v="CN"/>
    <s v="Industrial"/>
    <s v="Engineering&amp;Construction"/>
    <s v="Engineering/R&amp;D Services"/>
    <s v="N"/>
    <s v=" "/>
    <s v="ACTV"/>
    <s v="Corporate"/>
    <s v="Non-Financial"/>
    <s v="Non-Investment Grade"/>
    <s v="China"/>
    <s v="High"/>
    <s v="Medium"/>
    <s v="#N/A Field Not Applicable"/>
    <s v="INDUSTRIAL"/>
    <s v="#N/A Field Not Applicable"/>
    <n v="0.19701398595897401"/>
    <s v="5/21/2168"/>
    <n v="148.32328767123289"/>
    <s v="10 yrs or Above"/>
    <n v="2.9221762114649144"/>
    <n v="2.8955091784336111"/>
    <n v="5.7045580462399985E-2"/>
    <n v="6.4574013068464389"/>
    <n v="0.12721983703985049"/>
    <s v="XS2079799024"/>
    <s v="-"/>
    <n v="-6.85"/>
    <n v="10422962.961245701"/>
    <n v="1.6935437164057199E-2"/>
    <s v="2 - 3 yrs"/>
    <x v="5"/>
  </r>
  <r>
    <s v="Investments"/>
    <s v="Investments Long"/>
    <s v="Avaliable for Trading"/>
    <s v="United States Dollar"/>
    <m/>
    <s v="CHINSC 7.45 04/17/21"/>
    <s v="XS1795479291"/>
    <n v="4000000"/>
    <n v="101.93899999999999"/>
    <n v="4070800"/>
    <n v="31919388.199999999"/>
    <n v="-140924.34"/>
    <n v="851569.77"/>
    <n v="31778463.859999999"/>
    <n v="6.6E-3"/>
    <m/>
    <s v="Investments"/>
    <s v="BBG00KDP8LC7"/>
    <s v="BOND"/>
    <s v="Corp"/>
    <s v="#N/A Field Not Applicable"/>
    <n v="0.6"/>
    <n v="3.9329999999999999E-3"/>
    <s v="High"/>
    <n v="2"/>
    <n v="8.8990000000000007E-3"/>
    <s v="High"/>
    <n v="4202572.4959107712"/>
    <s v=""/>
    <s v=""/>
    <s v="B"/>
    <s v="B2"/>
    <s v=""/>
    <n v="7"/>
    <n v="7"/>
    <n v="0"/>
    <n v="7"/>
    <s v="CN"/>
    <s v="Financial"/>
    <s v="Real Estate"/>
    <s v="Real Estate Oper/Develop"/>
    <s v="N"/>
    <s v=" "/>
    <s v="ACTV"/>
    <s v="Corporate"/>
    <s v="Financial"/>
    <s v="Non-Investment Grade"/>
    <s v="China"/>
    <s v="High"/>
    <s v="High"/>
    <s v="Real Estate"/>
    <s v="FINANCIAL"/>
    <s v="#N/A Field Not Applicable"/>
    <n v="5.560567501252893E-2"/>
    <s v="4/17/2021"/>
    <n v="1.1315068493150684"/>
    <s v="1 - 2 yrs"/>
    <n v="8.9883145910663181E-3"/>
    <n v="1.022478270247891"/>
    <n v="8.1222277718252783E-3"/>
    <n v="5.4528683218693077"/>
    <n v="4.3315774827425532E-2"/>
    <s v="XS1795479291"/>
    <s v="-"/>
    <n v="-2.75"/>
    <n v="4202572.4959107712"/>
    <n v="6.8284232321003781E-3"/>
    <s v="1 - 2 yrs"/>
    <x v="5"/>
  </r>
  <r>
    <s v="Investments"/>
    <s v="Investments Long"/>
    <s v="Avaliable for Trading"/>
    <s v="United States Dollar"/>
    <m/>
    <s v="CHINSC 8.75 01/15/21"/>
    <s v="XS1893648904"/>
    <n v="6000000"/>
    <n v="102.952"/>
    <n v="6011750.0199999996"/>
    <n v="47123886.640000001"/>
    <n v="1017498.08"/>
    <n v="500082.91"/>
    <n v="48141384.719999999"/>
    <n v="9.9000000000000008E-3"/>
    <m/>
    <s v="Investments"/>
    <s v="BBG00N0Q0RS1"/>
    <s v="BOND"/>
    <s v="Corp"/>
    <s v="#N/A Field Not Applicable"/>
    <n v="2.5"/>
    <n v="4.9950000000000003E-3"/>
    <s v="High"/>
    <n v="5.5"/>
    <n v="1.124E-2"/>
    <s v="Medium"/>
    <n v="6264758.9132310692"/>
    <s v=""/>
    <s v=""/>
    <s v="B"/>
    <s v="B2"/>
    <s v=""/>
    <n v="7"/>
    <n v="7"/>
    <n v="0"/>
    <n v="7"/>
    <s v="CN"/>
    <s v="Financial"/>
    <s v="Real Estate"/>
    <s v="Real Estate Oper/Develop"/>
    <s v="N"/>
    <s v=" "/>
    <s v="ACTV"/>
    <s v="Corporate"/>
    <s v="Financial"/>
    <s v="Non-Investment Grade"/>
    <s v="China"/>
    <s v="High"/>
    <s v="Medium"/>
    <s v="Real Estate"/>
    <s v="FINANCIAL"/>
    <s v="#N/A Field Not Applicable"/>
    <n v="8.2891169277848675E-2"/>
    <s v="1/15/2021"/>
    <n v="0.8794520547945206"/>
    <s v="0 - 1 yr"/>
    <n v="1.0414115592246351E-2"/>
    <n v="0.80586855546643976"/>
    <n v="9.5427695495520059E-3"/>
    <n v="5.1478195768707744"/>
    <n v="6.0958397708316958E-2"/>
    <s v="XS1893648904"/>
    <s v="-"/>
    <n v="-2.27"/>
    <n v="6264758.9132310692"/>
    <n v="1.0179104667019935E-2"/>
    <s v="0 - 1 yr"/>
    <x v="5"/>
  </r>
  <r>
    <s v="Investments"/>
    <s v="Investments Long"/>
    <s v="Avaliable for Trading"/>
    <s v="United States Dollar"/>
    <m/>
    <s v="CHIOLI 2.375 03/02/25 EMTN"/>
    <s v="XS2125599626"/>
    <n v="0"/>
    <s v="NA"/>
    <n v="0"/>
    <n v="0"/>
    <n v="-0.01"/>
    <n v="0"/>
    <n v="-0.01"/>
    <n v="0"/>
    <m/>
    <s v="Investments"/>
    <s v="BBG00RYF9LV9"/>
    <s v="BOND"/>
    <s v="Corp"/>
    <s v="#N/A Field Not Applicable"/>
    <s v="N.A."/>
    <s v="N.A."/>
    <s v="High"/>
    <s v="N.A."/>
    <s v="N.A."/>
    <s v="Not Covered"/>
    <n v="-1.2879461123346599E-3"/>
    <s v=""/>
    <s v=""/>
    <s v=""/>
    <s v="Baa1"/>
    <s v="A-"/>
    <n v="0"/>
    <n v="14"/>
    <n v="15"/>
    <n v="14"/>
    <s v="CN"/>
    <s v="Financial"/>
    <s v="Real Estate"/>
    <s v="Real Estate Oper/Develop"/>
    <s v="N"/>
    <s v=" "/>
    <s v="ACTV"/>
    <s v="Corporate"/>
    <s v="Financial"/>
    <s v="Investment Grade"/>
    <s v="China"/>
    <s v="High"/>
    <s v="Low"/>
    <s v="#N/A Field Not Applicable"/>
    <s v="SPECIAL PURPOSE"/>
    <s v="#N/A Field Not Applicable"/>
    <n v="-3.4082511616785559E-11"/>
    <s v="3/2/2025"/>
    <n v="5.0082191780821921"/>
    <s v="5 - 7 yrs"/>
    <n v="-1.2192334879742467E-11"/>
    <n v="4.6817023004943312"/>
    <n v="-1.1397440931637838E-11"/>
    <n v="1.8724918706543627"/>
    <n v="-4.5585161381367029E-12"/>
    <s v="XS2125599626"/>
    <s v="-"/>
    <s v="-"/>
    <n v="-1.2879461123346599E-3"/>
    <n v="-2.0926804150830962E-12"/>
    <s v="3 - 5 yrs"/>
    <x v="5"/>
  </r>
  <r>
    <s v="Investments"/>
    <s v="Investments Long"/>
    <s v="Avaliable for Trading"/>
    <s v="United States Dollar"/>
    <m/>
    <s v="CHIOLI 3.125 03/02/35 EMTN"/>
    <s v="XS2125715800"/>
    <n v="2500000"/>
    <n v="102.316"/>
    <n v="2496425"/>
    <n v="19454889.670000002"/>
    <n v="480103.98"/>
    <n v="0"/>
    <n v="19934993.649999999"/>
    <n v="4.1000000000000003E-3"/>
    <m/>
    <s v="Investments"/>
    <s v="BBG00RYGHZS1"/>
    <s v="BOND"/>
    <s v="Corp"/>
    <s v="#N/A Field Not Applicable"/>
    <s v="N.A."/>
    <s v="N.A."/>
    <s v="Not Covered"/>
    <s v="N.A."/>
    <s v="N.A."/>
    <s v="Not Covered"/>
    <n v="2567519.757093363"/>
    <n v="1.2500000000000001E-2"/>
    <n v="4.7802874743326491"/>
    <s v=""/>
    <s v="Baa1"/>
    <s v="A-"/>
    <n v="0"/>
    <n v="14"/>
    <n v="15"/>
    <n v="14"/>
    <s v="CN"/>
    <s v="Financial"/>
    <s v="Real Estate"/>
    <s v="Real Estate Oper/Develop"/>
    <s v="N"/>
    <s v=" "/>
    <s v="ACTV"/>
    <s v="Corporate"/>
    <s v="Financial"/>
    <s v="Investment Grade"/>
    <s v="China"/>
    <s v="Medium"/>
    <s v="Medium"/>
    <s v="#N/A Field Not Applicable"/>
    <s v="SPECIAL PURPOSE"/>
    <s v="#N/A Field Not Applicable"/>
    <n v="6.7943465265667136E-2"/>
    <s v="3/2/2035"/>
    <n v="15.013698630136986"/>
    <s v="10 yrs or Above"/>
    <n v="7.2863050813279026E-2"/>
    <n v="12.00792215242635"/>
    <n v="5.827570297687247E-2"/>
    <n v="2.6380782129507634"/>
    <n v="1.2802869673552387E-2"/>
    <s v="XS2125715800"/>
    <s v="-"/>
    <n v="-11.55"/>
    <n v="2567519.757093363"/>
    <n v="4.1717570786160884E-3"/>
    <s v="10 yrs or Above"/>
    <x v="5"/>
  </r>
  <r>
    <s v="Investments"/>
    <s v="Investments Long"/>
    <s v="Avaliable for Trading"/>
    <s v="United States Dollar"/>
    <m/>
    <s v="CHOHIN V5.7 PERP EMTN"/>
    <s v="XS2020061326"/>
    <n v="6000000"/>
    <n v="103.848"/>
    <n v="6000000"/>
    <n v="46795800"/>
    <n v="1764563.28"/>
    <n v="325768.3"/>
    <n v="48560363.280000001"/>
    <n v="0.01"/>
    <m/>
    <s v="Investments"/>
    <s v="BBG00PMFP1T5"/>
    <s v="BOND"/>
    <s v="Corp"/>
    <s v="#N/A Field Not Applicable"/>
    <n v="3"/>
    <n v="1.0009000000000001E-2"/>
    <s v="High"/>
    <n v="4.8"/>
    <n v="2.2657E-2"/>
    <s v="Medium"/>
    <n v="6296270.3115541637"/>
    <s v=""/>
    <s v=""/>
    <s v=""/>
    <s v="Ba2"/>
    <s v=""/>
    <n v="0"/>
    <n v="10"/>
    <n v="0"/>
    <n v="10"/>
    <s v="CN"/>
    <s v="Financial"/>
    <s v="Banks"/>
    <s v="Commer Banks Non-US"/>
    <s v="N"/>
    <s v=" "/>
    <s v="ACTV"/>
    <s v="Corporate"/>
    <s v="Financial"/>
    <s v="Non-Investment Grade"/>
    <s v="China"/>
    <s v="High"/>
    <s v="Medium"/>
    <s v="Financials"/>
    <s v="BANK"/>
    <s v="#N/A Field Not Applicable"/>
    <n v="0.11901158196250408"/>
    <s v="1/15/2169"/>
    <n v="148.97808219178083"/>
    <s v="10 yrs or Above"/>
    <n v="1.7730117239383796"/>
    <n v="3.7998045109919247"/>
    <n v="4.5222074600140827E-2"/>
    <n v="4.5665078263681389"/>
    <n v="5.4346732046022819E-2"/>
    <s v="XS2020061326"/>
    <s v="-"/>
    <n v="-9.65"/>
    <n v="6296270.3115541637"/>
    <n v="1.0230305012664124E-2"/>
    <s v="3 - 5 yrs"/>
    <x v="5"/>
  </r>
  <r>
    <s v="Investments"/>
    <s v="Investments Long"/>
    <s v="Avaliable for Trading"/>
    <s v="United States Dollar"/>
    <m/>
    <s v="CHPWCN V4.3 PERP EMTN"/>
    <s v="XS2008565116"/>
    <n v="4000000"/>
    <n v="103.497"/>
    <n v="4029622.22"/>
    <n v="31532346.120000001"/>
    <n v="731808.65"/>
    <n v="256925.72"/>
    <n v="32264154.77"/>
    <n v="6.7000000000000002E-3"/>
    <m/>
    <s v="Investments"/>
    <s v="BBG00PDL9DV1"/>
    <s v="BOND"/>
    <s v="Corp"/>
    <s v="#N/A Field Not Applicable"/>
    <n v="1.4"/>
    <n v="4.1580000000000002E-3"/>
    <s v="High"/>
    <n v="1.8"/>
    <n v="1.0071E-2"/>
    <s v="High"/>
    <n v="4188539.9186018053"/>
    <s v=""/>
    <s v=""/>
    <s v=""/>
    <s v=""/>
    <s v="BBB"/>
    <n v="0"/>
    <n v="0"/>
    <n v="13"/>
    <n v="13"/>
    <s v="CN"/>
    <s v="Industrial"/>
    <s v="Engineering&amp;Construction"/>
    <s v="Building-Heavy Construct"/>
    <s v="N"/>
    <s v=" "/>
    <s v="ACTV"/>
    <s v="Corporate"/>
    <s v="Non-Financial"/>
    <s v="Investment Grade"/>
    <s v="China"/>
    <s v="High"/>
    <s v="High"/>
    <s v="#N/A Field Not Applicable"/>
    <s v="SPECIAL PURPOSE"/>
    <s v="#N/A Field Not Applicable"/>
    <n v="0.10292286676200686"/>
    <s v="12/20/2168"/>
    <n v="148.90684931506848"/>
    <s v="10 yrs or Above"/>
    <n v="1.1789169086157711"/>
    <n v="3.8571126718553881"/>
    <n v="3.0537314893186188E-2"/>
    <n v="5.559744651960659"/>
    <n v="4.401729677265593E-2"/>
    <s v="XS2008565116"/>
    <s v="-"/>
    <n v="-7.5"/>
    <n v="4188539.9186018053"/>
    <n v="6.8056228218763967E-3"/>
    <s v="3 - 5 yrs"/>
    <x v="5"/>
  </r>
  <r>
    <s v="Investments"/>
    <s v="Investments Long"/>
    <s v="Avaliable for Trading"/>
    <s v="United States Dollar"/>
    <m/>
    <s v="CHSCOI V6 PERP"/>
    <s v="XS1912494538"/>
    <n v="1500000"/>
    <n v="105.238"/>
    <n v="1491411.43"/>
    <n v="11668623.119999999"/>
    <n v="633962.17000000004"/>
    <n v="167560.25"/>
    <n v="12302585.289999999"/>
    <n v="2.5000000000000001E-3"/>
    <m/>
    <s v="Investments"/>
    <s v="BBG00MKJ4690"/>
    <s v="BOND"/>
    <s v="Corp"/>
    <s v="#N/A Field Not Applicable"/>
    <n v="0.5"/>
    <n v="3.49E-3"/>
    <s v="High"/>
    <n v="1.9"/>
    <n v="8.0540000000000004E-3"/>
    <s v="High"/>
    <n v="1606087.5468490396"/>
    <s v=""/>
    <s v=""/>
    <s v=""/>
    <s v="Baa2"/>
    <s v=""/>
    <n v="0"/>
    <n v="13"/>
    <n v="0"/>
    <n v="13"/>
    <s v="CN"/>
    <s v="Industrial"/>
    <s v="Engineering&amp;Construction"/>
    <s v="Building&amp;Construct-Misc"/>
    <s v="N"/>
    <s v=" "/>
    <s v="ACTV"/>
    <s v="Corporate"/>
    <s v="Non-Financial"/>
    <s v="Investment Grade"/>
    <s v="China"/>
    <s v="High"/>
    <s v="High"/>
    <s v="#N/A Field Not Applicable"/>
    <s v="SPECIAL PURPOSE"/>
    <s v="#N/A Field Not Applicable"/>
    <n v="3.9465574592790965E-2"/>
    <s v="6/3/2168"/>
    <n v="148.35890410958905"/>
    <s v="10 yrs or Above"/>
    <n v="0.4503899535878238"/>
    <n v="1.6233909398853252"/>
    <n v="4.9283120177927185E-3"/>
    <n v="8.1770526010585236"/>
    <n v="2.482400610586543E-2"/>
    <s v="XS1912494538"/>
    <s v="-"/>
    <n v="-2.56"/>
    <n v="1606087.5468490396"/>
    <n v="2.6096029344793814E-3"/>
    <s v="1 - 2 yrs"/>
    <x v="5"/>
  </r>
  <r>
    <s v="Investments"/>
    <s v="Investments Long"/>
    <s v="Avaliable for Trading"/>
    <s v="United States Dollar"/>
    <m/>
    <s v="CHUANT 4.625 09/26/21"/>
    <s v="XS1852561031"/>
    <n v="1500000"/>
    <n v="102.262"/>
    <n v="1489886.64"/>
    <n v="11683525.57"/>
    <n v="271157.88"/>
    <n v="229786.47"/>
    <n v="11954683.449999999"/>
    <n v="2.5000000000000001E-3"/>
    <m/>
    <s v="Investments"/>
    <s v="BBG00M0MD1Z7"/>
    <s v="BOND"/>
    <s v="Corp"/>
    <s v="#N/A Field Not Applicable"/>
    <n v="0.5"/>
    <n v="2.0500000000000002E-3"/>
    <s v="High"/>
    <n v="1.4"/>
    <n v="8.7519999999999994E-3"/>
    <s v="High"/>
    <n v="1569294.0664322604"/>
    <s v=""/>
    <s v=""/>
    <s v=""/>
    <s v="Baa1"/>
    <s v="A-"/>
    <n v="0"/>
    <n v="14"/>
    <n v="15"/>
    <n v="14"/>
    <s v="CN"/>
    <s v="Financial"/>
    <s v="Diversified Finan Serv"/>
    <s v="Finance-Other Services"/>
    <s v="N"/>
    <s v=" "/>
    <s v="ACTV"/>
    <s v="Corporate"/>
    <s v="Financial"/>
    <s v="Investment Grade"/>
    <s v="China"/>
    <s v="High"/>
    <s v="High"/>
    <s v="#N/A Field Not Applicable"/>
    <s v="FINANCIAL"/>
    <s v="Chengtou Bond"/>
    <n v="4.1527733759277423E-2"/>
    <s v="9/26/2021"/>
    <n v="1.5753424657534247"/>
    <s v="1 - 2 yrs"/>
    <n v="4.6728858926779878E-3"/>
    <n v="1.4564989846431728"/>
    <n v="4.3203644324942558E-3"/>
    <n v="3.0593050129496655"/>
    <n v="9.0747145761568906E-3"/>
    <s v="XS1852561031"/>
    <s v="-"/>
    <n v="-1.97"/>
    <n v="1569294.0664322604"/>
    <n v="2.5498201569753099E-3"/>
    <s v="1 - 2 yrs"/>
    <x v="5"/>
  </r>
  <r>
    <s v="Investments"/>
    <s v="Investments Long"/>
    <s v="Avaliable for Trading"/>
    <s v="United States Dollar"/>
    <m/>
    <s v="CIFIHG 6.875 04/23/21"/>
    <s v="XS1801151371"/>
    <n v="3000000"/>
    <n v="102.08"/>
    <n v="3060000"/>
    <n v="23994072"/>
    <n v="-127257.60000000001"/>
    <n v="562593.28000000003"/>
    <n v="23866814.399999999"/>
    <n v="4.8999999999999998E-3"/>
    <m/>
    <s v="Investments"/>
    <s v="BBG00KKDSP44"/>
    <s v="BOND"/>
    <s v="Corp"/>
    <s v="#N/A Field Not Applicable"/>
    <n v="1.8"/>
    <n v="5.2969999999999996E-3"/>
    <s v="High"/>
    <n v="2"/>
    <n v="1.2E-2"/>
    <s v="High"/>
    <n v="3146376.0648094481"/>
    <s v=""/>
    <s v=""/>
    <s v="BB-"/>
    <s v="B1"/>
    <s v="BB"/>
    <n v="9"/>
    <n v="8"/>
    <n v="10"/>
    <n v="9"/>
    <s v="CN"/>
    <s v="Financial"/>
    <s v="Real Estate"/>
    <s v="Real Estate Oper/Develop"/>
    <s v="N"/>
    <s v=" "/>
    <s v="ACTV"/>
    <s v="Corporate"/>
    <s v="Financial"/>
    <s v="Non-Investment Grade"/>
    <s v="China"/>
    <s v="High"/>
    <s v="High"/>
    <s v="Real Estate"/>
    <s v="FINANCIAL"/>
    <s v="#N/A Field Not Applicable"/>
    <n v="5.3525286710022234E-2"/>
    <s v="4/23/2021"/>
    <n v="1.1479452054794521"/>
    <s v="1 - 2 yrs"/>
    <n v="6.8271218056314507E-3"/>
    <n v="1.0455919688537796"/>
    <n v="6.2184011016216878E-3"/>
    <n v="4.8425200738520733"/>
    <n v="2.879969726133003E-2"/>
    <s v="XS1801151371"/>
    <s v="-"/>
    <n v="-1.72"/>
    <n v="3146376.0648094481"/>
    <n v="5.1122943004016574E-3"/>
    <s v="1 - 2 yrs"/>
    <x v="5"/>
  </r>
  <r>
    <s v="Investments"/>
    <s v="Investments Long"/>
    <s v="Avaliable for Trading"/>
    <s v="United States Dollar"/>
    <m/>
    <s v="CIFIHG 7.625 03/02/21"/>
    <s v="XS1924328807"/>
    <n v="5000000"/>
    <n v="102.679"/>
    <n v="5106829.16"/>
    <n v="39979138.859999999"/>
    <n v="32300.61"/>
    <n v="1460875.33"/>
    <n v="40011439.469999999"/>
    <n v="8.3000000000000001E-3"/>
    <m/>
    <s v="Investments"/>
    <s v="BBG00MTKPX96"/>
    <s v="BOND"/>
    <s v="Corp"/>
    <s v="#N/A Field Not Applicable"/>
    <n v="0.8"/>
    <n v="4.4209999999999996E-3"/>
    <s v="High"/>
    <n v="2"/>
    <n v="9.8759999999999994E-3"/>
    <s v="High"/>
    <n v="5341410.661617917"/>
    <s v=""/>
    <s v=""/>
    <s v=""/>
    <s v=""/>
    <s v="BB"/>
    <n v="0"/>
    <n v="0"/>
    <n v="10"/>
    <n v="10"/>
    <s v="CN"/>
    <s v="Financial"/>
    <s v="Real Estate"/>
    <s v="Real Estate Oper/Develop"/>
    <s v="N"/>
    <s v=" "/>
    <s v="ACTV"/>
    <s v="Corporate"/>
    <s v="Financial"/>
    <s v="Non-Investment Grade"/>
    <s v="China"/>
    <s v="High"/>
    <s v="High"/>
    <s v="Real Estate"/>
    <s v="FINANCIAL"/>
    <s v="#N/A Field Not Applicable"/>
    <n v="0.10096290363899911"/>
    <s v="3/2/2021"/>
    <n v="1.0054794520547945"/>
    <s v="1 - 2 yrs"/>
    <n v="1.0151612502880185E-2"/>
    <n v="0.93793090913451027"/>
    <n v="9.4696227998986391E-3"/>
    <n v="4.6355763589599919"/>
    <n v="4.6802124924089999E-2"/>
    <s v="XS1924328807"/>
    <s v="-"/>
    <n v="-2.23"/>
    <n v="5341410.661617917"/>
    <n v="8.6788300950120818E-3"/>
    <s v="0 - 1 yr"/>
    <x v="5"/>
  </r>
  <r>
    <s v="Investments"/>
    <s v="Investments Long"/>
    <s v="Avaliable for Trading"/>
    <s v="United States Dollar"/>
    <m/>
    <s v="CINDBK V4.625 02/28/29 EMTN"/>
    <s v="XS1897158892"/>
    <n v="7000000"/>
    <n v="106.17400000000001"/>
    <n v="6970460"/>
    <n v="54709397.670000002"/>
    <n v="3213297.17"/>
    <n v="7008.74"/>
    <n v="57922694.840000004"/>
    <n v="1.2E-2"/>
    <m/>
    <s v="Investments"/>
    <s v="BBG00NDMRLH2"/>
    <s v="BOND"/>
    <s v="Corp"/>
    <s v="#N/A Field Not Applicable"/>
    <n v="4.2"/>
    <n v="3.617E-3"/>
    <s v="Medium"/>
    <n v="12.5"/>
    <n v="8.6119999999999999E-3"/>
    <s v="Illiquid"/>
    <n v="7461033.6514560236"/>
    <s v=""/>
    <s v=""/>
    <s v=""/>
    <s v="Baa3"/>
    <s v=""/>
    <n v="0"/>
    <n v="12"/>
    <n v="0"/>
    <n v="12"/>
    <s v="HK"/>
    <s v="Financial"/>
    <s v="Banks"/>
    <s v="Commer Banks Non-US"/>
    <s v="N"/>
    <s v=" "/>
    <s v="ACTV"/>
    <s v="Corporate"/>
    <s v="Financial"/>
    <s v="Investment Grade"/>
    <s v="Hong Kong"/>
    <s v="Medium"/>
    <s v="Illiquid"/>
    <s v="#N/A Field Not Applicable"/>
    <s v="BANK"/>
    <s v="#N/A Field Not Applicable"/>
    <n v="0.16923341101905379"/>
    <s v="2/28/2029"/>
    <n v="9.0054794520547947"/>
    <s v="7 - 10 yrs"/>
    <n v="0.12700233379443604"/>
    <n v="3.6303336687109686"/>
    <n v="5.1197812491106068E-2"/>
    <n v="2.7601744069436687"/>
    <n v="3.8926144157880906E-2"/>
    <s v="XS1897158892"/>
    <s v="-"/>
    <n v="-4.54"/>
    <n v="7461033.6514560236"/>
    <n v="1.2122835613343512E-2"/>
    <s v="3 - 5 yrs"/>
    <x v="1"/>
  </r>
  <r>
    <s v="Investments"/>
    <s v="Investments Long"/>
    <s v="Avaliable for Trading"/>
    <s v="United States Dollar"/>
    <m/>
    <s v="CISIFG 5 08/28/20"/>
    <s v="XS2042630355"/>
    <n v="5000000"/>
    <n v="100.006"/>
    <n v="4995000"/>
    <n v="39197263.5"/>
    <n v="-227425.45"/>
    <n v="968775.35"/>
    <n v="38969838.049999997"/>
    <n v="8.0000000000000002E-3"/>
    <m/>
    <s v="Investments"/>
    <s v="BBG00Q3NXL14"/>
    <s v="BOND"/>
    <s v="Corp"/>
    <s v="#N/A Field Not Applicable"/>
    <n v="1"/>
    <n v="9.4710000000000003E-3"/>
    <s v="High"/>
    <n v="2"/>
    <n v="2.0764999999999999E-2"/>
    <s v="High"/>
    <n v="5143878.1860566949"/>
    <s v=""/>
    <s v=""/>
    <s v=""/>
    <s v=""/>
    <s v=""/>
    <n v="0"/>
    <n v="0"/>
    <n v="0"/>
    <n v="0"/>
    <s v="CN"/>
    <s v="Financial"/>
    <s v="Diversified Finan Serv"/>
    <s v="Finance-Invest Bnkr/Brkr"/>
    <s v="N"/>
    <s v=" "/>
    <s v="ACTV"/>
    <s v="Corporate"/>
    <s v="Financial"/>
    <s v="Non-Investment Grade"/>
    <s v="China"/>
    <s v="High"/>
    <s v="High"/>
    <s v="Financials"/>
    <s v="FINANCIAL"/>
    <s v="#N/A Field Not Applicable"/>
    <n v="0"/>
    <s v="8/28/2020"/>
    <n v="0.49589041095890413"/>
    <s v="0 - 1 yr"/>
    <n v="4.8215008646702367E-3"/>
    <n v="0.45691846325753016"/>
    <n v="4.4425798865922201E-3"/>
    <n v="4.5717148844406994"/>
    <n v="4.4450400292542366E-2"/>
    <s v="XS2042630355"/>
    <s v="-"/>
    <n v="-1.74"/>
    <n v="5143878.1860566949"/>
    <n v="8.3578754067755289E-3"/>
    <s v="0 - 1 yr"/>
    <x v="5"/>
  </r>
  <r>
    <s v="Investments"/>
    <s v="Investments Long"/>
    <s v="Avaliable for Trading"/>
    <s v="United States Dollar"/>
    <m/>
    <s v="CMHI 4.375 08/06/23"/>
    <s v="XS1856799421"/>
    <n v="2500000"/>
    <n v="107.419"/>
    <n v="2491500"/>
    <n v="19557527.550000001"/>
    <n v="1371721.87"/>
    <n v="54459.78"/>
    <n v="20929249.420000002"/>
    <n v="4.3E-3"/>
    <m/>
    <s v="Investments"/>
    <s v="BBG00LJTWWM9"/>
    <s v="BOND"/>
    <s v="Corp"/>
    <s v="#N/A Field Not Applicable"/>
    <n v="0.4"/>
    <n v="2.993E-3"/>
    <s v="High"/>
    <n v="1.9"/>
    <n v="8.0260000000000001E-3"/>
    <s v="High"/>
    <n v="2702588.6686501037"/>
    <s v=""/>
    <s v=""/>
    <s v="BBB"/>
    <s v="Baa1"/>
    <s v=""/>
    <n v="13"/>
    <n v="14"/>
    <n v="0"/>
    <n v="13"/>
    <s v="CN"/>
    <s v="Consumer, Non-cyclical"/>
    <s v="Commercial Services"/>
    <s v="Whsing&amp;Harbor Trans Serv"/>
    <s v="N"/>
    <s v=" "/>
    <s v="ACTV"/>
    <s v="Corporate"/>
    <s v="Non-Financial"/>
    <s v="Investment Grade"/>
    <s v="China"/>
    <s v="High"/>
    <s v="High"/>
    <s v="#N/A Field Not Applicable"/>
    <s v="SPECIAL PURPOSE"/>
    <s v="#N/A Field Not Applicable"/>
    <n v="6.6409340453137511E-2"/>
    <s v="8/6/2023"/>
    <n v="3.4356164383561643"/>
    <s v="3 - 5 yrs"/>
    <n v="1.7550540132399248E-2"/>
    <n v="3.1688815870426694"/>
    <n v="1.6187948936122718E-2"/>
    <n v="1.8912678941445429"/>
    <n v="9.6613733438717982E-3"/>
    <s v="XS1856799421"/>
    <s v="-"/>
    <n v="-3.45"/>
    <n v="2702588.6686501037"/>
    <n v="4.3912197278638985E-3"/>
    <s v="3 - 5 yrs"/>
    <x v="5"/>
  </r>
  <r>
    <s v="Investments"/>
    <s v="Investments Long"/>
    <s v="Avaliable for Trading"/>
    <s v="United States Dollar"/>
    <m/>
    <s v="CMHI 5 08/06/28"/>
    <s v="XS1856800450"/>
    <n v="10000000"/>
    <n v="119.054"/>
    <n v="10083086.67"/>
    <n v="79149947.319999993"/>
    <n v="13634787.59"/>
    <n v="248959.04"/>
    <n v="92784734.909999996"/>
    <n v="1.9199999999999998E-2"/>
    <m/>
    <s v="Investments"/>
    <s v="BBG00LLFHRL5"/>
    <s v="BOND"/>
    <s v="Corp"/>
    <s v="#N/A Field Not Applicable"/>
    <n v="2"/>
    <n v="7.4050000000000001E-3"/>
    <s v="High"/>
    <n v="5.3"/>
    <n v="1.9314999999999999E-2"/>
    <s v="Medium"/>
    <n v="11982238.443903508"/>
    <s v=""/>
    <s v=""/>
    <s v="BBB"/>
    <s v="Baa1"/>
    <s v=""/>
    <n v="13"/>
    <n v="14"/>
    <n v="0"/>
    <n v="13"/>
    <s v="CN"/>
    <s v="Consumer, Non-cyclical"/>
    <s v="Commercial Services"/>
    <s v="Whsing&amp;Harbor Trans Serv"/>
    <s v="N"/>
    <s v=" "/>
    <s v="ACTV"/>
    <s v="Corporate"/>
    <s v="Non-Financial"/>
    <s v="Investment Grade"/>
    <s v="China"/>
    <s v="High"/>
    <s v="Medium"/>
    <s v="#N/A Field Not Applicable"/>
    <s v="SPECIAL PURPOSE"/>
    <s v="#N/A Field Not Applicable"/>
    <n v="0.29443346723173947"/>
    <s v="8/6/2028"/>
    <n v="8.4410958904109581"/>
    <s v="7 - 10 yrs"/>
    <n v="0.19118008694225269"/>
    <n v="7.0069924515204214"/>
    <n v="0.15869946787444486"/>
    <n v="2.3227223889709179"/>
    <n v="5.2606708184730483E-2"/>
    <s v="XS1856800450"/>
    <s v="-"/>
    <n v="-9.3699999999999992"/>
    <n v="11982238.443903508"/>
    <n v="1.9468978927199974E-2"/>
    <s v="7 - 10 yrs"/>
    <x v="5"/>
  </r>
  <r>
    <s v="Investments"/>
    <s v="Investments Long"/>
    <s v="Avaliable for Trading"/>
    <s v="United States Dollar"/>
    <m/>
    <s v="CMPCCI 3.85 01/13/30 REGS"/>
    <s v="USP58072AS10"/>
    <n v="1500000"/>
    <n v="102.687"/>
    <n v="1497525"/>
    <n v="11643855.880000001"/>
    <n v="360511.14"/>
    <n v="57509.54"/>
    <n v="12004367.02"/>
    <n v="2.5000000000000001E-3"/>
    <m/>
    <s v="Investments"/>
    <s v="BBG00RB8Y9D9"/>
    <s v="BOND"/>
    <s v="Corp"/>
    <s v="#N/A Field Not Applicable"/>
    <n v="0.5"/>
    <n v="8.7589999999999994E-3"/>
    <s v="High"/>
    <n v="2"/>
    <n v="2.2856000000000001E-2"/>
    <s v="High"/>
    <n v="1553504.7022912558"/>
    <s v=""/>
    <s v=""/>
    <s v="BBB-"/>
    <s v="Baa3"/>
    <s v="BBB"/>
    <n v="12"/>
    <n v="12"/>
    <n v="13"/>
    <n v="12"/>
    <s v="CL"/>
    <s v="Basic Materials"/>
    <s v="Forest Products&amp;Paper"/>
    <s v="Paper&amp;Related Products"/>
    <s v="N"/>
    <s v=" "/>
    <s v="ACTV"/>
    <s v="Corporate"/>
    <s v="Non-Financial"/>
    <s v="Investment Grade"/>
    <s v="America - others (1)"/>
    <s v="High"/>
    <s v="High"/>
    <s v="#N/A Field Not Applicable"/>
    <s v="INDUSTRIAL"/>
    <s v="#N/A Field Not Applicable"/>
    <n v="3.523706125512286E-2"/>
    <s v="1/13/2030"/>
    <n v="9.8794520547945197"/>
    <s v="7 - 10 yrs"/>
    <n v="2.9010238101820324E-2"/>
    <n v="7.9662927896640596"/>
    <n v="2.3392395583803002E-2"/>
    <n v="3.3494250381373494"/>
    <n v="9.835324603190667E-3"/>
    <s v="USP58072AS10"/>
    <s v="-"/>
    <s v="-"/>
    <n v="1553504.7022912558"/>
    <n v="2.524165284626186E-3"/>
    <s v="7 - 10 yrs"/>
    <x v="8"/>
  </r>
  <r>
    <s v="Investments"/>
    <s v="Investments Long"/>
    <s v="Avaliable for Trading"/>
    <s v="United States Dollar"/>
    <m/>
    <s v="CNPFP 6 01/22/49"/>
    <s v="FR0013101599"/>
    <n v="3000000"/>
    <n v="113.5"/>
    <n v="2946990"/>
    <n v="22971787.050000001"/>
    <n v="3565080.45"/>
    <n v="144179.75"/>
    <n v="26536867.5"/>
    <n v="5.4999999999999997E-3"/>
    <m/>
    <s v="Investments"/>
    <s v="BBG00BWQ0R57"/>
    <s v="BOND"/>
    <s v="Corp"/>
    <s v="#N/A Field Not Applicable"/>
    <n v="3.5"/>
    <n v="1.917E-2"/>
    <s v="Medium"/>
    <n v="9.5"/>
    <n v="4.0721E-2"/>
    <s v="Low"/>
    <n v="3436375.1078654868"/>
    <s v=""/>
    <s v=""/>
    <s v="BBB+"/>
    <s v="A3"/>
    <s v=""/>
    <n v="14"/>
    <n v="15"/>
    <n v="0"/>
    <n v="14"/>
    <s v="FR"/>
    <s v="Financial"/>
    <s v="Insurance"/>
    <s v="Multi-line Insurance"/>
    <s v="N"/>
    <s v=" "/>
    <s v="ACTV"/>
    <s v="Corporate"/>
    <s v="Financial"/>
    <s v="Investment Grade"/>
    <s v="France"/>
    <s v="Medium"/>
    <s v="Low"/>
    <s v="Financials"/>
    <s v="FINANCIAL"/>
    <s v="#N/A Field Not Applicable"/>
    <n v="9.0935710284612947E-2"/>
    <s v="1/22/2049"/>
    <n v="28.917808219178081"/>
    <s v="10 yrs or Above"/>
    <n v="0.18783295930608407"/>
    <n v="6.9395404639394656"/>
    <n v="4.507514579551055E-2"/>
    <n v="5.1206708027048746"/>
    <n v="3.3260845469831921E-2"/>
    <s v="FR0013101599"/>
    <s v="-"/>
    <n v="-19.82"/>
    <n v="3436375.1078654868"/>
    <n v="5.5834905033981695E-3"/>
    <s v="5 - 7 yrs"/>
    <x v="2"/>
  </r>
  <r>
    <s v="Investments"/>
    <s v="Investments Long"/>
    <s v="Avaliable for Trading"/>
    <s v="United States Dollar"/>
    <m/>
    <s v="COGARD 5.125 01/14/27"/>
    <s v="XS2100725949"/>
    <n v="0"/>
    <s v="NA"/>
    <n v="0"/>
    <n v="0"/>
    <n v="0"/>
    <n v="199708.44"/>
    <n v="0"/>
    <n v="0"/>
    <m/>
    <s v="Investments"/>
    <s v="BBG00R9SN7F2"/>
    <s v="BOND"/>
    <s v="Corp"/>
    <s v="#N/A Field Not Applicable"/>
    <n v="0.1"/>
    <n v="9.757E-3"/>
    <s v="High"/>
    <n v="0.1"/>
    <n v="2.7598999999999999E-2"/>
    <s v="High"/>
    <n v="25721.370889841968"/>
    <s v=""/>
    <s v=""/>
    <s v=""/>
    <s v=""/>
    <s v="BBB-"/>
    <n v="0"/>
    <n v="0"/>
    <n v="12"/>
    <n v="12"/>
    <s v="CN"/>
    <s v="Financial"/>
    <s v="Real Estate"/>
    <s v="Real Estate Oper/Develop"/>
    <s v="N"/>
    <s v=" "/>
    <s v="ACTV"/>
    <s v="Corporate"/>
    <s v="Financial"/>
    <s v="Investment Grade"/>
    <s v="China"/>
    <s v="High"/>
    <s v="High"/>
    <s v="Real Estate"/>
    <s v="FINANCIAL"/>
    <s v="#N/A Field Not Applicable"/>
    <n v="5.8341987653743905E-4"/>
    <s v="1/14/2027"/>
    <n v="6.8794520547945206"/>
    <s v="5 - 7 yrs"/>
    <n v="3.3446742237112085E-4"/>
    <n v="5.6924614722700992"/>
    <n v="2.7675793077882915E-4"/>
    <n v="4.7442940353364449"/>
    <n v="2.3065962002944142E-4"/>
    <s v="XS2100725949"/>
    <s v="-"/>
    <s v="-"/>
    <n v="25721.370889841968"/>
    <n v="4.1792594111479755E-5"/>
    <s v="5 - 7 yrs"/>
    <x v="5"/>
  </r>
  <r>
    <s v="Investments"/>
    <s v="Investments Long"/>
    <s v="Avaliable for Trading"/>
    <s v="United States Dollar"/>
    <m/>
    <s v="COGARD 5.625 01/14/30"/>
    <s v="XS2100726160"/>
    <n v="0"/>
    <s v="NA"/>
    <n v="0"/>
    <n v="0"/>
    <n v="0"/>
    <n v="136995.12"/>
    <n v="0"/>
    <n v="0"/>
    <m/>
    <s v="Investments"/>
    <s v="BBG00R9SNB81"/>
    <s v="BOND"/>
    <s v="Corp"/>
    <s v="#N/A Field Not Applicable"/>
    <n v="0.1"/>
    <n v="1.0234999999999999E-2"/>
    <s v="High"/>
    <n v="0.1"/>
    <n v="2.8951000000000001E-2"/>
    <s v="High"/>
    <n v="17644.233221282018"/>
    <s v=""/>
    <s v=""/>
    <s v=""/>
    <s v=""/>
    <s v="BBB-"/>
    <n v="0"/>
    <n v="0"/>
    <n v="12"/>
    <n v="12"/>
    <s v="CN"/>
    <s v="Financial"/>
    <s v="Real Estate"/>
    <s v="Real Estate Oper/Develop"/>
    <s v="N"/>
    <s v=" "/>
    <s v="ACTV"/>
    <s v="Corporate"/>
    <s v="Financial"/>
    <s v="Investment Grade"/>
    <s v="China"/>
    <s v="High"/>
    <s v="High"/>
    <s v="Real Estate"/>
    <s v="FINANCIAL"/>
    <s v="#N/A Field Not Applicable"/>
    <n v="4.0021180875796553E-4"/>
    <s v="1/14/2030"/>
    <n v="9.882191780821918"/>
    <s v="7 - 10 yrs"/>
    <n v="3.2958082059131999E-4"/>
    <n v="5.6065134493165552"/>
    <n v="1.8698274069806989E-4"/>
    <n v="5.1894253837206019"/>
    <n v="1.7307244326944345E-4"/>
    <s v="XS2100726160"/>
    <s v="-"/>
    <s v="-"/>
    <n v="17644.233221282018"/>
    <n v="2.8668700458595851E-5"/>
    <s v="5 - 7 yrs"/>
    <x v="5"/>
  </r>
  <r>
    <s v="Investments"/>
    <s v="Investments Long"/>
    <s v="Avaliable for Trading"/>
    <s v="United States Dollar"/>
    <m/>
    <s v="COGARD 6.15 09/17/25"/>
    <s v="XS2051371222"/>
    <n v="4500000"/>
    <n v="105.791"/>
    <n v="4638642.3899999997"/>
    <n v="36224223.399999999"/>
    <n v="877473.66"/>
    <n v="970583.02"/>
    <n v="37101697.060000002"/>
    <n v="7.7000000000000002E-3"/>
    <m/>
    <s v="Investments"/>
    <s v="BBG00Q71YSZ5"/>
    <s v="BOND"/>
    <s v="Corp"/>
    <s v="#N/A Field Not Applicable"/>
    <n v="1.2"/>
    <n v="6.2810000000000001E-3"/>
    <s v="High"/>
    <n v="2"/>
    <n v="1.5939999999999999E-2"/>
    <s v="High"/>
    <n v="4903504.5116752321"/>
    <s v=""/>
    <s v=""/>
    <s v=""/>
    <s v=""/>
    <s v="BBB-"/>
    <n v="0"/>
    <n v="0"/>
    <n v="12"/>
    <n v="12"/>
    <s v="CN"/>
    <s v="Financial"/>
    <s v="Real Estate"/>
    <s v="Real Estate Oper/Develop"/>
    <s v="N"/>
    <s v=" "/>
    <s v="ACTV"/>
    <s v="Corporate"/>
    <s v="Financial"/>
    <s v="Investment Grade"/>
    <s v="China"/>
    <s v="High"/>
    <s v="High"/>
    <s v="Real Estate"/>
    <s v="FINANCIAL"/>
    <s v="#N/A Field Not Applicable"/>
    <n v="0.11122276526606689"/>
    <s v="9/17/2025"/>
    <n v="5.5534246575342463"/>
    <s v="5 - 7 yrs"/>
    <n v="5.1472270592309945E-2"/>
    <n v="4.5510081584169102"/>
    <n v="4.2181309343963282E-2"/>
    <n v="4.8306160772726328"/>
    <n v="4.4772873171081903E-2"/>
    <s v="XS2051371222"/>
    <s v="-"/>
    <n v="-8.31"/>
    <n v="4903504.5116752321"/>
    <n v="7.96731148809743E-3"/>
    <s v="3 - 5 yrs"/>
    <x v="5"/>
  </r>
  <r>
    <s v="Investments"/>
    <s v="Investments Long"/>
    <s v="Avaliable for Trading"/>
    <s v="United States Dollar"/>
    <m/>
    <s v="COGO 4.875 06/01/21"/>
    <s v="XS1823212904"/>
    <n v="7100000"/>
    <n v="103.14100000000001"/>
    <n v="7072830"/>
    <n v="55498498.829999998"/>
    <n v="1573387.4"/>
    <n v="659395.04"/>
    <n v="57071886.229999997"/>
    <n v="1.18E-2"/>
    <m/>
    <s v="Investments"/>
    <s v="BBG00L07ZBX8"/>
    <s v="BOND"/>
    <s v="Corp"/>
    <s v="#N/A Field Not Applicable"/>
    <n v="2"/>
    <n v="1.9499999999999999E-3"/>
    <s v="High"/>
    <n v="4.7"/>
    <n v="4.6800000000000001E-3"/>
    <s v="Medium"/>
    <n v="7435477.9271795256"/>
    <s v=""/>
    <s v=""/>
    <s v="BBB-"/>
    <s v="Baa2"/>
    <s v="BBB"/>
    <n v="12"/>
    <n v="13"/>
    <n v="13"/>
    <n v="13"/>
    <s v="CN"/>
    <s v="Financial"/>
    <s v="Real Estate"/>
    <s v="Real Estate Oper/Develop"/>
    <s v="N"/>
    <s v=" "/>
    <s v="ACTV"/>
    <s v="Corporate"/>
    <s v="Financial"/>
    <s v="Investment Grade"/>
    <s v="China"/>
    <s v="High"/>
    <s v="Medium"/>
    <s v="#N/A Field Not Applicable"/>
    <s v="SPECIAL PURPOSE"/>
    <s v="#N/A Field Not Applicable"/>
    <n v="0.18270822742126402"/>
    <s v="6/1/2021"/>
    <n v="1.2547945205479452"/>
    <s v="1 - 2 yrs"/>
    <n v="1.7635483279017684E-2"/>
    <n v="1.1785890696716663"/>
    <n v="1.656445536752206E-2"/>
    <n v="2.0012223422410891"/>
    <n v="2.8126137448207657E-2"/>
    <s v="XS1823212904"/>
    <s v="-"/>
    <n v="-1.31"/>
    <n v="7435477.9271795256"/>
    <n v="1.2081312165138254E-2"/>
    <s v="1 - 2 yrs"/>
    <x v="5"/>
  </r>
  <r>
    <s v="Investments"/>
    <s v="Investments Long"/>
    <s v="Avaliable for Trading"/>
    <s v="United States Dollar"/>
    <m/>
    <s v="CS V5.1 PERP REGS"/>
    <s v="USH3698DCV40"/>
    <n v="0"/>
    <s v="NA"/>
    <n v="0"/>
    <n v="0"/>
    <n v="0.01"/>
    <n v="193213.85"/>
    <n v="0.01"/>
    <n v="0"/>
    <m/>
    <s v="Investments"/>
    <s v="BBG00RDM6FL4"/>
    <s v="BOND"/>
    <s v="Corp"/>
    <s v="#N/A Field Not Applicable"/>
    <n v="0.1"/>
    <n v="1.2668E-2"/>
    <s v="High"/>
    <n v="0.1"/>
    <n v="3.5834999999999999E-2"/>
    <s v="High"/>
    <n v="24884.903983617325"/>
    <s v=""/>
    <s v=""/>
    <s v="BB-"/>
    <s v=""/>
    <s v="BB"/>
    <n v="9"/>
    <n v="0"/>
    <n v="10"/>
    <n v="9"/>
    <s v="CH"/>
    <s v="Financial"/>
    <s v="Banks"/>
    <s v="Diversified Banking Inst"/>
    <s v="Y"/>
    <s v="Common Equity Tier 1 Ratio"/>
    <s v="ACTV"/>
    <s v="Corporate"/>
    <s v="Financial"/>
    <s v="Non-Investment Grade"/>
    <s v="Switzerland"/>
    <s v="High"/>
    <s v="High"/>
    <s v="Financials"/>
    <s v="BANK"/>
    <s v="#N/A Field Not Applicable"/>
    <n v="4.2333516179832718E-4"/>
    <s v="7/24/2168"/>
    <n v="148.49863013698629"/>
    <s v="10 yrs or Above"/>
    <n v="6.984965735096783E-3"/>
    <n v="7.6685059554671948"/>
    <n v="3.6070535660101565E-4"/>
    <n v="4.2598705226756763"/>
    <n v="2.003725529952036E-4"/>
    <s v="USH3698DCV40"/>
    <s v="-"/>
    <s v="-"/>
    <n v="24884.903983617325"/>
    <n v="4.0433486074460722E-5"/>
    <s v="7 - 10 yrs"/>
    <x v="9"/>
  </r>
  <r>
    <s v="Investments"/>
    <s v="Investments Long"/>
    <s v="Avaliable for Trading"/>
    <s v="United States Dollar"/>
    <m/>
    <s v="DALWAN 6.875 07/23/23"/>
    <s v="XS2100658066"/>
    <n v="3500000"/>
    <n v="99.102000000000004"/>
    <n v="3500000"/>
    <n v="27190800"/>
    <n v="-158499.71"/>
    <n v="187531.09"/>
    <n v="27032300.289999999"/>
    <n v="5.5999999999999999E-3"/>
    <m/>
    <s v="Investments"/>
    <s v="BBG00RH7GJ34"/>
    <s v="BOND"/>
    <s v="Corp"/>
    <s v="#N/A Field Not Applicable"/>
    <n v="0.3"/>
    <n v="5.6389999999999999E-3"/>
    <s v="High"/>
    <n v="1.8"/>
    <n v="1.4796999999999999E-2"/>
    <s v="High"/>
    <n v="3505767.6004275978"/>
    <s v=""/>
    <s v=""/>
    <s v=""/>
    <s v="Ba3"/>
    <s v="BB+"/>
    <n v="0"/>
    <n v="9"/>
    <n v="11"/>
    <n v="9"/>
    <s v="CN"/>
    <s v="Financial"/>
    <s v="Real Estate"/>
    <s v="Real Estate Oper/Develop"/>
    <s v="N"/>
    <s v=" "/>
    <s v="ACTV"/>
    <s v="Corporate"/>
    <s v="Financial"/>
    <s v="Non-Investment Grade"/>
    <s v="China"/>
    <s v="High"/>
    <s v="High"/>
    <s v="#N/A Field Not Applicable"/>
    <s v="SPECIAL PURPOSE"/>
    <s v="#N/A Field Not Applicable"/>
    <n v="5.9639156949586762E-2"/>
    <s v="7/23/2023"/>
    <n v="3.3972602739726026"/>
    <s v="3 - 5 yrs"/>
    <n v="2.2512193186449796E-2"/>
    <n v="2.9338064711491474"/>
    <n v="1.9441082732508587E-2"/>
    <n v="7.0949243161386635"/>
    <n v="4.7015033870625916E-2"/>
    <s v="XS2100658066"/>
    <s v="-"/>
    <n v="-9.0299999999999994"/>
    <n v="3505767.6004275978"/>
    <n v="5.6962408030790277E-3"/>
    <s v="2 - 3 yrs"/>
    <x v="5"/>
  </r>
  <r>
    <s v="Investments"/>
    <s v="Investments Long"/>
    <s v="Avaliable for Trading"/>
    <s v="United States Dollar"/>
    <m/>
    <s v="DALWAN 6.95 12/05/22"/>
    <s v="XS2078814147"/>
    <n v="3000000"/>
    <n v="100.247"/>
    <n v="2966250"/>
    <n v="23217432"/>
    <n v="220817.84"/>
    <n v="379153.78"/>
    <n v="23438249.84"/>
    <n v="4.7999999999999996E-3"/>
    <m/>
    <s v="Investments"/>
    <s v="BBG00QYPDPC6"/>
    <s v="BOND"/>
    <s v="Corp"/>
    <s v="#N/A Field Not Applicable"/>
    <n v="0.5"/>
    <n v="5.5710000000000004E-3"/>
    <s v="High"/>
    <n v="2"/>
    <n v="1.3584000000000001E-2"/>
    <s v="High"/>
    <n v="3067553.2398284455"/>
    <s v=""/>
    <s v=""/>
    <s v=""/>
    <s v="Ba3"/>
    <s v="BB+"/>
    <n v="0"/>
    <n v="9"/>
    <n v="11"/>
    <n v="9"/>
    <s v="CN"/>
    <s v="Financial"/>
    <s v="Real Estate"/>
    <s v="Real Estate Oper/Develop"/>
    <s v="N"/>
    <s v=" "/>
    <s v="ACTV"/>
    <s v="Corporate"/>
    <s v="Financial"/>
    <s v="Non-Investment Grade"/>
    <s v="China"/>
    <s v="High"/>
    <s v="High"/>
    <s v="#N/A Field Not Applicable"/>
    <s v="SPECIAL PURPOSE"/>
    <s v="#N/A Field Not Applicable"/>
    <n v="5.2184374428877744E-2"/>
    <s v="12/5/2022"/>
    <n v="2.7671232876712328"/>
    <s v="2 - 3 yrs"/>
    <n v="1.6044510859411422E-2"/>
    <n v="2.4156969891770195"/>
    <n v="1.4006848465547356E-2"/>
    <n v="6.6718701020535098"/>
    <n v="3.8685263060710566E-2"/>
    <s v="XS2078814147"/>
    <s v="-"/>
    <n v="-7.04"/>
    <n v="3067553.2398284455"/>
    <n v="4.9842214093703237E-3"/>
    <s v="2 - 3 yrs"/>
    <x v="5"/>
  </r>
  <r>
    <s v="Investments"/>
    <s v="Investments Long"/>
    <s v="Avaliable for Trading"/>
    <s v="United States Dollar"/>
    <m/>
    <s v="DBSSP V3.3 PERP GMTN"/>
    <s v="XS2122408854"/>
    <n v="3800000"/>
    <n v="99.536000000000001"/>
    <n v="3800000"/>
    <n v="29568940"/>
    <n v="-91055"/>
    <n v="5429.48"/>
    <n v="29477885"/>
    <n v="6.1000000000000004E-3"/>
    <m/>
    <s v="Investments"/>
    <s v="BBG00RTNXBH9"/>
    <s v="BOND"/>
    <s v="Corp"/>
    <s v="#N/A Field Not Applicable"/>
    <n v="0.5"/>
    <n v="6.2440000000000004E-3"/>
    <s v="High"/>
    <n v="1.7"/>
    <n v="1.6587999999999999E-2"/>
    <s v="High"/>
    <n v="3797292.0263256184"/>
    <s v=""/>
    <s v=""/>
    <s v=""/>
    <s v="Baa1"/>
    <s v="BBB"/>
    <n v="0"/>
    <n v="14"/>
    <n v="13"/>
    <n v="13"/>
    <s v="SG"/>
    <s v="Financial"/>
    <s v="Banks"/>
    <s v="Commer Banks Non-US"/>
    <s v="N"/>
    <s v=" "/>
    <s v="ACTV"/>
    <s v="Corporate"/>
    <s v="Financial"/>
    <s v="Investment Grade"/>
    <s v="Singapore"/>
    <s v="High"/>
    <s v="High"/>
    <s v="Financials"/>
    <s v="BANK"/>
    <s v="#N/A Field Not Applicable"/>
    <n v="9.3308930767551743E-2"/>
    <s v="8/27/2168"/>
    <n v="148.59178082191781"/>
    <s v="10 yrs or Above"/>
    <n v="1.0665338607184272"/>
    <n v="4.538214344740001"/>
    <n v="3.2573532930896536E-2"/>
    <n v="2.6787935361087012"/>
    <n v="1.9227335430871687E-2"/>
    <s v="XS2122408854"/>
    <s v="-"/>
    <n v="-7.6"/>
    <n v="3797292.0263256184"/>
    <n v="6.1699154784031858E-3"/>
    <s v="3 - 5 yrs"/>
    <x v="10"/>
  </r>
  <r>
    <s v="Investments"/>
    <s v="Investments Long"/>
    <s v="Avaliable for Trading"/>
    <s v="United States Dollar"/>
    <m/>
    <s v="FTHDGR 11.75 04/17/22"/>
    <s v="XS1982124239"/>
    <n v="500000"/>
    <n v="104.854"/>
    <n v="510000"/>
    <n v="3980550"/>
    <n v="105348.24"/>
    <n v="167884.98"/>
    <n v="4085898.24"/>
    <n v="8.0000000000000004E-4"/>
    <m/>
    <s v="Investments"/>
    <s v="BBG00NV886P8"/>
    <s v="BOND"/>
    <s v="Corp"/>
    <s v="#N/A Field Not Applicable"/>
    <n v="0.3"/>
    <n v="5.7369999999999999E-3"/>
    <s v="High"/>
    <n v="2"/>
    <n v="1.4722000000000001E-2"/>
    <s v="High"/>
    <n v="547864.35609134124"/>
    <s v=""/>
    <s v=""/>
    <s v="B"/>
    <s v="B3"/>
    <s v=""/>
    <n v="7"/>
    <n v="6"/>
    <n v="0"/>
    <n v="6"/>
    <s v="CN"/>
    <s v="Financial"/>
    <s v="Real Estate"/>
    <s v="Real Estate Oper/Develop"/>
    <s v="N"/>
    <s v=" "/>
    <s v="ACTV"/>
    <s v="Corporate"/>
    <s v="Financial"/>
    <s v="Non-Investment Grade"/>
    <s v="China"/>
    <s v="High"/>
    <s v="High"/>
    <s v="Real Estate"/>
    <s v="FINANCIAL"/>
    <s v="#N/A Field Not Applicable"/>
    <n v="6.2134121147544652E-3"/>
    <s v="4/17/2022"/>
    <n v="2.1315068493150684"/>
    <s v="2 - 3 yrs"/>
    <n v="2.2073217467027278E-3"/>
    <n v="1.7696795052313099"/>
    <n v="1.8326246795061516E-3"/>
    <n v="8.9611199868227107"/>
    <n v="9.2798552479821019E-3"/>
    <s v="XS1982124239"/>
    <s v="-"/>
    <n v="-6.73"/>
    <n v="547864.35609134124"/>
    <n v="8.9018088345031103E-4"/>
    <s v="1 - 2 yrs"/>
    <x v="5"/>
  </r>
  <r>
    <s v="Investments"/>
    <s v="Investments Long"/>
    <s v="Avaliable for Trading"/>
    <s v="United States Dollar"/>
    <m/>
    <s v="FTHDGR 12.25 10/18/22"/>
    <s v="XS2030329358"/>
    <n v="2000000"/>
    <n v="105.732"/>
    <n v="2035000"/>
    <n v="15927741.5"/>
    <n v="552705.34"/>
    <n v="1172164.05"/>
    <n v="16480446.84"/>
    <n v="3.3999999999999998E-3"/>
    <m/>
    <s v="Investments"/>
    <s v="BBG00PQ3QH67"/>
    <s v="BOND"/>
    <s v="Corp"/>
    <s v="#N/A Field Not Applicable"/>
    <n v="0.5"/>
    <n v="7.4209999999999996E-3"/>
    <s v="High"/>
    <n v="2"/>
    <n v="1.8735999999999999E-2"/>
    <s v="High"/>
    <n v="2273561.1568331979"/>
    <s v=""/>
    <s v=""/>
    <s v=""/>
    <s v="B3"/>
    <s v="B+"/>
    <n v="0"/>
    <n v="6"/>
    <n v="8"/>
    <n v="6"/>
    <s v="CN"/>
    <s v="Financial"/>
    <s v="Real Estate"/>
    <s v="Real Estate Oper/Develop"/>
    <s v="N"/>
    <s v=" "/>
    <s v="ACTV"/>
    <s v="Corporate"/>
    <s v="Financial"/>
    <s v="Non-Investment Grade"/>
    <s v="China"/>
    <s v="High"/>
    <s v="High"/>
    <s v="Real Estate"/>
    <s v="FINANCIAL"/>
    <s v="#N/A Field Not Applicable"/>
    <n v="2.5784799245358012E-2"/>
    <s v="10/18/2022"/>
    <n v="2.6356164383561644"/>
    <s v="2 - 3 yrs"/>
    <n v="1.13264734584632E-2"/>
    <n v="2.0666986285285982"/>
    <n v="8.8815682062111049E-3"/>
    <n v="9.422421384034589"/>
    <n v="4.0492540632083379E-2"/>
    <s v="XS2030329358"/>
    <s v="-"/>
    <n v="-7.65"/>
    <n v="2273561.1568331979"/>
    <n v="3.6941273084585579E-3"/>
    <s v="2 - 3 yrs"/>
    <x v="5"/>
  </r>
  <r>
    <s v="Investments"/>
    <s v="Investments Long"/>
    <s v="Avaliable for Trading"/>
    <s v="United States Dollar"/>
    <m/>
    <s v="FTHDGR 15 12/18/21"/>
    <s v="XS1924249680"/>
    <n v="1100000"/>
    <n v="110.248"/>
    <n v="1193500"/>
    <n v="9341405.1500000004"/>
    <n v="109990.52"/>
    <n v="253613.48"/>
    <n v="9451395.6699999999"/>
    <n v="2E-3"/>
    <m/>
    <s v="Investments"/>
    <s v="BBG00MSJ57C5"/>
    <s v="BOND"/>
    <s v="Corp"/>
    <s v="#N/A Field Not Applicable"/>
    <n v="0.4"/>
    <n v="4.2770000000000004E-3"/>
    <s v="High"/>
    <n v="2"/>
    <n v="1.0189E-2"/>
    <s v="High"/>
    <n v="1249952.8804914802"/>
    <s v=""/>
    <s v=""/>
    <s v=""/>
    <s v="B3"/>
    <s v=""/>
    <n v="0"/>
    <n v="6"/>
    <n v="0"/>
    <n v="6"/>
    <s v="CN"/>
    <s v="Financial"/>
    <s v="Real Estate"/>
    <s v="Real Estate Oper/Develop"/>
    <s v="N"/>
    <s v=" "/>
    <s v="ACTV"/>
    <s v="Corporate"/>
    <s v="Financial"/>
    <s v="Non-Investment Grade"/>
    <s v="China"/>
    <s v="High"/>
    <s v="High"/>
    <s v="Real Estate"/>
    <s v="FINANCIAL"/>
    <s v="#N/A Field Not Applicable"/>
    <n v="1.4175903732680793E-2"/>
    <s v="12/18/2021"/>
    <n v="1.8027397260273972"/>
    <s v="1 - 2 yrs"/>
    <n v="4.2592441352072886E-3"/>
    <n v="1.5175513036819355"/>
    <n v="3.5854435317332254E-3"/>
    <n v="8.7346317377568461"/>
    <n v="2.0636883109143234E-2"/>
    <s v="XS1924249680"/>
    <s v="-"/>
    <n v="-5.73"/>
    <n v="1249952.8804914802"/>
    <n v="2.0309482576407246E-3"/>
    <s v="1 - 2 yrs"/>
    <x v="5"/>
  </r>
  <r>
    <s v="Investments"/>
    <s v="Investments Long"/>
    <s v="Avaliable for Trading"/>
    <s v="United States Dollar"/>
    <m/>
    <s v="FTHDGR 8.375 03/08/21"/>
    <s v="XS1784286327"/>
    <n v="3000000"/>
    <n v="101.173"/>
    <n v="3007750"/>
    <n v="23498659.75"/>
    <n v="156093.51"/>
    <n v="930105.51"/>
    <n v="23654753.260000002"/>
    <n v="4.8999999999999998E-3"/>
    <m/>
    <s v="Investments"/>
    <s v="BBG00K7D75S0"/>
    <s v="BOND"/>
    <s v="Corp"/>
    <s v="#N/A Field Not Applicable"/>
    <n v="0.5"/>
    <n v="4.4510000000000001E-3"/>
    <s v="High"/>
    <n v="2"/>
    <n v="1.0123999999999999E-2"/>
    <s v="High"/>
    <n v="3166397.3275118172"/>
    <s v=""/>
    <s v=""/>
    <s v="B"/>
    <s v="B3"/>
    <s v=""/>
    <n v="7"/>
    <n v="6"/>
    <n v="0"/>
    <n v="6"/>
    <s v="CN"/>
    <s v="Financial"/>
    <s v="Real Estate"/>
    <s v="Real Estate Oper/Develop"/>
    <s v="N"/>
    <s v=" "/>
    <s v="ACTV"/>
    <s v="Corporate"/>
    <s v="Financial"/>
    <s v="Non-Investment Grade"/>
    <s v="China"/>
    <s v="High"/>
    <s v="High"/>
    <s v="Real Estate"/>
    <s v="FINANCIAL"/>
    <s v="#N/A Field Not Applicable"/>
    <n v="3.5910588626809604E-2"/>
    <s v="3/8/2021"/>
    <n v="1.021917808219178"/>
    <s v="1 - 2 yrs"/>
    <n v="6.1162783368949687E-3"/>
    <n v="0.94009613451893981"/>
    <n v="5.6265675927272525E-3"/>
    <n v="4.5"/>
    <n v="2.6932941470107205E-2"/>
    <s v="XS1784286327"/>
    <s v="-"/>
    <n v="-3.14"/>
    <n v="3166397.3275118172"/>
    <n v="5.1448252455562902E-3"/>
    <s v="0 - 1 yr"/>
    <x v="5"/>
  </r>
  <r>
    <s v="Investments"/>
    <s v="Investments Long"/>
    <s v="Avaliable for Trading"/>
    <s v="United States Dollar"/>
    <m/>
    <s v="GRNCH V8.125 PERP"/>
    <s v="XS1940394502"/>
    <n v="8900000"/>
    <n v="105.572"/>
    <n v="9280169.7400000002"/>
    <n v="72756364.530000001"/>
    <n v="470644.47"/>
    <n v="328747.7"/>
    <n v="73227009"/>
    <n v="1.5100000000000001E-2"/>
    <m/>
    <s v="Investments"/>
    <s v="BBG00N6M20C8"/>
    <s v="BOND"/>
    <s v="Corp"/>
    <s v="#N/A Field Not Applicable"/>
    <n v="2"/>
    <n v="4.666E-3"/>
    <s v="High"/>
    <n v="5.2"/>
    <n v="1.0123999999999999E-2"/>
    <s v="Medium"/>
    <n v="9473585.0881599113"/>
    <s v=""/>
    <s v=""/>
    <s v=""/>
    <s v="Ba3"/>
    <s v=""/>
    <n v="0"/>
    <n v="9"/>
    <n v="0"/>
    <n v="9"/>
    <s v="CN"/>
    <s v="Financial"/>
    <s v="Real Estate"/>
    <s v="Real Estate Oper/Develop"/>
    <s v="N"/>
    <s v=" "/>
    <s v="ACTV"/>
    <s v="Corporate"/>
    <s v="Financial"/>
    <s v="Non-Investment Grade"/>
    <s v="China"/>
    <s v="High"/>
    <s v="Medium"/>
    <s v="#N/A Field Not Applicable"/>
    <s v="SPECIAL PURPOSE"/>
    <s v="#N/A Field Not Applicable"/>
    <n v="0.16116203135630588"/>
    <s v="8/8/2168"/>
    <n v="148.53972602739725"/>
    <s v="10 yrs or Above"/>
    <n v="2.6598848870760534"/>
    <n v="1.7563197892444988"/>
    <n v="3.1450229438435826E-2"/>
    <n v="6"/>
    <n v="0.10744135423753724"/>
    <s v="XS1940394502"/>
    <s v="-"/>
    <n v="-3.69"/>
    <n v="9473585.0881599113"/>
    <n v="1.5392869146270723E-2"/>
    <s v="1 - 2 yrs"/>
    <x v="5"/>
  </r>
  <r>
    <s v="Investments"/>
    <s v="Investments Long"/>
    <s v="Avaliable for Trading"/>
    <s v="United States Dollar"/>
    <m/>
    <s v="GRWALL 4.375 05/25/23 EMTN"/>
    <s v="XS1819966687"/>
    <n v="8000000"/>
    <n v="107.185"/>
    <n v="7964160"/>
    <n v="62517063.170000002"/>
    <n v="4310640.63"/>
    <n v="712239.31"/>
    <n v="66827703.799999997"/>
    <n v="1.38E-2"/>
    <m/>
    <s v="Investments"/>
    <s v="BBG00KVGG4W4"/>
    <s v="BOND"/>
    <s v="Corp"/>
    <s v="#N/A Field Not Applicable"/>
    <n v="7.5"/>
    <n v="3.8579999999999999E-3"/>
    <s v="Low"/>
    <n v="17.7"/>
    <n v="9.3810000000000004E-3"/>
    <s v="Illiquid"/>
    <n v="8698780.7155828588"/>
    <s v=""/>
    <s v=""/>
    <s v="BBB+"/>
    <s v="Baa1"/>
    <s v="A"/>
    <n v="14"/>
    <n v="14"/>
    <n v="16"/>
    <n v="14"/>
    <s v="CN"/>
    <s v="Financial"/>
    <s v="Diversified Finan Serv"/>
    <s v="Invest Mgmnt/Advis Serv"/>
    <s v="N"/>
    <s v=" "/>
    <s v="ACTV"/>
    <s v="Corporate"/>
    <s v="Financial"/>
    <s v="Investment Grade"/>
    <s v="China"/>
    <s v="Low"/>
    <s v="Illiquid"/>
    <s v="#N/A Field Not Applicable"/>
    <s v="SPECIAL PURPOSE"/>
    <s v="#N/A Field Not Applicable"/>
    <n v="0.23019308956436105"/>
    <s v="5/25/2023"/>
    <n v="3.2356164383561645"/>
    <s v="3 - 5 yrs"/>
    <n v="5.3201181756459964E-2"/>
    <n v="2.9754517096415154"/>
    <n v="4.8923458706567183E-2"/>
    <n v="1.7874423424646197"/>
    <n v="2.9389776802149253E-2"/>
    <s v="XS1819966687"/>
    <s v="-"/>
    <n v="-2.4700000000000002"/>
    <n v="8698780.7155828588"/>
    <n v="1.4133951618212348E-2"/>
    <s v="2 - 3 yrs"/>
    <x v="5"/>
  </r>
  <r>
    <s v="Investments"/>
    <s v="Investments Long"/>
    <s v="Avaliable for Trading"/>
    <s v="United States Dollar"/>
    <m/>
    <s v="HONGQI 7.125 07/22/22"/>
    <s v="XS2024786035"/>
    <n v="7450000"/>
    <n v="91"/>
    <n v="7161337.5"/>
    <n v="56088377.890000001"/>
    <n v="-3252344.64"/>
    <n v="425180.08"/>
    <n v="52836033.25"/>
    <n v="1.09E-2"/>
    <m/>
    <s v="Investments"/>
    <s v="BBG00PQ3PWZ3"/>
    <s v="BOND"/>
    <s v="Corp"/>
    <s v="#N/A Field Not Applicable"/>
    <n v="4"/>
    <n v="1.4357999999999999E-2"/>
    <s v="Medium"/>
    <n v="6.7"/>
    <n v="4.4290999999999997E-2"/>
    <s v="Medium"/>
    <n v="6859757.2646600464"/>
    <s v=""/>
    <s v=""/>
    <s v=""/>
    <s v="B2"/>
    <s v="BB-"/>
    <n v="0"/>
    <n v="7"/>
    <n v="9"/>
    <n v="7"/>
    <s v="CN"/>
    <s v="Basic Materials"/>
    <s v="Mining"/>
    <s v="Diversified Minerals"/>
    <s v="N"/>
    <s v=" "/>
    <s v="ACTV"/>
    <s v="Corporate"/>
    <s v="Non-Financial"/>
    <s v="Non-Investment Grade"/>
    <s v="China"/>
    <s v="Medium"/>
    <s v="Medium"/>
    <s v="Materials"/>
    <s v="INDUSTRIAL"/>
    <s v="#N/A Field Not Applicable"/>
    <n v="9.0763796102190944E-2"/>
    <s v="7/22/2022"/>
    <n v="2.3945205479452056"/>
    <s v="2 - 3 yrs"/>
    <n v="3.1047967825172169E-2"/>
    <n v="2.0739069705580135"/>
    <n v="2.6890809915805721E-2"/>
    <n v="11.315223678255267"/>
    <n v="0.14671609354054915"/>
    <s v="XS2024786035"/>
    <s v="-"/>
    <n v="-14.6"/>
    <n v="6859757.2646600464"/>
    <n v="1.1145869801925373E-2"/>
    <s v="2 - 3 yrs"/>
    <x v="5"/>
  </r>
  <r>
    <s v="Investments"/>
    <s v="Investments Long"/>
    <s v="Avaliable for Trading"/>
    <s v="United States Dollar"/>
    <m/>
    <s v="HONGSL 9.875 08/27/22"/>
    <s v="XS2125118971"/>
    <n v="3000000"/>
    <n v="97.738"/>
    <n v="2935830"/>
    <n v="22879216.77"/>
    <n v="-27583.68"/>
    <n v="12826.8"/>
    <n v="22851633.09"/>
    <n v="4.7000000000000002E-3"/>
    <m/>
    <s v="Investments"/>
    <s v="BBG00RYDWX24"/>
    <s v="BOND"/>
    <s v="Corp"/>
    <s v="#N/A Field Not Applicable"/>
    <s v="N.A."/>
    <s v="N.A."/>
    <s v="Not Covered"/>
    <s v="N.A."/>
    <s v="N.A."/>
    <s v="Not Covered"/>
    <n v="2944819.2225957266"/>
    <n v="1.090909090909091E-2"/>
    <n v="1.7713894592744694"/>
    <s v=""/>
    <s v=""/>
    <s v="B+"/>
    <n v="0"/>
    <n v="0"/>
    <n v="8"/>
    <n v="8"/>
    <s v="CN"/>
    <s v="Financial"/>
    <s v="Real Estate"/>
    <s v="Real Estate Oper/Develop"/>
    <s v="N"/>
    <s v=" "/>
    <s v="ACTV"/>
    <s v="Corporate"/>
    <s v="Financial"/>
    <s v="Non-Investment Grade"/>
    <s v="China"/>
    <s v="Medium"/>
    <s v="Medium"/>
    <s v="#N/A Field Not Applicable"/>
    <s v="SPECIAL PURPOSE"/>
    <s v="#N/A Field Not Applicable"/>
    <n v="4.4530183989283004E-2"/>
    <s v="8/27/2022"/>
    <n v="2.493150684931507"/>
    <s v="2 - 3 yrs"/>
    <n v="1.3877557339125867E-2"/>
    <n v="2.1202587003549049"/>
    <n v="1.1801938753960246E-2"/>
    <n v="10.957408201184149"/>
    <n v="6.0991925405551081E-2"/>
    <s v="XS2125118971"/>
    <s v="-"/>
    <n v="-10.02"/>
    <n v="2944819.2225957266"/>
    <n v="4.7848007413256004E-3"/>
    <s v="2 - 3 yrs"/>
    <x v="5"/>
  </r>
  <r>
    <s v="Investments"/>
    <s v="Investments Long"/>
    <s v="Avaliable for Trading"/>
    <s v="United States Dollar"/>
    <m/>
    <s v="HONHUA 6.375 08/01/22"/>
    <s v="XS2034868047"/>
    <n v="5000000"/>
    <n v="101.178"/>
    <n v="5022160.71"/>
    <n v="39354455.350000001"/>
    <n v="72081.789999999994"/>
    <n v="193213.86"/>
    <n v="39426537.140000001"/>
    <n v="8.0999999999999996E-3"/>
    <m/>
    <s v="Investments"/>
    <s v="BBG00PV1L0V9"/>
    <s v="BOND"/>
    <s v="Corp"/>
    <s v="#N/A Field Not Applicable"/>
    <n v="3.3"/>
    <n v="6.9909999999999998E-3"/>
    <s v="Medium"/>
    <n v="10.4"/>
    <n v="1.4893E-2"/>
    <s v="Illiquid"/>
    <n v="5102810.4272117252"/>
    <s v=""/>
    <s v=""/>
    <s v=""/>
    <s v="B1"/>
    <s v="B"/>
    <n v="0"/>
    <n v="8"/>
    <n v="7"/>
    <n v="7"/>
    <s v="CN"/>
    <s v="Energy"/>
    <s v="Oil&amp;Gas Services"/>
    <s v="Oil-Field Services"/>
    <s v="N"/>
    <s v=" "/>
    <s v="ACTV"/>
    <s v="Corporate"/>
    <s v="Non-Financial"/>
    <s v="Non-Investment Grade"/>
    <s v="China"/>
    <s v="Medium"/>
    <s v="Illiquid"/>
    <s v="Energy"/>
    <s v="INDUSTRIAL"/>
    <s v="#N/A Field Not Applicable"/>
    <n v="6.7517031185582568E-2"/>
    <s v="8/1/2022"/>
    <n v="2.4219178082191779"/>
    <s v="2 - 3 yrs"/>
    <n v="2.3360100026636001E-2"/>
    <n v="2.1773144968819556"/>
    <n v="2.1000830112400001E-2"/>
    <n v="6.0016212453077875"/>
    <n v="5.7887378397642963E-2"/>
    <s v="XS2034868047"/>
    <s v="-"/>
    <n v="-7.4"/>
    <n v="5102810.4272117252"/>
    <n v="8.2911476968168911E-3"/>
    <s v="2 - 3 yrs"/>
    <x v="5"/>
  </r>
  <r>
    <s v="Investments"/>
    <s v="Investments Long"/>
    <s v="Avaliable for Trading"/>
    <s v="United States Dollar"/>
    <m/>
    <s v="HPDLF 7.5 06/27/22"/>
    <s v="XS1813551584"/>
    <n v="5000000"/>
    <n v="101.232"/>
    <n v="4996875"/>
    <n v="39069362.060000002"/>
    <n v="378217.54"/>
    <n v="503330.2"/>
    <n v="39447579.600000001"/>
    <n v="8.0999999999999996E-3"/>
    <m/>
    <s v="Investments"/>
    <s v="BBG00PGHK257"/>
    <s v="BOND"/>
    <s v="Corp"/>
    <s v="#N/A Field Not Applicable"/>
    <n v="0.8"/>
    <n v="6.594E-3"/>
    <s v="High"/>
    <n v="2"/>
    <n v="1.4958000000000001E-2"/>
    <s v="High"/>
    <n v="5145461.8961142665"/>
    <s v=""/>
    <s v=""/>
    <s v=""/>
    <s v=""/>
    <s v="B+"/>
    <n v="0"/>
    <n v="0"/>
    <n v="8"/>
    <n v="8"/>
    <s v="CN"/>
    <s v="Financial"/>
    <s v="Real Estate"/>
    <s v="Real Estate Oper/Develop"/>
    <s v="N"/>
    <s v=" "/>
    <s v="ACTV"/>
    <s v="Corporate"/>
    <s v="Financial"/>
    <s v="Non-Investment Grade"/>
    <s v="China"/>
    <s v="High"/>
    <s v="High"/>
    <s v="Real Estate"/>
    <s v="FINANCIAL"/>
    <s v="#N/A Field Not Applicable"/>
    <n v="7.7807276991980118E-2"/>
    <s v="6/27/2022"/>
    <n v="2.3260273972602739"/>
    <s v="2 - 3 yrs"/>
    <n v="2.2622732248695588E-2"/>
    <n v="2.0539643104033356"/>
    <n v="1.9976671253899222E-2"/>
    <n v="6.8552263076085245"/>
    <n v="6.6673311519850689E-2"/>
    <s v="XS1813551584"/>
    <s v="-"/>
    <n v="-4.3"/>
    <n v="5145461.8961142665"/>
    <n v="8.3604486503211332E-3"/>
    <s v="2 - 3 yrs"/>
    <x v="5"/>
  </r>
  <r>
    <s v="Investments"/>
    <s v="Investments Long"/>
    <s v="Avaliable for Trading"/>
    <s v="United States Dollar"/>
    <m/>
    <s v="HYSAN V4.1 PERP"/>
    <s v="XS2123115029"/>
    <n v="18000000"/>
    <n v="99.701999999999998"/>
    <n v="18000000"/>
    <n v="140239800.02000001"/>
    <n v="-374843.41"/>
    <n v="0"/>
    <n v="139864956.61000001"/>
    <n v="2.8899999999999999E-2"/>
    <m/>
    <s v="Investments"/>
    <s v="BBG00RYDYKF6"/>
    <s v="BOND"/>
    <s v="Corp"/>
    <s v="#N/A Field Not Applicable"/>
    <s v="N.A."/>
    <s v="N.A."/>
    <s v="Not Covered"/>
    <s v="N.A."/>
    <s v="N.A."/>
    <s v="Not Covered"/>
    <n v="18013852.711770542"/>
    <n v="2.1176470588235293E-2"/>
    <n v="7.0143737166324431"/>
    <s v=""/>
    <s v="Baa2"/>
    <s v="BBB"/>
    <n v="0"/>
    <n v="13"/>
    <n v="13"/>
    <n v="13"/>
    <s v="HK"/>
    <s v="Financial"/>
    <s v="Real Estate"/>
    <s v="Real Estate Oper/Develop"/>
    <s v="N"/>
    <s v=" "/>
    <s v="ACTV"/>
    <s v="Corporate"/>
    <s v="Financial"/>
    <s v="Investment Grade"/>
    <s v="Hong Kong"/>
    <s v="Medium"/>
    <s v="Medium"/>
    <s v="#N/A Field Not Applicable"/>
    <s v="SPECIAL PURPOSE"/>
    <s v="#N/A Field Not Applicable"/>
    <n v="0.44264526506957103"/>
    <s v="9/3/2168"/>
    <n v="148.61095890410959"/>
    <s v="10 yrs or Above"/>
    <n v="5.060149022796363"/>
    <n v="4.8703163743099447"/>
    <n v="0.16583249865223829"/>
    <n v="3.609345268055113"/>
    <n v="0.12289689176198902"/>
    <s v="XS2123115029"/>
    <s v="-"/>
    <n v="-10.36"/>
    <n v="18013852.711770542"/>
    <n v="2.9269265545419407E-2"/>
    <s v="3 - 5 yrs"/>
    <x v="1"/>
  </r>
  <r>
    <s v="Investments"/>
    <s v="Investments Long"/>
    <s v="Avaliable for Trading"/>
    <s v="United States Dollar"/>
    <m/>
    <s v="ICBCAS 1.77 05/20/20 FXCD"/>
    <s v="XS2122176113"/>
    <n v="5000000"/>
    <n v="99.955200000000005"/>
    <n v="4997512.25"/>
    <n v="38832669.189999998"/>
    <n v="117381.24"/>
    <n v="0"/>
    <n v="38950050.43"/>
    <n v="8.0000000000000002E-3"/>
    <m/>
    <s v="Investments"/>
    <s v="BBG00RPXTZN6"/>
    <s v="BOND"/>
    <s v="Corp"/>
    <s v="#N/A Field Not Applicable"/>
    <n v="0.4"/>
    <n v="3.1199999999999999E-4"/>
    <s v="High"/>
    <n v="2"/>
    <n v="7.7499999999999997E-4"/>
    <s v="High"/>
    <n v="5016556.6026557442"/>
    <s v=""/>
    <s v=""/>
    <s v=""/>
    <s v=""/>
    <s v=""/>
    <n v="0"/>
    <n v="0"/>
    <n v="0"/>
    <n v="0"/>
    <s v="MO"/>
    <s v="Financial"/>
    <s v="Banks"/>
    <s v="Commer Banks Non-US"/>
    <s v="N"/>
    <s v=" "/>
    <s v="ACTV"/>
    <s v="Corporate"/>
    <s v="Financial"/>
    <s v="Non-Investment Grade"/>
    <s v="Macau"/>
    <s v="High"/>
    <s v="High"/>
    <s v="#N/A Field Not Applicable"/>
    <s v="BANK"/>
    <s v="#N/A Field Not Applicable"/>
    <n v="0"/>
    <s v="5/20/2020"/>
    <n v="0.22191780821917809"/>
    <s v="0 - 1 yr"/>
    <n v="2.1042810028697361E-3"/>
    <n v="0.1967449200090258"/>
    <n v="1.8655852854189306E-3"/>
    <n v="1.2300822223026646"/>
    <n v="1.166395195198937E-2"/>
    <s v="XS2122176113"/>
    <s v="-"/>
    <n v="-0.9"/>
    <n v="5016556.6026557442"/>
    <n v="8.1510007701359917E-3"/>
    <s v="0 - 1 yr"/>
    <x v="11"/>
  </r>
  <r>
    <s v="Investments"/>
    <s v="Investments Long"/>
    <s v="Avaliable for Trading"/>
    <s v="United States Dollar"/>
    <m/>
    <s v="IDASAL 6.53 11/15/28 REGS"/>
    <s v="USY7140WAC20"/>
    <n v="1500000"/>
    <n v="123.018"/>
    <n v="1880625"/>
    <n v="14645555.25"/>
    <n v="-264443.51"/>
    <n v="220530.07"/>
    <n v="14381111.74"/>
    <n v="3.0000000000000001E-3"/>
    <m/>
    <s v="Investments"/>
    <s v="BBG00MH6RJX2"/>
    <s v="BOND"/>
    <s v="Corp"/>
    <s v="#N/A Field Not Applicable"/>
    <n v="0.6"/>
    <n v="7.4009999999999996E-3"/>
    <s v="High"/>
    <n v="2"/>
    <n v="1.8658999999999999E-2"/>
    <s v="High"/>
    <n v="1880612.7802892728"/>
    <s v=""/>
    <s v=""/>
    <s v=""/>
    <s v="Baa2"/>
    <s v="BBB-"/>
    <n v="0"/>
    <n v="13"/>
    <n v="12"/>
    <n v="12"/>
    <s v="ID"/>
    <s v="Basic Materials"/>
    <s v="Mining"/>
    <s v="Metal-Aluminum"/>
    <s v="N"/>
    <s v=" "/>
    <s v="ACTV"/>
    <s v="Corporate"/>
    <s v="Non-Financial"/>
    <s v="Investment Grade"/>
    <s v="Asia - others (1)"/>
    <s v="High"/>
    <s v="High"/>
    <s v="#N/A Field Not Applicable"/>
    <s v="INDUSTRIAL"/>
    <s v="#N/A Field Not Applicable"/>
    <n v="4.2656625138297148E-2"/>
    <s v="11/15/2028"/>
    <n v="8.7178082191780817"/>
    <s v="7 - 10 yrs"/>
    <n v="3.0989356436087107E-2"/>
    <n v="6.7741857340322724"/>
    <n v="2.4080325122817915E-2"/>
    <n v="3.1955646942125808"/>
    <n v="1.1359333772183603E-2"/>
    <s v="USY7140WAC20"/>
    <s v="-"/>
    <n v="-13.88"/>
    <n v="1880612.7802892728"/>
    <n v="3.055656984384549E-3"/>
    <s v="5 - 7 yrs"/>
    <x v="7"/>
  </r>
  <r>
    <s v="Investments"/>
    <s v="Investments Long"/>
    <s v="Avaliable for Trading"/>
    <s v="United States Dollar"/>
    <m/>
    <s v="IDASAL 6.757 11/15/48 REGS"/>
    <s v="USY7140WAD03"/>
    <n v="4200000"/>
    <n v="132.04"/>
    <n v="5338500"/>
    <n v="41732582.700000003"/>
    <n v="1487674.38"/>
    <n v="638949.57999999996"/>
    <n v="43220257.079999998"/>
    <n v="8.8999999999999999E-3"/>
    <m/>
    <s v="Investments"/>
    <s v="BBG00MH6RLL0"/>
    <s v="BOND"/>
    <s v="Corp"/>
    <s v="#N/A Field Not Applicable"/>
    <n v="0.6"/>
    <n v="9.2119999999999997E-3"/>
    <s v="High"/>
    <n v="2"/>
    <n v="2.3321999999999999E-2"/>
    <s v="High"/>
    <n v="5648829.4707829421"/>
    <s v=""/>
    <s v=""/>
    <s v=""/>
    <s v="Baa2"/>
    <s v="BBB-"/>
    <n v="0"/>
    <n v="13"/>
    <n v="12"/>
    <n v="12"/>
    <s v="ID"/>
    <s v="Basic Materials"/>
    <s v="Mining"/>
    <s v="Metal-Aluminum"/>
    <s v="N"/>
    <s v=" "/>
    <s v="ACTV"/>
    <s v="Corporate"/>
    <s v="Non-Financial"/>
    <s v="Investment Grade"/>
    <s v="Asia - others (1)"/>
    <s v="High"/>
    <s v="High"/>
    <s v="#N/A Field Not Applicable"/>
    <s v="INDUSTRIAL"/>
    <s v="#N/A Field Not Applicable"/>
    <n v="0.12812845032792416"/>
    <s v="11/15/2048"/>
    <n v="28.731506849315068"/>
    <s v="10 yrs or Above"/>
    <n v="0.30677695401573984"/>
    <n v="14.552894241406797"/>
    <n v="0.15538664891146869"/>
    <n v="4.5029734330771909"/>
    <n v="4.8079917320666084E-2"/>
    <s v="USY7140WAD03"/>
    <s v="-"/>
    <n v="-32.92"/>
    <n v="5648829.4707829421"/>
    <n v="9.1783302798464084E-3"/>
    <s v="10 yrs or Above"/>
    <x v="7"/>
  </r>
  <r>
    <s v="Investments"/>
    <s v="Investments Long"/>
    <s v="Avaliable for Trading"/>
    <s v="United States Dollar"/>
    <m/>
    <s v="INRCIN 3.95 02/13/50 REGS"/>
    <s v="US45434M2B74"/>
    <n v="6500000"/>
    <n v="105.15600000000001"/>
    <n v="6718500"/>
    <n v="52243398.600000001"/>
    <n v="1026264.99"/>
    <n v="88932.479999999996"/>
    <n v="53269663.590000004"/>
    <n v="1.0999999999999999E-2"/>
    <m/>
    <s v="Investments"/>
    <s v="BBG00RP1J5C5"/>
    <s v="BOND"/>
    <s v="Corp"/>
    <s v="#N/A Field Not Applicable"/>
    <n v="0.5"/>
    <n v="1.5134E-2"/>
    <s v="High"/>
    <n v="1.9"/>
    <n v="3.8148000000000001E-2"/>
    <s v="High"/>
    <n v="6872299.6367991958"/>
    <s v=""/>
    <s v=""/>
    <s v="BBB-"/>
    <s v="Baa2"/>
    <s v="BBB-e"/>
    <n v="12"/>
    <n v="13"/>
    <n v="12"/>
    <n v="12"/>
    <s v="IN"/>
    <s v="Industrial"/>
    <s v="Transportation"/>
    <s v="Transport-Rail"/>
    <s v="N"/>
    <s v=" "/>
    <s v="ACTV"/>
    <s v="Corporate"/>
    <s v="Non-Financial"/>
    <s v="Investment Grade"/>
    <s v="India"/>
    <s v="High"/>
    <s v="High"/>
    <s v="#N/A Field Not Applicable"/>
    <s v="FINANCIAL"/>
    <s v="#N/A Field Not Applicable"/>
    <n v="0.15587956889238372"/>
    <s v="2/13/2050"/>
    <n v="29.978082191780821"/>
    <s v="10 yrs or Above"/>
    <n v="0.3894142106896033"/>
    <n v="17.840315039332111"/>
    <n v="0.23174505143628324"/>
    <n v="3.589998757378364"/>
    <n v="4.6633954885361047E-2"/>
    <s v="US45434M2B74"/>
    <s v="-"/>
    <n v="-26.3"/>
    <n v="6872299.6367991958"/>
    <n v="1.1166248897201884E-2"/>
    <s v="10 yrs or Above"/>
    <x v="4"/>
  </r>
  <r>
    <s v="Investments"/>
    <s v="Investments Long"/>
    <s v="Avaliable for Trading"/>
    <s v="United States Dollar"/>
    <m/>
    <s v="JD 4.125 01/14/50"/>
    <s v="US47215PAF36"/>
    <n v="4500000"/>
    <n v="108.999"/>
    <n v="4512945.2"/>
    <n v="35095170.359999999"/>
    <n v="3131596.43"/>
    <n v="180833.55"/>
    <n v="38226766.789999999"/>
    <n v="7.9000000000000008E-3"/>
    <m/>
    <s v="Investments"/>
    <s v="BBG00R9YC5G4"/>
    <s v="BOND"/>
    <s v="Corp"/>
    <s v="#N/A Field Not Applicable"/>
    <n v="0.5"/>
    <n v="1.8520999999999999E-2"/>
    <s v="High"/>
    <n v="2"/>
    <n v="4.8254999999999999E-2"/>
    <s v="High"/>
    <n v="4946691.9542006357"/>
    <s v=""/>
    <s v=""/>
    <s v="BBB"/>
    <s v="Baa2"/>
    <s v=""/>
    <n v="13"/>
    <n v="13"/>
    <n v="0"/>
    <n v="13"/>
    <s v="CN"/>
    <s v="Communications"/>
    <s v="Internet"/>
    <s v="E-Commerce/Products"/>
    <s v="N"/>
    <s v=" "/>
    <s v="ACTV"/>
    <s v="Corporate"/>
    <s v="Non-Financial"/>
    <s v="Investment Grade"/>
    <s v="China"/>
    <s v="High"/>
    <s v="High"/>
    <s v="Consumer Discretionary"/>
    <s v="INDUSTRIAL"/>
    <s v="#N/A Field Not Applicable"/>
    <n v="0.12155255215636993"/>
    <s v="1/14/2050"/>
    <n v="29.895890410958906"/>
    <s v="10 yrs or Above"/>
    <n v="0.27953244449532327"/>
    <n v="17.468273893863184"/>
    <n v="0.16333179027427383"/>
    <n v="3.7020359518573462"/>
    <n v="3.4614762932530511E-2"/>
    <s v="US47215PAF36"/>
    <s v="-"/>
    <n v="-23.81"/>
    <n v="4946691.9542006357"/>
    <n v="8.037483302185686E-3"/>
    <s v="10 yrs or Above"/>
    <x v="5"/>
  </r>
  <r>
    <s v="Investments"/>
    <s v="Investments Long"/>
    <s v="Avaliable for Trading"/>
    <s v="United States Dollar"/>
    <m/>
    <s v="JFCPM V3.9 PERP"/>
    <s v="XS2099563228"/>
    <n v="8000000"/>
    <n v="98.82"/>
    <n v="8000000"/>
    <n v="62180800"/>
    <n v="-568506.48"/>
    <n v="243157.21"/>
    <n v="61612293.520000003"/>
    <n v="1.2699999999999999E-2"/>
    <m/>
    <s v="Investments"/>
    <s v="BBG00RDLNDQ7"/>
    <s v="BOND"/>
    <s v="Corp"/>
    <s v="#N/A Field Not Applicable"/>
    <n v="0.6"/>
    <n v="4.398E-3"/>
    <s v="High"/>
    <n v="2"/>
    <n v="9.9249999999999998E-3"/>
    <s v="High"/>
    <n v="7966648.7294411603"/>
    <s v=""/>
    <s v=""/>
    <s v=""/>
    <s v=""/>
    <s v=""/>
    <n v="0"/>
    <n v="0"/>
    <n v="0"/>
    <n v="0"/>
    <s v="PH"/>
    <s v="Consumer, Cyclical"/>
    <s v="Retail"/>
    <s v="Retail-Restaurants"/>
    <s v="N"/>
    <s v=" "/>
    <s v="ACTV"/>
    <s v="Corporate"/>
    <s v="Non-Financial"/>
    <s v="Non-Investment Grade"/>
    <s v="Asia - others (1)"/>
    <s v="High"/>
    <s v="High"/>
    <s v="#N/A Field Not Applicable"/>
    <s v="INDUSTRIAL"/>
    <s v="#N/A Field Not Applicable"/>
    <n v="0"/>
    <s v="7/23/2168"/>
    <n v="148.49589041095891"/>
    <s v="10 yrs or Above"/>
    <n v="2.2361244303000967"/>
    <n v="4.3643620359426567"/>
    <n v="6.5720718224841976E-2"/>
    <n v="5.1850373284017897"/>
    <n v="7.8078851946474667E-2"/>
    <s v="XS2099563228"/>
    <s v="-"/>
    <n v="-9.19"/>
    <n v="7966648.7294411603"/>
    <n v="1.294436903088084E-2"/>
    <s v="3 - 5 yrs"/>
    <x v="12"/>
  </r>
  <r>
    <s v="Investments"/>
    <s v="Investments Long"/>
    <s v="Avaliable for Trading"/>
    <s v="United States Dollar"/>
    <m/>
    <s v="JIAPRO 4.85 02/21/22"/>
    <s v="XS1917106061"/>
    <n v="1000000"/>
    <n v="103.29"/>
    <n v="1000000"/>
    <n v="7847200"/>
    <n v="202706.15"/>
    <n v="8399.66"/>
    <n v="8049906.1500000004"/>
    <n v="1.6999999999999999E-3"/>
    <m/>
    <s v="Investments"/>
    <s v="BBG00NBG3YQ5"/>
    <s v="BOND"/>
    <s v="Corp"/>
    <s v="#N/A Field Not Applicable"/>
    <n v="0.7"/>
    <n v="2.9750000000000002E-3"/>
    <s v="High"/>
    <n v="2"/>
    <n v="6.6379999999999998E-3"/>
    <s v="High"/>
    <n v="1037866.3639993303"/>
    <s v=""/>
    <s v=""/>
    <s v=""/>
    <s v=""/>
    <s v="A-"/>
    <n v="0"/>
    <n v="0"/>
    <n v="15"/>
    <n v="15"/>
    <s v="CN"/>
    <s v="Industrial"/>
    <s v="Metal Fabricate/Hardware"/>
    <s v="Metal Products-Distrib"/>
    <s v="N"/>
    <s v=" "/>
    <s v="ACTV"/>
    <s v="Corporate"/>
    <s v="Non-Financial"/>
    <s v="Investment Grade"/>
    <s v="China"/>
    <s v="High"/>
    <s v="High"/>
    <s v="#N/A Field Not Applicable"/>
    <s v="INDUSTRIAL"/>
    <s v="Chengtou Bond"/>
    <n v="2.9426496576528814E-2"/>
    <s v="2/21/2022"/>
    <n v="1.9808219178082191"/>
    <s v="1 - 2 yrs"/>
    <n v="3.8859099588731201E-3"/>
    <n v="1.850631397004588"/>
    <n v="3.6305065645581497E-3"/>
    <n v="3.0303360619582027"/>
    <n v="5.9448115835296573E-3"/>
    <s v="XS1917106061"/>
    <s v="-"/>
    <n v="-3.03"/>
    <n v="1037866.3639993303"/>
    <n v="1.6863458747337326E-3"/>
    <s v="1 - 2 yrs"/>
    <x v="5"/>
  </r>
  <r>
    <s v="Investments"/>
    <s v="Investments Long"/>
    <s v="Avaliable for Trading"/>
    <s v="United States Dollar"/>
    <m/>
    <s v="JINGRU 10.875 10/04/21"/>
    <s v="XS1976349016"/>
    <n v="2200000"/>
    <n v="97.213999999999999"/>
    <n v="2157534.89"/>
    <n v="16760890.76"/>
    <n v="-92869.96"/>
    <n v="751017.37"/>
    <n v="16668020.800000001"/>
    <n v="3.3999999999999998E-3"/>
    <m/>
    <s v="Investments"/>
    <s v="BBG00NRVYY54"/>
    <s v="BOND"/>
    <s v="Corp"/>
    <s v="#N/A Field Not Applicable"/>
    <n v="0.3"/>
    <n v="2.794E-3"/>
    <s v="High"/>
    <n v="0.9"/>
    <n v="6.7879999999999998E-3"/>
    <s v="High"/>
    <n v="2243478.2491660551"/>
    <s v=""/>
    <s v=""/>
    <s v="B-"/>
    <s v=""/>
    <s v=""/>
    <n v="6"/>
    <n v="0"/>
    <n v="0"/>
    <n v="6"/>
    <s v="CN"/>
    <s v="Financial"/>
    <s v="Real Estate"/>
    <s v="Real Estate Oper/Develop"/>
    <s v="N"/>
    <s v=" "/>
    <s v="ACTV"/>
    <s v="Corporate"/>
    <s v="Financial"/>
    <s v="Non-Investment Grade"/>
    <s v="China"/>
    <s v="High"/>
    <s v="High"/>
    <s v="Real Estate"/>
    <s v="FINANCIAL"/>
    <s v="#N/A Field Not Applicable"/>
    <n v="2.5443624462096696E-2"/>
    <s v="10/4/2021"/>
    <n v="1.5972602739726027"/>
    <s v="1 - 2 yrs"/>
    <n v="6.7733484298640959E-3"/>
    <n v="1.3274148562386678"/>
    <n v="5.6290408512574552E-3"/>
    <n v="13.047319267644363"/>
    <n v="5.5328515280503601E-2"/>
    <s v="XS1976349016"/>
    <s v="-"/>
    <n v="-7.31"/>
    <n v="2243478.2491660551"/>
    <n v="3.64524800279439E-3"/>
    <s v="1 - 2 yrs"/>
    <x v="5"/>
  </r>
  <r>
    <s v="Investments"/>
    <s v="Investments Long"/>
    <s v="Avaliable for Trading"/>
    <s v="United States Dollar"/>
    <m/>
    <s v="JINGRU 9.45 04/23/21"/>
    <s v="XS1799928418"/>
    <n v="400000"/>
    <n v="97.265000000000001"/>
    <n v="382500"/>
    <n v="2975276.25"/>
    <n v="56862.86"/>
    <n v="103108"/>
    <n v="3032139.11"/>
    <n v="5.9999999999999995E-4"/>
    <m/>
    <s v="Investments"/>
    <s v="BBG00KMQR8X0"/>
    <s v="BOND"/>
    <s v="Corp"/>
    <s v="#N/A Field Not Applicable"/>
    <n v="0.3"/>
    <n v="2.8119999999999998E-3"/>
    <s v="High"/>
    <n v="0.9"/>
    <n v="7.1110000000000001E-3"/>
    <s v="High"/>
    <n v="403802.93265329773"/>
    <s v=""/>
    <s v=""/>
    <s v="B-"/>
    <s v="B3"/>
    <s v=""/>
    <n v="6"/>
    <n v="6"/>
    <n v="0"/>
    <n v="6"/>
    <s v="CN"/>
    <s v="Financial"/>
    <s v="Real Estate"/>
    <s v="Real Estate Oper/Develop"/>
    <s v="N"/>
    <s v=" "/>
    <s v="ACTV"/>
    <s v="Corporate"/>
    <s v="Financial"/>
    <s v="Non-Investment Grade"/>
    <s v="China"/>
    <s v="High"/>
    <s v="High"/>
    <s v="Real Estate"/>
    <s v="FINANCIAL"/>
    <s v="#N/A Field Not Applicable"/>
    <n v="4.5795898306315004E-3"/>
    <s v="4/23/2021"/>
    <n v="1.1479452054794521"/>
    <s v="1 - 2 yrs"/>
    <n v="8.7618636485598119E-4"/>
    <n v="0.99129159241201847"/>
    <n v="7.566181493000977E-4"/>
    <n v="12.139252579932327"/>
    <n v="9.2654662777542154E-3"/>
    <s v="XS1799928418"/>
    <s v="-"/>
    <n v="-5.52"/>
    <n v="403802.93265329773"/>
    <n v="6.5610702235428765E-4"/>
    <s v="0 - 1 yr"/>
    <x v="5"/>
  </r>
  <r>
    <s v="Investments"/>
    <s v="Investments Long"/>
    <s v="Avaliable for Trading"/>
    <s v="United States Dollar"/>
    <m/>
    <s v="JINKE 8.375 06/20/21"/>
    <s v="XS2010988074"/>
    <n v="10500000"/>
    <n v="102.28"/>
    <n v="10473024.279999999"/>
    <n v="82061097.890000001"/>
    <n v="1636415.92"/>
    <n v="1313570.1000000001"/>
    <n v="83697513.810000002"/>
    <n v="1.7299999999999999E-2"/>
    <m/>
    <s v="Investments"/>
    <s v="BBG00PDL9DC2"/>
    <s v="BOND"/>
    <s v="Corp"/>
    <s v="#N/A Field Not Applicable"/>
    <n v="3.4"/>
    <n v="7.4669999999999997E-3"/>
    <s v="Medium"/>
    <n v="16"/>
    <n v="1.6181000000000001E-2"/>
    <s v="Illiquid"/>
    <n v="10948969.502724005"/>
    <s v=""/>
    <s v=""/>
    <s v="B"/>
    <s v="B2"/>
    <s v=""/>
    <n v="7"/>
    <n v="7"/>
    <n v="0"/>
    <n v="7"/>
    <s v="CN"/>
    <s v="Financial"/>
    <s v="Real Estate"/>
    <s v="Real Estate Oper/Develop"/>
    <s v="N"/>
    <s v=" "/>
    <s v="ACTV"/>
    <s v="Corporate"/>
    <s v="Financial"/>
    <s v="Non-Investment Grade"/>
    <s v="China"/>
    <s v="Medium"/>
    <s v="Illiquid"/>
    <s v="Real Estate"/>
    <s v="INDUSTRIAL"/>
    <s v="#N/A Field Not Applicable"/>
    <n v="0.14486956274590534"/>
    <s v="6/20/2021"/>
    <n v="1.3068493150684932"/>
    <s v="1 - 2 yrs"/>
    <n v="2.7046098406965501E-2"/>
    <n v="1.1806319613285992"/>
    <n v="2.4433948000216397E-2"/>
    <n v="6.5198680067257131"/>
    <n v="0.13493291818505307"/>
    <s v="XS2010988074"/>
    <s v="-"/>
    <n v="-3.51"/>
    <n v="10948969.502724005"/>
    <n v="1.7790103036344269E-2"/>
    <s v="1 - 2 yrs"/>
    <x v="5"/>
  </r>
  <r>
    <s v="Investments"/>
    <s v="Investments Long"/>
    <s v="Avaliable for Trading"/>
    <s v="United States Dollar"/>
    <m/>
    <s v="KIJAIJ 6.5 10/05/23 REGS"/>
    <s v="USN4717BAD84"/>
    <n v="3000000"/>
    <n v="91.128"/>
    <n v="2804148.64"/>
    <n v="21789537.59"/>
    <n v="-483355.55"/>
    <n v="607893"/>
    <n v="21306182.039999999"/>
    <n v="4.4000000000000003E-3"/>
    <m/>
    <s v="Investments"/>
    <s v="BBG00DXBXRD0"/>
    <s v="BOND"/>
    <s v="Corp"/>
    <s v="#N/A Field Not Applicable"/>
    <n v="0.7"/>
    <n v="1.4233000000000001E-2"/>
    <s v="High"/>
    <n v="2"/>
    <n v="3.3876000000000003E-2"/>
    <s v="High"/>
    <n v="2822414.7753178002"/>
    <s v=""/>
    <s v=""/>
    <s v="B"/>
    <s v=""/>
    <s v="B"/>
    <n v="7"/>
    <n v="0"/>
    <n v="7"/>
    <n v="7"/>
    <s v="ID"/>
    <s v="Financial"/>
    <s v="Real Estate"/>
    <s v="Real Estate Oper/Develop"/>
    <s v="N"/>
    <s v=" "/>
    <s v="ACTV"/>
    <s v="Corporate"/>
    <s v="Financial"/>
    <s v="Non-Investment Grade"/>
    <s v="Asia - others (1)"/>
    <s v="High"/>
    <s v="High"/>
    <s v="#N/A Field Not Applicable"/>
    <s v="SPECIAL PURPOSE"/>
    <s v="#N/A Field Not Applicable"/>
    <n v="3.734433585609552E-2"/>
    <s v="10/5/2023"/>
    <n v="3.6"/>
    <s v="3 - 5 yrs"/>
    <n v="1.9205658440277697E-2"/>
    <n v="2.9801463733354172"/>
    <n v="1.5898798152308977E-2"/>
    <n v="9.8142119772145247"/>
    <n v="5.23578897485735E-2"/>
    <s v="USN4717BAD84"/>
    <s v="-"/>
    <n v="-13.61"/>
    <n v="2822414.7753178002"/>
    <n v="4.5859155650869307E-3"/>
    <s v="2 - 3 yrs"/>
    <x v="7"/>
  </r>
  <r>
    <s v="Investments"/>
    <s v="Investments Long"/>
    <s v="Avaliable for Trading"/>
    <s v="United States Dollar"/>
    <m/>
    <s v="KWGPRO 6 01/11/22"/>
    <s v="XS1545506401"/>
    <n v="3000000"/>
    <n v="99.606999999999999"/>
    <n v="3022950"/>
    <n v="23485964.989999998"/>
    <n v="-197350.35"/>
    <n v="187044"/>
    <n v="23288614.640000001"/>
    <n v="4.7999999999999996E-3"/>
    <m/>
    <s v="Investments"/>
    <s v="BBG00FP0FP88"/>
    <s v="BOND"/>
    <s v="Corp"/>
    <s v="#N/A Field Not Applicable"/>
    <n v="0.5"/>
    <n v="5.8760000000000001E-3"/>
    <s v="High"/>
    <n v="2"/>
    <n v="1.4015E-2"/>
    <s v="High"/>
    <n v="3023538.3279883568"/>
    <s v=""/>
    <s v=""/>
    <s v="B"/>
    <s v=""/>
    <s v="BB-"/>
    <n v="7"/>
    <n v="0"/>
    <n v="9"/>
    <n v="7"/>
    <s v="CN"/>
    <s v="Financial"/>
    <s v="Real Estate"/>
    <s v="Real Estate Oper/Develop"/>
    <s v="N"/>
    <s v=" "/>
    <s v="ACTV"/>
    <s v="Corporate"/>
    <s v="Financial"/>
    <s v="Non-Investment Grade"/>
    <s v="China"/>
    <s v="High"/>
    <s v="High"/>
    <s v="Real Estate"/>
    <s v="FINANCIAL"/>
    <s v="#N/A Field Not Applicable"/>
    <n v="4.0005470415474614E-2"/>
    <s v="1/11/2022"/>
    <n v="1.8684931506849316"/>
    <s v="1 - 2 yrs"/>
    <n v="1.0678563923034713E-2"/>
    <n v="1.6996585506198214"/>
    <n v="9.713662837604246E-3"/>
    <n v="5.9753836792985711"/>
    <n v="3.414971928618412E-2"/>
    <s v="XS1545506401"/>
    <s v="-"/>
    <n v="-4.4000000000000004"/>
    <n v="3023538.3279883568"/>
    <n v="4.9127051067104268E-3"/>
    <s v="1 - 2 yrs"/>
    <x v="5"/>
  </r>
  <r>
    <s v="Investments"/>
    <s v="Investments Long"/>
    <s v="Avaliable for Trading"/>
    <s v="United States Dollar"/>
    <m/>
    <s v="LGUANG 9 03/04/21"/>
    <s v="XS2127887169"/>
    <n v="3500000"/>
    <n v="99.805000000000007"/>
    <n v="3500000"/>
    <n v="27277600"/>
    <n v="-53540.639999999999"/>
    <n v="0"/>
    <n v="27224059.359999999"/>
    <n v="5.5999999999999999E-3"/>
    <m/>
    <s v="Investments"/>
    <s v="BBG00S0GV953"/>
    <s v="BOND"/>
    <s v="Corp"/>
    <s v="#N/A Field Not Applicable"/>
    <s v="N.A."/>
    <s v="N.A."/>
    <s v="Not Covered"/>
    <s v="N.A."/>
    <s v="N.A."/>
    <s v="Not Covered"/>
    <n v="3506312.1414680006"/>
    <n v="1.7500000000000002E-2"/>
    <n v="1.270362765229295"/>
    <s v=""/>
    <s v=""/>
    <s v=""/>
    <n v="0"/>
    <n v="0"/>
    <n v="0"/>
    <n v="0"/>
    <s v="CN"/>
    <s v="Financial"/>
    <s v="Real Estate"/>
    <s v="Real Estate Oper/Develop"/>
    <s v="N"/>
    <s v=" "/>
    <s v="ACTV"/>
    <s v="Corporate"/>
    <s v="Financial"/>
    <s v="Non-Investment Grade"/>
    <s v="China"/>
    <s v="Medium"/>
    <s v="Medium"/>
    <s v="#N/A Field Not Applicable"/>
    <s v="SPECIAL PURPOSE"/>
    <s v="#N/A Field Not Applicable"/>
    <n v="0"/>
    <s v="3/4/2021"/>
    <n v="1.010958904109589"/>
    <s v="1 - 2 yrs"/>
    <n v="6.7002335392585674E-3"/>
    <n v="0.92060269645683213"/>
    <n v="6.1013885312822718E-3"/>
    <n v="8.9770545150412939"/>
    <n v="5.9496346983964131E-2"/>
    <s v="XS2127887169"/>
    <s v="-"/>
    <n v="-3.9"/>
    <n v="3506312.1414680006"/>
    <n v="5.6971255841731638E-3"/>
    <s v="0 - 1 yr"/>
    <x v="5"/>
  </r>
  <r>
    <s v="Investments"/>
    <s v="Investments Long"/>
    <s v="Avaliable for Trading"/>
    <s v="United States Dollar"/>
    <m/>
    <s v="LLPLCA 6.875 02/04/39 REGS"/>
    <s v="USY51478AA66"/>
    <n v="3845200"/>
    <n v="117.90900000000001"/>
    <n v="4051303.64"/>
    <n v="31797477.600000001"/>
    <n v="3536980.05"/>
    <n v="143074.31"/>
    <n v="35334457.649999999"/>
    <n v="7.3000000000000001E-3"/>
    <m/>
    <s v="Investments"/>
    <s v="BBG00N6X2PL9"/>
    <s v="BOND"/>
    <s v="Corp"/>
    <s v="#N/A Field Not Applicable"/>
    <n v="1"/>
    <n v="7.6759999999999997E-3"/>
    <s v="High"/>
    <n v="2"/>
    <n v="1.7489000000000001E-2"/>
    <s v="High"/>
    <n v="4569314.9363110643"/>
    <s v=""/>
    <s v=""/>
    <s v=""/>
    <s v="Baa3"/>
    <s v="BBB-"/>
    <n v="0"/>
    <n v="12"/>
    <n v="12"/>
    <n v="12"/>
    <s v="ID"/>
    <s v="Utilities"/>
    <s v="Electric"/>
    <s v="Electric-Generation"/>
    <s v="N"/>
    <s v=" "/>
    <s v="ACTV"/>
    <s v="Corporate"/>
    <s v="Non-Financial"/>
    <s v="Investment Grade"/>
    <s v="Asia - others (1)"/>
    <s v="High"/>
    <s v="High"/>
    <s v="#N/A Field Not Applicable"/>
    <s v="SPECIAL PURPOSE"/>
    <s v="#N/A Field Not Applicable"/>
    <n v="0.10364257672813551"/>
    <s v="2/4/2039"/>
    <n v="18.945205479452056"/>
    <s v="10 yrs or Above"/>
    <n v="0.16362749271120025"/>
    <n v="6.9522078061012067"/>
    <n v="6.0045394247815576E-2"/>
    <n v="5.2338053864327323"/>
    <n v="4.5203756361956948E-2"/>
    <s v="USY51478AA66"/>
    <s v="-"/>
    <n v="-17.579999999999998"/>
    <n v="4569314.9363110643"/>
    <n v="7.4243136308176595E-3"/>
    <s v="5 - 7 yrs"/>
    <x v="7"/>
  </r>
  <r>
    <s v="Investments"/>
    <s v="Investments Long"/>
    <s v="Avaliable for Trading"/>
    <s v="United States Dollar"/>
    <m/>
    <s v="LOGPH 6.375 03/07/21"/>
    <s v="XS1772325210"/>
    <n v="2000000"/>
    <n v="101.354"/>
    <n v="2025000"/>
    <n v="15886732.5"/>
    <n v="-88684.52"/>
    <n v="474754.04"/>
    <n v="15798047.98"/>
    <n v="3.3E-3"/>
    <m/>
    <s v="Investments"/>
    <s v="BBG00K6FDF25"/>
    <s v="BOND"/>
    <s v="Corp"/>
    <s v="#N/A Field Not Applicable"/>
    <n v="0.6"/>
    <n v="4.1770000000000002E-3"/>
    <s v="High"/>
    <n v="2"/>
    <n v="9.4839999999999994E-3"/>
    <s v="High"/>
    <n v="2095849.20984506"/>
    <s v=""/>
    <s v=""/>
    <s v=""/>
    <s v=""/>
    <s v="BB"/>
    <n v="0"/>
    <n v="0"/>
    <n v="10"/>
    <n v="10"/>
    <s v="CN"/>
    <s v="Financial"/>
    <s v="Real Estate"/>
    <s v="Real Estate Oper/Develop"/>
    <s v="N"/>
    <s v=" "/>
    <s v="ACTV"/>
    <s v="Corporate"/>
    <s v="Financial"/>
    <s v="Non-Investment Grade"/>
    <s v="China"/>
    <s v="High"/>
    <s v="High"/>
    <s v="Real Estate"/>
    <s v="FINANCIAL"/>
    <s v="#N/A Field Not Applicable"/>
    <n v="3.9615568848878679E-2"/>
    <s v="3/7/2021"/>
    <n v="1.0191780821917809"/>
    <s v="1 - 2 yrs"/>
    <n v="4.0375319484336628E-3"/>
    <n v="0.95341347282883893"/>
    <n v="3.7770017074299392E-3"/>
    <n v="4.8083373554058824"/>
    <n v="1.9048501955171698E-2"/>
    <s v="XS1772325210"/>
    <s v="-"/>
    <n v="-2.2999999999999998"/>
    <n v="2095849.20984506"/>
    <n v="3.4053774085778645E-3"/>
    <s v="0 - 1 yr"/>
    <x v="5"/>
  </r>
  <r>
    <s v="Investments"/>
    <s v="Investments Long"/>
    <s v="Avaliable for Trading"/>
    <s v="United States Dollar"/>
    <m/>
    <s v="LOGPH 7.5 08/25/22"/>
    <s v="XS1954961295"/>
    <n v="5000000"/>
    <n v="104.224"/>
    <n v="4991125"/>
    <n v="39175468.350000001"/>
    <n v="1438018.85"/>
    <n v="32472.92"/>
    <n v="40613487.200000003"/>
    <n v="8.3999999999999995E-3"/>
    <m/>
    <s v="Investments"/>
    <s v="BBG00NDM7WZ0"/>
    <s v="BOND"/>
    <s v="Corp"/>
    <s v="#N/A Field Not Applicable"/>
    <n v="4.9000000000000004"/>
    <n v="7.3940000000000004E-3"/>
    <s v="Medium"/>
    <n v="10.8"/>
    <n v="1.6927000000000001E-2"/>
    <s v="Illiquid"/>
    <n v="5234980.6318663629"/>
    <s v=""/>
    <s v=""/>
    <s v="BB-"/>
    <s v=""/>
    <s v="BB"/>
    <n v="9"/>
    <n v="0"/>
    <n v="10"/>
    <n v="9"/>
    <s v="CN"/>
    <s v="Financial"/>
    <s v="Real Estate"/>
    <s v="Real Estate Oper/Develop"/>
    <s v="N"/>
    <s v=" "/>
    <s v="ACTV"/>
    <s v="Corporate"/>
    <s v="Financial"/>
    <s v="Non-Investment Grade"/>
    <s v="China"/>
    <s v="Medium"/>
    <s v="Illiquid"/>
    <s v="Real Estate"/>
    <s v="FINANCIAL"/>
    <s v="#N/A Field Not Applicable"/>
    <n v="8.9056054797769457E-2"/>
    <s v="8/25/2022"/>
    <n v="2.4876712328767123"/>
    <s v="2 - 3 yrs"/>
    <n v="2.4615798403767021E-2"/>
    <n v="0.91934716516964787"/>
    <n v="9.0970479466135727E-3"/>
    <n v="5.502719024213599"/>
    <n v="5.4450049661899418E-2"/>
    <s v="XS1954961295"/>
    <s v="-"/>
    <n v="-2.5499999999999998"/>
    <n v="5234980.6318663629"/>
    <n v="8.5059004695372566E-3"/>
    <s v="0 - 1 yr"/>
    <x v="5"/>
  </r>
  <r>
    <s v="Investments"/>
    <s v="Investments Long"/>
    <s v="Avaliable for Trading"/>
    <s v="United States Dollar"/>
    <m/>
    <s v="LOGPH 7.5 08/27/21"/>
    <s v="XS1870205819"/>
    <n v="5000000"/>
    <n v="103.253"/>
    <n v="5062500"/>
    <n v="39724118.990000002"/>
    <n v="510993.79"/>
    <n v="16236.46"/>
    <n v="40235112.780000001"/>
    <n v="8.3000000000000001E-3"/>
    <m/>
    <s v="Investments"/>
    <s v="BBG00LSRS878"/>
    <s v="BOND"/>
    <s v="Corp"/>
    <s v="#N/A Field Not Applicable"/>
    <n v="2"/>
    <n v="5.9389999999999998E-3"/>
    <s v="High"/>
    <n v="3.5"/>
    <n v="1.3252E-2"/>
    <s v="Medium"/>
    <n v="5184156.8769882666"/>
    <s v=""/>
    <s v=""/>
    <s v="BB-"/>
    <s v=""/>
    <s v="BB"/>
    <n v="9"/>
    <n v="0"/>
    <n v="10"/>
    <n v="9"/>
    <s v="CN"/>
    <s v="Financial"/>
    <s v="Real Estate"/>
    <s v="Real Estate Oper/Develop"/>
    <s v="N"/>
    <s v=" "/>
    <s v="ACTV"/>
    <s v="Corporate"/>
    <s v="Financial"/>
    <s v="Non-Investment Grade"/>
    <s v="China"/>
    <s v="High"/>
    <s v="Medium"/>
    <s v="Real Estate"/>
    <s v="FINANCIAL"/>
    <s v="#N/A Field Not Applicable"/>
    <n v="8.8191455018373818E-2"/>
    <s v="8/27/2021"/>
    <n v="1.4931506849315068"/>
    <s v="1 - 2 yrs"/>
    <n v="1.4631459051754558E-2"/>
    <n v="0.4539129026071298"/>
    <n v="4.4479154813929084E-3"/>
    <n v="5.1957005683437645"/>
    <n v="5.0912932551336477E-2"/>
    <s v="XS1870205819"/>
    <s v="-"/>
    <n v="-1.77"/>
    <n v="5184156.8769882666"/>
    <n v="8.4233210235217862E-3"/>
    <s v="0 - 1 yr"/>
    <x v="5"/>
  </r>
  <r>
    <s v="Investments"/>
    <s v="Investments Long"/>
    <s v="Avaliable for Trading"/>
    <s v="United States Dollar"/>
    <m/>
    <s v="LPKRIJ 8.125 01/22/25"/>
    <s v="XS2099273737"/>
    <n v="1500000"/>
    <n v="99.466999999999999"/>
    <n v="1515406.81"/>
    <n v="11772549.98"/>
    <n v="-144609.18"/>
    <n v="195243.41"/>
    <n v="11627940.800000001"/>
    <n v="2.3999999999999998E-3"/>
    <m/>
    <s v="Investments"/>
    <s v="BBG00RD4VH41"/>
    <s v="BOND"/>
    <s v="Corp"/>
    <s v="#N/A Field Not Applicable"/>
    <n v="0.3"/>
    <n v="7.7549999999999997E-3"/>
    <s v="High"/>
    <n v="2"/>
    <n v="2.0656999999999998E-2"/>
    <s v="High"/>
    <n v="1522762.4138686038"/>
    <s v=""/>
    <s v=""/>
    <s v="B-"/>
    <s v="B3"/>
    <s v="B-"/>
    <n v="6"/>
    <n v="6"/>
    <n v="6"/>
    <n v="6"/>
    <s v="ID"/>
    <s v="Financial"/>
    <s v="Real Estate"/>
    <s v="Real Estate Oper/Develop"/>
    <s v="N"/>
    <s v=" "/>
    <s v="ACTV"/>
    <s v="Corporate"/>
    <s v="Financial"/>
    <s v="Non-Investment Grade"/>
    <s v="Asia - others (1)"/>
    <s v="High"/>
    <s v="High"/>
    <s v="#N/A Field Not Applicable"/>
    <s v="FINANCIAL"/>
    <s v="#N/A Field Not Applicable"/>
    <n v="1.7269877707916596E-2"/>
    <s v="1/22/2025"/>
    <n v="4.9013698630136986"/>
    <s v="3 - 5 yrs"/>
    <n v="1.4107676355919084E-2"/>
    <n v="3.9114456103656683"/>
    <n v="1.1258364558697047E-2"/>
    <n v="8.2140915503623084"/>
    <n v="2.3642726092731353E-2"/>
    <s v="XS2099273737"/>
    <s v="-"/>
    <n v="-15.23"/>
    <n v="1522762.4138686038"/>
    <n v="2.4742146040186708E-3"/>
    <s v="3 - 5 yrs"/>
    <x v="7"/>
  </r>
  <r>
    <s v="Investments"/>
    <s v="Investments Long"/>
    <s v="Avaliable for Trading"/>
    <s v="United States Dollar"/>
    <m/>
    <s v="MDLNIJ 6.95 04/13/24"/>
    <s v="XS1592893546"/>
    <n v="4653000"/>
    <n v="95.89"/>
    <n v="4218247.4000000004"/>
    <n v="33001027.699999999"/>
    <n v="1771712.1"/>
    <n v="952109.3"/>
    <n v="34772739.799999997"/>
    <n v="7.1999999999999998E-3"/>
    <m/>
    <s v="Investments"/>
    <s v="BBG00GDDS1Y1"/>
    <s v="BOND"/>
    <s v="Corp"/>
    <s v="#N/A Field Not Applicable"/>
    <n v="2.4"/>
    <n v="1.1923E-2"/>
    <s v="High"/>
    <n v="9.4"/>
    <n v="2.7910000000000001E-2"/>
    <s v="Low"/>
    <n v="4601168.0512087364"/>
    <s v=""/>
    <s v=""/>
    <s v="B"/>
    <s v="B2"/>
    <s v="B"/>
    <n v="7"/>
    <n v="7"/>
    <n v="7"/>
    <n v="7"/>
    <s v="ID"/>
    <s v="Financial"/>
    <s v="Real Estate"/>
    <s v="Real Estate Oper/Develop"/>
    <s v="N"/>
    <s v=" "/>
    <s v="ACTV"/>
    <s v="Corporate"/>
    <s v="Financial"/>
    <s v="Non-Investment Grade"/>
    <s v="Asia - others (1)"/>
    <s v="High"/>
    <s v="Low"/>
    <s v="#N/A Field Not Applicable"/>
    <s v="SPECIAL PURPOSE"/>
    <s v="#N/A Field Not Applicable"/>
    <n v="6.0879629222933052E-2"/>
    <s v="4/13/2024"/>
    <n v="4.1232876712328768"/>
    <s v="3 - 5 yrs"/>
    <n v="3.5860603514878374E-2"/>
    <n v="3.3743974381713624"/>
    <n v="2.9347437840955382E-2"/>
    <n v="8.3181174359460943"/>
    <n v="7.234341504760182E-2"/>
    <s v="XS1592893546"/>
    <s v="-"/>
    <n v="-12.67"/>
    <n v="4601168.0512087364"/>
    <n v="7.4760692043368956E-3"/>
    <s v="3 - 5 yrs"/>
    <x v="7"/>
  </r>
  <r>
    <s v="Investments"/>
    <s v="Investments Long"/>
    <s v="Avaliable for Trading"/>
    <s v="United States Dollar"/>
    <m/>
    <s v="MINCAP 4.625 08/10/30 REGS"/>
    <s v="USN57445AA17"/>
    <n v="4000000"/>
    <n v="104.72"/>
    <n v="3972750"/>
    <n v="31131169.300000001"/>
    <n v="1514243.5"/>
    <n v="76094.87"/>
    <n v="32645412.800000001"/>
    <n v="6.7000000000000002E-3"/>
    <m/>
    <s v="Investments"/>
    <s v="BBG00HCC7GD5"/>
    <s v="BOND"/>
    <s v="Corp"/>
    <s v="#N/A Field Not Applicable"/>
    <n v="0.7"/>
    <n v="8.6099999999999996E-3"/>
    <s v="High"/>
    <n v="2"/>
    <n v="2.0604999999999998E-2"/>
    <s v="High"/>
    <n v="4214353.8593305256"/>
    <s v=""/>
    <s v=""/>
    <s v=""/>
    <s v="Baa3"/>
    <s v="BBB-"/>
    <n v="0"/>
    <n v="12"/>
    <n v="12"/>
    <n v="12"/>
    <s v="ID"/>
    <s v="Utilities"/>
    <s v="Electric"/>
    <s v="Electric-Generation"/>
    <s v="N"/>
    <s v=" "/>
    <s v="ACTV"/>
    <s v="Corporate"/>
    <s v="Non-Financial"/>
    <s v="Investment Grade"/>
    <s v="Asia - others (1)"/>
    <s v="High"/>
    <s v="High"/>
    <s v="#N/A Field Not Applicable"/>
    <s v="SPECIAL PURPOSE"/>
    <s v="#N/A Field Not Applicable"/>
    <n v="9.5591242738415391E-2"/>
    <s v="8/10/2030"/>
    <n v="10.452054794520548"/>
    <s v="10 yrs or Above"/>
    <n v="8.326040891485266E-2"/>
    <n v="6.0513255597288298"/>
    <n v="4.8204477539101329E-2"/>
    <n v="3.8243664554009378"/>
    <n v="3.046466184657369E-2"/>
    <s v="USN57445AA17"/>
    <s v="-"/>
    <n v="-14.15"/>
    <n v="4214353.8593305256"/>
    <n v="6.8475658253000313E-3"/>
    <s v="5 - 7 yrs"/>
    <x v="7"/>
  </r>
  <r>
    <s v="Investments"/>
    <s v="Investments Long"/>
    <s v="Avaliable for Trading"/>
    <s v="United States Dollar"/>
    <m/>
    <s v="MINMET V3.375 PERP"/>
    <s v="XS2115053626"/>
    <n v="4000000"/>
    <n v="100.01"/>
    <n v="4000000"/>
    <n v="31164400"/>
    <n v="12717.4"/>
    <n v="0"/>
    <n v="31177117.399999999"/>
    <n v="6.4000000000000003E-3"/>
    <m/>
    <s v="Investments"/>
    <s v="BBG00RZ2MZZ7"/>
    <s v="BOND"/>
    <s v="Corp"/>
    <s v="#N/A Field Not Applicable"/>
    <s v="N.A."/>
    <s v="N.A."/>
    <s v="Not Covered"/>
    <s v="N.A."/>
    <s v="N.A."/>
    <s v="Not Covered"/>
    <n v="4015444.7149131275"/>
    <n v="4.0000000000000001E-3"/>
    <n v="2.1163586584531142"/>
    <s v=""/>
    <s v="Baa1"/>
    <s v=""/>
    <n v="0"/>
    <n v="14"/>
    <n v="0"/>
    <n v="14"/>
    <s v="CN"/>
    <s v="Basic Materials"/>
    <s v="Mining"/>
    <s v="Metal-Diversified"/>
    <s v="N"/>
    <s v=" "/>
    <s v="ACTV"/>
    <s v="Corporate"/>
    <s v="Non-Financial"/>
    <s v="Investment Grade"/>
    <s v="China"/>
    <s v="Medium"/>
    <s v="Medium"/>
    <s v="#N/A Field Not Applicable"/>
    <s v="SPECIAL PURPOSE"/>
    <s v="#N/A Field Not Applicable"/>
    <n v="0.10625944659633871"/>
    <s v="9/3/2168"/>
    <n v="148.61095890410959"/>
    <s v="10 yrs or Above"/>
    <n v="1.1279513036644229"/>
    <n v="4.1268649612088426"/>
    <n v="3.1322741925419458E-2"/>
    <n v="5.3266198783636929"/>
    <n v="4.042883432171307E-2"/>
    <s v="XS2115053626"/>
    <s v="-"/>
    <n v="-7.93"/>
    <n v="4015444.7149131275"/>
    <n v="6.5243742981726405E-3"/>
    <s v="3 - 5 yrs"/>
    <x v="5"/>
  </r>
  <r>
    <s v="Investments"/>
    <s v="Investments Long"/>
    <s v="Avaliable for Trading"/>
    <s v="United States Dollar"/>
    <m/>
    <s v="MSINS V4.95 PERP REGS"/>
    <s v="USJ4517MAA74"/>
    <n v="7500000"/>
    <n v="114.631"/>
    <n v="7500000"/>
    <n v="58872750"/>
    <n v="8130502.3899999997"/>
    <n v="1390409.11"/>
    <n v="67003252.390000001"/>
    <n v="1.38E-2"/>
    <m/>
    <s v="Investments"/>
    <s v="BBG00NGF27D6"/>
    <s v="BOND"/>
    <s v="Corp"/>
    <s v="#N/A Field Not Applicable"/>
    <n v="3.3"/>
    <n v="7.4469999999999996E-3"/>
    <s v="Medium"/>
    <n v="7.5"/>
    <n v="1.6534E-2"/>
    <s v="Low"/>
    <n v="8808735.04372577"/>
    <s v=""/>
    <s v=""/>
    <s v="A-"/>
    <s v="A3"/>
    <s v=""/>
    <n v="15"/>
    <n v="15"/>
    <n v="0"/>
    <n v="15"/>
    <s v="JP"/>
    <s v="Financial"/>
    <s v="Insurance"/>
    <s v="Property/Casualty Ins"/>
    <s v="N"/>
    <s v=" "/>
    <s v="ACTV"/>
    <s v="Corporate"/>
    <s v="Financial"/>
    <s v="Investment Grade"/>
    <s v="Japan"/>
    <s v="Medium"/>
    <s v="Low"/>
    <s v="Financials"/>
    <s v="FINANCIAL"/>
    <s v="#N/A Field Not Applicable"/>
    <n v="0.2497529745630267"/>
    <s v="9/6/2168"/>
    <n v="148.61917808219178"/>
    <s v="10 yrs or Above"/>
    <n v="2.4745387868759718"/>
    <n v="7.3787301076453105"/>
    <n v="0.12285731952547857"/>
    <n v="3.6628641866757587"/>
    <n v="6.0987415069510151E-2"/>
    <s v="USJ4517MAA74"/>
    <s v="-"/>
    <n v="-14.75"/>
    <n v="8808735.04372577"/>
    <n v="1.4312607593687276E-2"/>
    <s v="7 - 10 yrs"/>
    <x v="13"/>
  </r>
  <r>
    <s v="Investments"/>
    <s v="Investments Long"/>
    <s v="Avaliable for Trading"/>
    <s v="United States Dollar"/>
    <m/>
    <s v="MYLIFE V5.2 10/20/45 REGS"/>
    <s v="USJ41838AA14"/>
    <n v="1500000"/>
    <n v="112.774"/>
    <n v="1524750"/>
    <n v="11916836.1"/>
    <n v="1266726.44"/>
    <n v="217828.33"/>
    <n v="13183562.539999999"/>
    <n v="2.7000000000000001E-3"/>
    <m/>
    <s v="Investments"/>
    <s v="BBG00B6SDBV4"/>
    <s v="BOND"/>
    <s v="Corp"/>
    <s v="#N/A Field Not Applicable"/>
    <n v="0.5"/>
    <n v="3.6589999999999999E-3"/>
    <s v="High"/>
    <n v="2"/>
    <n v="8.2279999999999992E-3"/>
    <s v="High"/>
    <n v="1726026.9270893703"/>
    <s v=""/>
    <s v=""/>
    <s v="A-"/>
    <s v="A3"/>
    <s v="A-u"/>
    <n v="15"/>
    <n v="15"/>
    <n v="15"/>
    <n v="15"/>
    <s v="JP"/>
    <s v="Financial"/>
    <s v="Insurance"/>
    <s v="Life/Health Insurance"/>
    <s v="N"/>
    <s v=" "/>
    <s v="ACTV"/>
    <s v="Corporate"/>
    <s v="Financial"/>
    <s v="Investment Grade"/>
    <s v="Japan"/>
    <s v="High"/>
    <s v="High"/>
    <s v="#N/A Field Not Applicable"/>
    <s v="FINANCIAL"/>
    <s v="#N/A Field Not Applicable"/>
    <n v="4.8937827857984881E-2"/>
    <s v="10/20/2045"/>
    <n v="25.657534246575342"/>
    <s v="10 yrs or Above"/>
    <n v="8.3708266281283722E-2"/>
    <n v="4.8312716805129439"/>
    <n v="1.5762129455739984E-2"/>
    <n v="4.1913451609330918"/>
    <n v="1.3674355198609439E-2"/>
    <s v="USJ41838AA14"/>
    <s v="-"/>
    <n v="-11.55"/>
    <n v="1726026.9270893703"/>
    <n v="2.8044828208522408E-3"/>
    <s v="3 - 5 yrs"/>
    <x v="13"/>
  </r>
  <r>
    <s v="Investments"/>
    <s v="Investments Long"/>
    <s v="Avaliable for Trading"/>
    <s v="United States Dollar"/>
    <m/>
    <s v="NANYAN V5 PERP"/>
    <s v="XS1618163452"/>
    <n v="4500000"/>
    <n v="101.724"/>
    <n v="4518190"/>
    <n v="35308383.329999998"/>
    <n v="366986.4"/>
    <n v="423771.57"/>
    <n v="35675369.729999997"/>
    <n v="7.4000000000000003E-3"/>
    <m/>
    <s v="Investments"/>
    <s v="BBG00GSCY4N6"/>
    <s v="BOND"/>
    <s v="Corp"/>
    <s v="#N/A Field Not Applicable"/>
    <n v="0.3"/>
    <n v="1.663E-3"/>
    <s v="High"/>
    <n v="1.7"/>
    <n v="3.9269999999999999E-3"/>
    <s v="High"/>
    <n v="4649374.8695954559"/>
    <s v=""/>
    <s v=""/>
    <s v=""/>
    <s v="Ba2"/>
    <s v=""/>
    <n v="0"/>
    <n v="10"/>
    <n v="0"/>
    <n v="10"/>
    <s v="HK"/>
    <s v="Financial"/>
    <s v="Banks"/>
    <s v="Commer Banks Non-US"/>
    <s v="N"/>
    <s v=" "/>
    <s v="ACTV"/>
    <s v="Corporate"/>
    <s v="Financial"/>
    <s v="Non-Investment Grade"/>
    <s v="Hong Kong"/>
    <s v="High"/>
    <s v="High"/>
    <s v="#N/A Field Not Applicable"/>
    <s v="BANK"/>
    <s v="#N/A Field Not Applicable"/>
    <n v="8.7882100193802382E-2"/>
    <s v="12/2/2168"/>
    <n v="148.85753424657534"/>
    <s v="10 yrs or Above"/>
    <n v="1.3081912739259904"/>
    <n v="2.0679621992607755"/>
    <n v="1.8173686119243141E-2"/>
    <n v="3.892812118964756"/>
    <n v="3.4210850467450885E-2"/>
    <s v="XS1618163452"/>
    <s v="-"/>
    <n v="-6.21"/>
    <n v="4649374.8695954559"/>
    <n v="7.5543965999827333E-3"/>
    <s v="2 - 3 yrs"/>
    <x v="1"/>
  </r>
  <r>
    <s v="Investments"/>
    <s v="Investments Long"/>
    <s v="Avaliable for Trading"/>
    <s v="United States Dollar"/>
    <m/>
    <s v="ORIEAS 4.5 03/20/29"/>
    <s v="XS1964673435"/>
    <n v="3000000"/>
    <n v="114.301"/>
    <n v="2972370"/>
    <n v="23332807.260000002"/>
    <n v="3391338.04"/>
    <n v="464687.44"/>
    <n v="26724145.300000001"/>
    <n v="5.4999999999999997E-3"/>
    <m/>
    <s v="Investments"/>
    <s v="BBG00NL43H88"/>
    <s v="BOND"/>
    <s v="Corp"/>
    <s v="#N/A Field Not Applicable"/>
    <n v="0.5"/>
    <n v="7.1780000000000004E-3"/>
    <s v="High"/>
    <n v="2"/>
    <n v="1.8747E-2"/>
    <s v="High"/>
    <n v="3501775.1426400319"/>
    <s v=""/>
    <s v=""/>
    <s v="BBB+"/>
    <s v=""/>
    <s v="A-"/>
    <n v="14"/>
    <n v="0"/>
    <n v="15"/>
    <n v="14"/>
    <s v="HK"/>
    <s v="Financial"/>
    <s v="Diversified Finan Serv"/>
    <s v="Invest Mgmnt/Advis Serv"/>
    <s v="N"/>
    <s v=" "/>
    <s v="ACTV"/>
    <s v="Corporate"/>
    <s v="Financial"/>
    <s v="Investment Grade"/>
    <s v="Hong Kong"/>
    <s v="High"/>
    <s v="High"/>
    <s v="#N/A Field Not Applicable"/>
    <s v="FINANCIAL"/>
    <s v="#N/A Field Not Applicable"/>
    <n v="9.2666370770788958E-2"/>
    <s v="3/20/2029"/>
    <n v="9.0602739726027401"/>
    <s v="7 - 10 yrs"/>
    <n v="5.9970193373581039E-2"/>
    <n v="7.404811160429797"/>
    <n v="4.9012641177147397E-2"/>
    <n v="2.6135472289845589"/>
    <n v="1.72991383248608E-2"/>
    <s v="XS1964673435"/>
    <s v="-"/>
    <n v="-8.41"/>
    <n v="3501775.1426400319"/>
    <n v="5.6897537783968067E-3"/>
    <s v="7 - 10 yrs"/>
    <x v="1"/>
  </r>
  <r>
    <s v="Investments"/>
    <s v="Investments Long"/>
    <s v="Avaliable for Trading"/>
    <s v="United States Dollar"/>
    <m/>
    <s v="PERTIJ 4.15 02/25/60 REGS"/>
    <s v="US69370RAJ68"/>
    <n v="8100000"/>
    <n v="97.269000000000005"/>
    <n v="8156604.7000000002"/>
    <n v="63394563.409999996"/>
    <n v="-1991221.34"/>
    <n v="30546.19"/>
    <n v="61403342.07"/>
    <n v="1.2699999999999999E-2"/>
    <m/>
    <s v="Investments"/>
    <s v="BBG00RQ7Y8Y4"/>
    <s v="BOND"/>
    <s v="Corp"/>
    <s v="#N/A Field Not Applicable"/>
    <n v="0.5"/>
    <n v="2.4771000000000001E-2"/>
    <s v="High"/>
    <n v="1.9"/>
    <n v="6.8278000000000005E-2"/>
    <s v="High"/>
    <n v="7912353.7550068898"/>
    <s v=""/>
    <s v=""/>
    <s v=""/>
    <s v="Baa2"/>
    <s v="BBB"/>
    <n v="0"/>
    <n v="13"/>
    <n v="13"/>
    <n v="13"/>
    <s v="ID"/>
    <s v="Energy"/>
    <s v="Oil&amp;Gas"/>
    <s v="Oil Comp-Integrated"/>
    <s v="N"/>
    <s v=" "/>
    <s v="ACTV"/>
    <s v="Corporate"/>
    <s v="Non-Financial"/>
    <s v="Investment Grade"/>
    <s v="Asia - others (1)"/>
    <s v="High"/>
    <s v="High"/>
    <s v="#N/A Field Not Applicable"/>
    <s v="INDUSTRIAL"/>
    <s v="#N/A Field Not Applicable"/>
    <n v="0.19442625524082019"/>
    <s v="2/25/2060"/>
    <n v="40.016438356164386"/>
    <s v="10 yrs or Above"/>
    <n v="0.59848048135878185"/>
    <n v="19.492832407333502"/>
    <n v="0.29153218530728886"/>
    <n v="4.0485065074155111"/>
    <n v="6.0548919965760749E-2"/>
    <s v="US69370RAJ68"/>
    <s v="-"/>
    <n v="-34.090000000000003"/>
    <n v="7912353.7550068898"/>
    <n v="1.2856149478410532E-2"/>
    <s v="10 yrs or Above"/>
    <x v="7"/>
  </r>
  <r>
    <s v="Investments"/>
    <s v="Investments Long"/>
    <s v="Avaliable for Trading"/>
    <s v="United States Dollar"/>
    <m/>
    <s v="PERTIJ 4.175 01/21/50 REGS"/>
    <s v="US69370RAG20"/>
    <n v="4000000"/>
    <n v="99.933000000000007"/>
    <n v="4000000"/>
    <n v="31086000.010000002"/>
    <n v="67113.34"/>
    <n v="137382.09"/>
    <n v="31153113.350000001"/>
    <n v="6.4000000000000003E-3"/>
    <m/>
    <s v="Investments"/>
    <s v="BBG00RCXL1D4"/>
    <s v="BOND"/>
    <s v="Corp"/>
    <s v="#N/A Field Not Applicable"/>
    <n v="0.4"/>
    <n v="1.1875999999999999E-2"/>
    <s v="High"/>
    <n v="1.9"/>
    <n v="3.2494000000000002E-2"/>
    <s v="High"/>
    <n v="4030047.1954973405"/>
    <s v=""/>
    <s v=""/>
    <s v=""/>
    <s v="Baa2"/>
    <s v="BBB"/>
    <n v="0"/>
    <n v="13"/>
    <n v="13"/>
    <n v="13"/>
    <s v="ID"/>
    <s v="Energy"/>
    <s v="Oil&amp;Gas"/>
    <s v="Oil Comp-Integrated"/>
    <s v="N"/>
    <s v=" "/>
    <s v="ACTV"/>
    <s v="Corporate"/>
    <s v="Non-Financial"/>
    <s v="Investment Grade"/>
    <s v="Asia - others (1)"/>
    <s v="High"/>
    <s v="High"/>
    <s v="#N/A Field Not Applicable"/>
    <s v="INDUSTRIAL"/>
    <s v="#N/A Field Not Applicable"/>
    <n v="9.9028305473386299E-2"/>
    <s v="1/21/2050"/>
    <n v="29.915068493150685"/>
    <s v="10 yrs or Above"/>
    <n v="0.22787988776900003"/>
    <n v="17.094457452542574"/>
    <n v="0.13021808880863009"/>
    <n v="3.8679994205738892"/>
    <n v="2.9464725245497873E-2"/>
    <s v="US69370RAG20"/>
    <s v="-"/>
    <n v="-31.2"/>
    <n v="4030047.1954973405"/>
    <n v="6.5481006985534922E-3"/>
    <s v="10 yrs or Above"/>
    <x v="7"/>
  </r>
  <r>
    <s v="Investments"/>
    <s v="Investments Long"/>
    <s v="Avaliable for Trading"/>
    <s v="United States Dollar"/>
    <m/>
    <s v="PLNIJ 4.875 07/17/49 REGS"/>
    <s v="US71568QAK31"/>
    <n v="2650000"/>
    <n v="111.447"/>
    <n v="3072125"/>
    <n v="23941377.329999998"/>
    <n v="-924479.17"/>
    <n v="117462.66"/>
    <n v="23016898.16"/>
    <n v="4.7999999999999996E-3"/>
    <m/>
    <s v="Investments"/>
    <s v="BBG00PNXRWB4"/>
    <s v="BOND"/>
    <s v="Corp"/>
    <s v="#N/A Field Not Applicable"/>
    <n v="0.7"/>
    <n v="1.261E-2"/>
    <s v="High"/>
    <n v="2"/>
    <n v="3.2469999999999999E-2"/>
    <s v="High"/>
    <n v="2979581.0079466272"/>
    <s v=""/>
    <s v=""/>
    <s v="BBB"/>
    <s v="Baa2"/>
    <s v="BBB"/>
    <n v="13"/>
    <n v="13"/>
    <n v="13"/>
    <n v="13"/>
    <s v="ID"/>
    <s v="Utilities"/>
    <s v="Electric"/>
    <s v="Electric-Integrated"/>
    <s v="N"/>
    <s v=" "/>
    <s v="ACTV"/>
    <s v="Corporate"/>
    <s v="Non-Financial"/>
    <s v="Investment Grade"/>
    <s v="Asia - others (1)"/>
    <s v="High"/>
    <s v="High"/>
    <s v="#N/A Field Not Applicable"/>
    <s v="UTILITY - ELEC"/>
    <s v="#N/A Field Not Applicable"/>
    <n v="7.3215732700923297E-2"/>
    <s v="7/17/2049"/>
    <n v="29.4"/>
    <s v="10 yrs or Above"/>
    <n v="0.16558019549285732"/>
    <n v="16.393771971050906"/>
    <n v="9.2329386660950141E-2"/>
    <n v="3.9990393730245071"/>
    <n v="2.2522507522756172E-2"/>
    <s v="US71568QAK31"/>
    <s v="-"/>
    <n v="-30.64"/>
    <n v="2979581.0079466272"/>
    <n v="4.8412823803479707E-3"/>
    <s v="10 yrs or Above"/>
    <x v="7"/>
  </r>
  <r>
    <s v="Investments"/>
    <s v="Investments Long"/>
    <s v="Avaliable for Trading"/>
    <s v="United States Dollar"/>
    <m/>
    <s v="PLNIJ 5.25 10/24/42 REGS"/>
    <s v="US71568QAB32"/>
    <n v="2000000"/>
    <n v="115.986"/>
    <n v="2410000"/>
    <n v="18768116"/>
    <n v="-689378.18"/>
    <n v="284138.02"/>
    <n v="18078737.82"/>
    <n v="3.7000000000000002E-3"/>
    <m/>
    <s v="Investments"/>
    <s v="BBG003H4WJB7"/>
    <s v="BOND"/>
    <s v="Corp"/>
    <s v="#N/A Field Not Applicable"/>
    <n v="0.7"/>
    <n v="1.3979E-2"/>
    <s v="High"/>
    <n v="2"/>
    <n v="3.5862999999999999E-2"/>
    <s v="High"/>
    <n v="2365039.4549412052"/>
    <s v=""/>
    <s v=""/>
    <s v="BBB"/>
    <s v="Baa2"/>
    <s v="BBB"/>
    <n v="13"/>
    <n v="13"/>
    <n v="13"/>
    <n v="13"/>
    <s v="ID"/>
    <s v="Utilities"/>
    <s v="Electric"/>
    <s v="Electric-Integrated"/>
    <s v="N"/>
    <s v=" "/>
    <s v="ACTV"/>
    <s v="Corporate"/>
    <s v="Non-Financial"/>
    <s v="Investment Grade"/>
    <s v="Asia - others (1)"/>
    <s v="High"/>
    <s v="High"/>
    <s v="#N/A Field Not Applicable"/>
    <s v="UTILITY - ELEC"/>
    <s v="#N/A Field Not Applicable"/>
    <n v="5.8114914848193436E-2"/>
    <s v="10/24/2042"/>
    <n v="22.665753424657535"/>
    <s v="10 yrs or Above"/>
    <n v="0.10132448694185549"/>
    <n v="13.804427294800037"/>
    <n v="6.171100898195242E-2"/>
    <n v="3.9517531456406654"/>
    <n v="1.7665830581537527E-2"/>
    <s v="US71568QAB32"/>
    <s v="-"/>
    <n v="-27.1"/>
    <n v="2365039.4549412052"/>
    <n v="3.8427630634970556E-3"/>
    <s v="10 yrs or Above"/>
    <x v="7"/>
  </r>
  <r>
    <s v="Investments"/>
    <s v="Investments Long"/>
    <s v="Avaliable for Trading"/>
    <s v="United States Dollar"/>
    <m/>
    <s v="PNSTTA 6.625 06/17/31 REGS"/>
    <s v="USG7150PAA87"/>
    <n v="5000000"/>
    <n v="102.3"/>
    <n v="5000000"/>
    <n v="38813000"/>
    <n v="1050752.5"/>
    <n v="100395.43"/>
    <n v="39863752.5"/>
    <n v="8.2000000000000007E-3"/>
    <m/>
    <s v="Investments"/>
    <s v="BBG00D2WYB33"/>
    <s v="BOND"/>
    <s v="Corp"/>
    <s v="#N/A Field Not Applicable"/>
    <n v="3.7"/>
    <n v="2.1062999999999998E-2"/>
    <s v="Medium"/>
    <n v="9.9"/>
    <n v="4.8529999999999997E-2"/>
    <s v="Low"/>
    <n v="5147166.8959210748"/>
    <s v=""/>
    <s v=""/>
    <s v="BBB+"/>
    <s v="Baa3"/>
    <s v=""/>
    <n v="14"/>
    <n v="12"/>
    <n v="0"/>
    <n v="12"/>
    <s v="KY"/>
    <s v="Energy"/>
    <s v="Oil&amp;Gas Services"/>
    <s v="Oil-Field Services"/>
    <s v="N"/>
    <s v=" "/>
    <s v="ACTV"/>
    <s v="Corporate"/>
    <s v="Non-Financial"/>
    <s v="Investment Grade"/>
    <s v="America - others (2)"/>
    <s v="Medium"/>
    <s v="Low"/>
    <s v="#N/A Field Not Applicable"/>
    <s v="SPECIAL PURPOSE"/>
    <s v="#N/A Field Not Applicable"/>
    <n v="0.11674958880678529"/>
    <s v="6/17/2031"/>
    <n v="11.304109589041095"/>
    <s v="10 yrs or Above"/>
    <n v="0.10997917886228221"/>
    <n v="5.8308500057817385"/>
    <n v="5.6729111714088294E-2"/>
    <n v="6.2805447358343871"/>
    <n v="6.1104251282607054E-2"/>
    <s v="USG7150PAA87"/>
    <s v="-"/>
    <n v="-14.64"/>
    <n v="5147166.8959210748"/>
    <n v="8.3632189678594648E-3"/>
    <s v="5 - 7 yrs"/>
    <x v="14"/>
  </r>
  <r>
    <s v="Investments"/>
    <s v="Investments Long"/>
    <s v="Avaliable for Trading"/>
    <s v="United States Dollar"/>
    <m/>
    <s v="POSABK V4.5 PERP"/>
    <s v="XS1684793018 Perfshs"/>
    <n v="11500000"/>
    <n v="101.337"/>
    <n v="11919623.220000001"/>
    <n v="93467617.799999997"/>
    <n v="-2644078.42"/>
    <n v="0"/>
    <n v="90823539.379999995"/>
    <n v="1.8700000000000001E-2"/>
    <m/>
    <s v="Investments"/>
    <s v="BBG00HPPFXF4"/>
    <s v="BOND"/>
    <s v="Equity"/>
    <s v="#N/A Field Not Applicable"/>
    <n v="0.5"/>
    <n v="2.1580000000000002E-3"/>
    <s v="High"/>
    <n v="1.9"/>
    <n v="5.4780000000000002E-3"/>
    <s v="High"/>
    <n v="11697582.445294488"/>
    <s v=""/>
    <s v=""/>
    <s v=""/>
    <s v=""/>
    <s v=""/>
    <n v="0"/>
    <n v="0"/>
    <n v="0"/>
    <n v="0"/>
    <s v="CN"/>
    <s v="Financial"/>
    <s v="Banks"/>
    <s v="Money Center Banks"/>
    <s v="Y"/>
    <s v="Common Equity Tier 1 Ratio"/>
    <s v="ACTV"/>
    <s v="Equity"/>
    <s v="Financial"/>
    <s v=""/>
    <s v="China"/>
    <s v="High"/>
    <s v="High"/>
    <s v="Financials"/>
    <s v="BANK"/>
    <s v="#N/A Field Not Applicable"/>
    <s v=""/>
    <s v=""/>
    <s v=""/>
    <s v=""/>
    <s v=""/>
    <n v="2.336239965351655"/>
    <n v="5.1655839859103894E-2"/>
    <n v="3.3322868084854411"/>
    <n v="7.3679106725587903E-2"/>
    <s v="XS1684793018"/>
    <s v="-"/>
    <n v="-7.67"/>
    <n v="11697582.445294488"/>
    <n v="1.9006464208905432E-2"/>
    <s v="2 - 3 yrs"/>
    <x v="5"/>
  </r>
  <r>
    <s v="Investments"/>
    <s v="Investments Long"/>
    <s v="Avaliable for Trading"/>
    <s v="United States Dollar"/>
    <m/>
    <s v="PRUFIN 5.25 PERP EMTN"/>
    <s v="XS0873630742"/>
    <n v="4000000"/>
    <n v="100.179"/>
    <n v="3956363.64"/>
    <n v="31022233.100000001"/>
    <n v="207568.36"/>
    <n v="300049.75"/>
    <n v="31229801.460000001"/>
    <n v="6.4000000000000003E-3"/>
    <m/>
    <s v="Investments"/>
    <s v="BBG003T3TLJ7"/>
    <s v="BOND"/>
    <s v="Corp"/>
    <s v="#N/A Field Not Applicable"/>
    <n v="4.4000000000000004"/>
    <n v="6.1850000000000004E-3"/>
    <s v="Medium"/>
    <n v="9.6999999999999993"/>
    <n v="1.4793000000000001E-2"/>
    <s v="Low"/>
    <n v="4060874.9288409771"/>
    <s v=""/>
    <s v=""/>
    <s v="BBB+"/>
    <s v="Baa1"/>
    <s v="BBB"/>
    <n v="14"/>
    <n v="14"/>
    <n v="13"/>
    <n v="14"/>
    <s v="GB"/>
    <s v="Financial"/>
    <s v="Insurance"/>
    <s v="Life/Health Insurance"/>
    <s v="N"/>
    <s v=" "/>
    <s v="ACTV"/>
    <s v="Corporate"/>
    <s v="Financial"/>
    <s v="Investment Grade"/>
    <s v="United Kingdom"/>
    <s v="Medium"/>
    <s v="Low"/>
    <s v="Financials"/>
    <s v="FINANCIAL"/>
    <s v="#N/A Field Not Applicable"/>
    <n v="0.10746165201403453"/>
    <s v="3/23/2168"/>
    <n v="148.16164383561645"/>
    <s v="10 yrs or Above"/>
    <n v="1.1372639294064526"/>
    <n v="0.2810775144398942"/>
    <n v="2.1575038604078338E-3"/>
    <n v="5.2124165111245233"/>
    <n v="4.0009634947905104E-2"/>
    <s v="XS0873630742"/>
    <s v="-"/>
    <n v="-4.08"/>
    <n v="4060874.9288409771"/>
    <n v="6.5981902117651058E-3"/>
    <s v="0 - 1 yr"/>
    <x v="15"/>
  </r>
  <r>
    <s v="Investments"/>
    <s v="Investments Long"/>
    <s v="Avaliable for Trading"/>
    <s v="United States Dollar"/>
    <m/>
    <s v="PTTEPT 3.903 12/06/59 REGS"/>
    <s v="USY7150MAE76"/>
    <n v="3000000"/>
    <n v="111.953"/>
    <n v="3049658"/>
    <n v="23749048.82"/>
    <n v="2426122.34"/>
    <n v="210391.38"/>
    <n v="26175171.16"/>
    <n v="5.4000000000000003E-3"/>
    <m/>
    <s v="Investments"/>
    <s v="BBG00QZ1TJH0"/>
    <s v="BOND"/>
    <s v="Corp"/>
    <s v="#N/A Field Not Applicable"/>
    <n v="0.5"/>
    <n v="1.8100000000000002E-2"/>
    <s v="High"/>
    <n v="2"/>
    <n v="4.8371999999999998E-2"/>
    <s v="High"/>
    <n v="3398318.2695156033"/>
    <s v=""/>
    <s v=""/>
    <s v=""/>
    <s v="Baa1"/>
    <s v="BBB+"/>
    <n v="0"/>
    <n v="14"/>
    <n v="14"/>
    <n v="14"/>
    <s v="TH"/>
    <s v="Energy"/>
    <s v="Oil&amp;Gas"/>
    <s v="Oil Comp-Explor&amp;Prodtn"/>
    <s v="N"/>
    <s v=" "/>
    <s v="ACTV"/>
    <s v="Corporate"/>
    <s v="Non-Financial"/>
    <s v="Investment Grade"/>
    <s v="Asia - others (1)"/>
    <s v="High"/>
    <s v="High"/>
    <s v="#N/A Field Not Applicable"/>
    <s v="INDUSTRIAL"/>
    <s v="#N/A Field Not Applicable"/>
    <n v="8.9928624178497188E-2"/>
    <s v="12/6/2059"/>
    <n v="39.794520547945204"/>
    <s v="10 yrs or Above"/>
    <n v="0.25561903447997486"/>
    <n v="21.226371510166409"/>
    <n v="0.13634702758649392"/>
    <n v="3.2440807201644986"/>
    <n v="2.0838265420598693E-2"/>
    <s v="USY7150MAE76"/>
    <s v="-"/>
    <n v="-22.03"/>
    <n v="3398318.2695156033"/>
    <n v="5.5216549968408191E-3"/>
    <s v="10 yrs or Above"/>
    <x v="16"/>
  </r>
  <r>
    <s v="Investments"/>
    <s v="Investments Long"/>
    <s v="Avaliable for Trading"/>
    <s v="United States Dollar"/>
    <m/>
    <s v="PWCNPG 4.5 12/06/21"/>
    <s v="XS1917764372"/>
    <n v="4000000"/>
    <n v="103.431"/>
    <n v="3977274.31"/>
    <n v="31100002.75"/>
    <n v="1143577.28"/>
    <n v="323430.25"/>
    <n v="32243580.030000001"/>
    <n v="6.7000000000000002E-3"/>
    <m/>
    <s v="Investments"/>
    <s v="BBG00MNS44N6"/>
    <s v="BOND"/>
    <s v="Corp"/>
    <s v="#N/A Field Not Applicable"/>
    <n v="4.7"/>
    <n v="2.8700000000000002E-3"/>
    <s v="Medium"/>
    <n v="10.7"/>
    <n v="6.6579999999999999E-3"/>
    <s v="Illiquid"/>
    <n v="4194455.4280488901"/>
    <s v=""/>
    <s v=""/>
    <s v=""/>
    <s v="Baa1"/>
    <s v="BBB+"/>
    <n v="0"/>
    <n v="14"/>
    <n v="14"/>
    <n v="14"/>
    <s v="CN"/>
    <s v="Financial"/>
    <s v="Real Estate"/>
    <s v="Real Estate Oper/Develop"/>
    <s v="N"/>
    <s v=" "/>
    <s v="ACTV"/>
    <s v="Corporate"/>
    <s v="Financial"/>
    <s v="Investment Grade"/>
    <s v="China"/>
    <s v="Medium"/>
    <s v="Illiquid"/>
    <s v="#N/A Field Not Applicable"/>
    <s v="FINANCIAL"/>
    <s v="#N/A Field Not Applicable"/>
    <n v="0.11099655061920746"/>
    <s v="12/6/2021"/>
    <n v="1.7698630136986302"/>
    <s v="1 - 2 yrs"/>
    <n v="1.4032049256361648E-2"/>
    <n v="1.6589117505289828"/>
    <n v="1.315239157788488E-2"/>
    <n v="2.0093483429709211"/>
    <n v="1.5930766790156609E-2"/>
    <s v="XS1917764372"/>
    <s v="-"/>
    <n v="-1.66"/>
    <n v="4194455.4280488901"/>
    <n v="6.8152344590765848E-3"/>
    <s v="1 - 2 yrs"/>
    <x v="5"/>
  </r>
  <r>
    <s v="Investments"/>
    <s v="Investments Long"/>
    <s v="Avaliable for Trading"/>
    <s v="United States Dollar"/>
    <m/>
    <s v="PWRLNG 7.125 11/08/22"/>
    <s v="XS2078556342"/>
    <n v="6000000"/>
    <n v="101.208"/>
    <n v="6037407.5"/>
    <n v="47253281.93"/>
    <n v="72590.94"/>
    <n v="1027280.71"/>
    <n v="47325872.869999997"/>
    <n v="9.7999999999999997E-3"/>
    <m/>
    <s v="Investments"/>
    <s v="BBG00QRVV8P5"/>
    <s v="BOND"/>
    <s v="Corp"/>
    <s v="#N/A Field Not Applicable"/>
    <n v="2"/>
    <n v="6.7590000000000003E-3"/>
    <s v="High"/>
    <n v="5.7"/>
    <n v="1.6131E-2"/>
    <s v="Medium"/>
    <n v="6227625.6172481738"/>
    <s v=""/>
    <s v=""/>
    <s v=""/>
    <s v="B2"/>
    <s v=""/>
    <n v="0"/>
    <n v="7"/>
    <n v="0"/>
    <n v="7"/>
    <s v="CN"/>
    <s v="Financial"/>
    <s v="Real Estate"/>
    <s v="Real Estate Oper/Develop"/>
    <s v="N"/>
    <s v=" "/>
    <s v="ACTV"/>
    <s v="Corporate"/>
    <s v="Financial"/>
    <s v="Non-Investment Grade"/>
    <s v="China"/>
    <s v="High"/>
    <s v="Medium"/>
    <s v="Real Estate"/>
    <s v="FINANCIAL"/>
    <s v="#N/A Field Not Applicable"/>
    <n v="8.23998459299283E-2"/>
    <s v="11/8/2022"/>
    <n v="2.6931506849315068"/>
    <s v="2 - 3 yrs"/>
    <n v="3.1702171643491005E-2"/>
    <n v="2.3399466722804525"/>
    <n v="2.7544463611451103E-2"/>
    <n v="6.5673046993905908"/>
    <n v="7.7306413629239831E-2"/>
    <s v="XS2078556342"/>
    <s v="-"/>
    <n v="-6.59"/>
    <n v="6227625.6172481738"/>
    <n v="1.0118769750437108E-2"/>
    <s v="2 - 3 yrs"/>
    <x v="5"/>
  </r>
  <r>
    <s v="Investments"/>
    <s v="Investments Long"/>
    <s v="Avaliable for Trading"/>
    <s v="United States Dollar"/>
    <m/>
    <s v="PWRLNG 9.125 01/14/21"/>
    <s v="XS1932406314"/>
    <n v="1000000"/>
    <n v="102.752"/>
    <n v="1037500"/>
    <n v="8118852.5"/>
    <n v="-110875.38"/>
    <n v="88894.61"/>
    <n v="8007977.1200000001"/>
    <n v="1.6999999999999999E-3"/>
    <m/>
    <s v="Investments"/>
    <s v="BBG00N0J9QB8"/>
    <s v="BOND"/>
    <s v="Corp"/>
    <s v="#N/A Field Not Applicable"/>
    <n v="0.5"/>
    <n v="3.7130000000000002E-3"/>
    <s v="High"/>
    <n v="2"/>
    <n v="8.4390000000000003E-3"/>
    <s v="High"/>
    <n v="1042833.4466725913"/>
    <s v=""/>
    <s v=""/>
    <s v="B"/>
    <s v="B2"/>
    <s v=""/>
    <n v="7"/>
    <n v="7"/>
    <n v="0"/>
    <n v="7"/>
    <s v="CN"/>
    <s v="Financial"/>
    <s v="Real Estate"/>
    <s v="Real Estate Oper/Develop"/>
    <s v="N"/>
    <s v=" "/>
    <s v="ACTV"/>
    <s v="Corporate"/>
    <s v="Financial"/>
    <s v="Non-Investment Grade"/>
    <s v="China"/>
    <s v="High"/>
    <s v="High"/>
    <s v="Real Estate"/>
    <s v="FINANCIAL"/>
    <s v="#N/A Field Not Applicable"/>
    <n v="1.3798086239867381E-2"/>
    <s v="1/14/2021"/>
    <n v="0.87671232876712324"/>
    <s v="0 - 1 yr"/>
    <n v="1.7281360456976758E-3"/>
    <n v="0.80047331998726023"/>
    <n v="1.5778571288424534E-3"/>
    <n v="5.6226068894602745"/>
    <n v="1.1083030679092193E-2"/>
    <s v="XS1932406314"/>
    <s v="-"/>
    <n v="-2.48"/>
    <n v="1042833.4466725913"/>
    <n v="1.6944164892810987E-3"/>
    <s v="0 - 1 yr"/>
    <x v="5"/>
  </r>
  <r>
    <s v="Investments"/>
    <s v="Investments Long"/>
    <s v="Avaliable for Trading"/>
    <s v="United States Dollar"/>
    <m/>
    <s v="REDSUN 11.5 03/04/21"/>
    <s v="XS1958110089"/>
    <n v="3700000"/>
    <n v="103.297"/>
    <n v="3812161"/>
    <n v="29691192.649999999"/>
    <n v="95478.62"/>
    <n v="1612009.7"/>
    <n v="29786671.27"/>
    <n v="6.1000000000000004E-3"/>
    <m/>
    <s v="Investments"/>
    <s v="BBG00NG9L0S8"/>
    <s v="BOND"/>
    <s v="Corp"/>
    <s v="#N/A Field Not Applicable"/>
    <n v="0.5"/>
    <n v="5.2960000000000004E-3"/>
    <s v="High"/>
    <n v="2"/>
    <n v="1.23E-2"/>
    <s v="High"/>
    <n v="4043980.9087747764"/>
    <s v=""/>
    <s v=""/>
    <s v=""/>
    <s v=""/>
    <s v="B+"/>
    <n v="0"/>
    <n v="0"/>
    <n v="8"/>
    <n v="8"/>
    <s v="CN"/>
    <s v="Financial"/>
    <s v="Real Estate"/>
    <s v="Real Estate Oper/Develop"/>
    <s v="N"/>
    <s v=" "/>
    <s v="ACTV"/>
    <s v="Corporate"/>
    <s v="Financial"/>
    <s v="Non-Investment Grade"/>
    <s v="China"/>
    <s v="High"/>
    <s v="High"/>
    <s v="Real Estate"/>
    <s v="FINANCIAL"/>
    <s v="#N/A Field Not Applicable"/>
    <n v="6.1151194794958202E-2"/>
    <s v="3/4/2021"/>
    <n v="1.010958904109589"/>
    <s v="1 - 2 yrs"/>
    <n v="7.7276681093628686E-3"/>
    <n v="0.91940827841027206"/>
    <n v="7.0278643411454643E-3"/>
    <n v="8.0821788565766823"/>
    <n v="6.1779361703276657E-2"/>
    <s v="XS1958110089"/>
    <s v="-"/>
    <n v="-3.4"/>
    <n v="4043980.9087747764"/>
    <n v="6.5707404725361303E-3"/>
    <s v="0 - 1 yr"/>
    <x v="5"/>
  </r>
  <r>
    <s v="Investments"/>
    <s v="Investments Long"/>
    <s v="Avaliable for Trading"/>
    <s v="United States Dollar"/>
    <m/>
    <s v="REDSUN 13.5 12/03/20"/>
    <s v="XS1908223545"/>
    <n v="1100000"/>
    <n v="104.239"/>
    <n v="1155000"/>
    <n v="9014775"/>
    <n v="-78521.89"/>
    <n v="276474.40999999997"/>
    <n v="8936253.1099999994"/>
    <n v="1.8E-3"/>
    <m/>
    <s v="Investments"/>
    <s v="BBG00MNWHQT8"/>
    <s v="BOND"/>
    <s v="Corp"/>
    <s v="#N/A Field Not Applicable"/>
    <n v="0.4"/>
    <n v="3.6679999999999998E-3"/>
    <s v="High"/>
    <n v="2"/>
    <n v="8.4049999999999993E-3"/>
    <s v="High"/>
    <n v="1186549.6593382531"/>
    <s v=""/>
    <s v=""/>
    <s v=""/>
    <s v=""/>
    <s v="B+"/>
    <n v="0"/>
    <n v="0"/>
    <n v="8"/>
    <n v="8"/>
    <s v="CN"/>
    <s v="Financial"/>
    <s v="Real Estate"/>
    <s v="Real Estate Oper/Develop"/>
    <s v="N"/>
    <s v=" "/>
    <s v="ACTV"/>
    <s v="Corporate"/>
    <s v="Financial"/>
    <s v="Non-Investment Grade"/>
    <s v="China"/>
    <s v="High"/>
    <s v="High"/>
    <s v="Real Estate"/>
    <s v="FINANCIAL"/>
    <s v="#N/A Field Not Applicable"/>
    <n v="1.794245101272457E-2"/>
    <s v="12/3/2020"/>
    <n v="0.76164383561643834"/>
    <s v="0 - 1 yr"/>
    <n v="1.7082196512114487E-3"/>
    <n v="0.67430317231164161"/>
    <n v="1.5123314546158005E-3"/>
    <n v="7.5523809226154164"/>
    <n v="1.693852809168284E-2"/>
    <s v="XS1908223545"/>
    <s v="-"/>
    <n v="-2.82"/>
    <n v="1186549.6593382531"/>
    <n v="1.9279294450601058E-3"/>
    <s v="0 - 1 yr"/>
    <x v="5"/>
  </r>
  <r>
    <s v="Investments"/>
    <s v="Investments Long"/>
    <s v="Avaliable for Trading"/>
    <s v="United States Dollar"/>
    <m/>
    <s v="REDSUN 9.95 04/11/22"/>
    <s v="XS1976473618"/>
    <n v="410000"/>
    <n v="101.364"/>
    <n v="415125"/>
    <n v="3224358.9"/>
    <n v="14560.47"/>
    <n v="121875.4"/>
    <n v="3238919.37"/>
    <n v="6.9999999999999999E-4"/>
    <m/>
    <s v="Investments"/>
    <s v="BBG00NTXM180"/>
    <s v="BOND"/>
    <s v="Corp"/>
    <s v="#N/A Field Not Applicable"/>
    <n v="0.3"/>
    <n v="5.3839999999999999E-3"/>
    <s v="High"/>
    <n v="1.8"/>
    <n v="1.3919000000000001E-2"/>
    <s v="High"/>
    <n v="432852.25583761575"/>
    <s v=""/>
    <s v=""/>
    <s v=""/>
    <s v="B3"/>
    <s v="B+"/>
    <n v="0"/>
    <n v="6"/>
    <n v="8"/>
    <n v="6"/>
    <s v="CN"/>
    <s v="Financial"/>
    <s v="Real Estate"/>
    <s v="Real Estate Oper/Develop"/>
    <s v="N"/>
    <s v=" "/>
    <s v="ACTV"/>
    <s v="Corporate"/>
    <s v="Financial"/>
    <s v="Non-Investment Grade"/>
    <s v="China"/>
    <s v="High"/>
    <s v="High"/>
    <s v="Real Estate"/>
    <s v="FINANCIAL"/>
    <s v="#N/A Field Not Applicable"/>
    <n v="4.9090425767210205E-3"/>
    <s v="4/11/2022"/>
    <n v="2.1150684931506851"/>
    <s v="2 - 3 yrs"/>
    <n v="1.730493547592981E-3"/>
    <n v="1.7797696728390613"/>
    <n v="1.4561608501206325E-3"/>
    <n v="9.248584252984152"/>
    <n v="7.5669489787151302E-3"/>
    <s v="XS1976473618"/>
    <s v="-"/>
    <n v="-7.03"/>
    <n v="432852.25583761575"/>
    <n v="7.0330693942926984E-4"/>
    <s v="1 - 2 yrs"/>
    <x v="5"/>
  </r>
  <r>
    <s v="Investments"/>
    <s v="Investments Long"/>
    <s v="Avaliable for Trading"/>
    <s v="United States Dollar"/>
    <m/>
    <s v="RIBL V3.174 02/25/30"/>
    <s v="XS2120069047"/>
    <n v="5000000"/>
    <n v="100.395"/>
    <n v="5000000"/>
    <n v="38838000"/>
    <n v="283421.62"/>
    <n v="24186.87"/>
    <n v="39121421.619999997"/>
    <n v="8.0999999999999996E-3"/>
    <m/>
    <s v="Investments"/>
    <s v="BBG00RPXTTD1"/>
    <s v="BOND"/>
    <s v="Corp"/>
    <s v="#N/A Field Not Applicable"/>
    <n v="0.5"/>
    <n v="3.663E-3"/>
    <s v="High"/>
    <n v="1.5"/>
    <n v="9.7219999999999997E-3"/>
    <s v="High"/>
    <n v="5041743.4269670146"/>
    <s v=""/>
    <s v=""/>
    <s v=""/>
    <s v=""/>
    <s v="BBB-"/>
    <n v="0"/>
    <n v="0"/>
    <n v="12"/>
    <n v="12"/>
    <s v="SA"/>
    <s v="Financial"/>
    <s v="Banks"/>
    <s v="Commer Banks Non-US"/>
    <s v="N"/>
    <s v=" "/>
    <s v="ACTV"/>
    <s v="Corporate"/>
    <s v="Financial"/>
    <s v="Investment Grade"/>
    <s v="Saudi Arabia"/>
    <s v="High"/>
    <s v="High"/>
    <s v="Financials"/>
    <s v="BANK"/>
    <s v="#N/A Field Not Applicable"/>
    <n v="0.11435834195199122"/>
    <s v="2/25/2030"/>
    <n v="9.9972602739726035"/>
    <s v="7 - 10 yrs"/>
    <n v="9.5272509082834689E-2"/>
    <n v="4.5531175228831566"/>
    <n v="4.3390580885789599E-2"/>
    <n v="2.7701877065866105"/>
    <n v="2.639950608508616E-2"/>
    <s v="XS2120069047"/>
    <s v="-"/>
    <n v="-8.89"/>
    <n v="5041743.4269670146"/>
    <n v="8.1919248223533553E-3"/>
    <s v="3 - 5 yrs"/>
    <x v="6"/>
  </r>
  <r>
    <s v="Investments"/>
    <s v="Investments Long"/>
    <s v="Avaliable for Trading"/>
    <s v="United States Dollar"/>
    <m/>
    <s v="RONXIN 10.5 03/01/22"/>
    <s v="XS1957481440"/>
    <n v="6000000"/>
    <n v="107.49"/>
    <n v="6165609.4400000004"/>
    <n v="48393696.890000001"/>
    <n v="1869702.09"/>
    <n v="2427675.2599999998"/>
    <n v="50263398.979999997"/>
    <n v="1.04E-2"/>
    <m/>
    <s v="Investments"/>
    <s v="BBG00NG9J699"/>
    <s v="BOND"/>
    <s v="Corp"/>
    <s v="#N/A Field Not Applicable"/>
    <n v="2"/>
    <n v="9.1409999999999998E-3"/>
    <s v="High"/>
    <n v="2.8"/>
    <n v="2.1496000000000001E-2"/>
    <s v="High"/>
    <n v="6786326.4222144932"/>
    <s v=""/>
    <s v=""/>
    <s v=""/>
    <s v=""/>
    <s v="BB-"/>
    <n v="0"/>
    <n v="0"/>
    <n v="9"/>
    <n v="9"/>
    <s v="CN"/>
    <s v="Financial"/>
    <s v="Real Estate"/>
    <s v="Real Estate Oper/Develop"/>
    <s v="N"/>
    <s v=" "/>
    <s v="ACTV"/>
    <s v="Corporate"/>
    <s v="Financial"/>
    <s v="Non-Investment Grade"/>
    <s v="China"/>
    <s v="High"/>
    <s v="High"/>
    <s v="Real Estate"/>
    <s v="FINANCIAL"/>
    <s v="#N/A Field Not Applicable"/>
    <n v="0.11544712392122422"/>
    <s v="3/1/2022"/>
    <n v="2.0027397260273974"/>
    <s v="2 - 3 yrs"/>
    <n v="2.5690060148071511E-2"/>
    <n v="1.7810063819011133"/>
    <n v="2.284578494175878E-2"/>
    <n v="6.2109716690356471"/>
    <n v="7.9670979549596802E-2"/>
    <s v="XS1957481440"/>
    <s v="-"/>
    <n v="-4.82"/>
    <n v="6786326.4222144932"/>
    <n v="1.102655791117374E-2"/>
    <s v="1 - 2 yrs"/>
    <x v="5"/>
  </r>
  <r>
    <s v="Investments"/>
    <s v="Investments Long"/>
    <s v="Avaliable for Trading"/>
    <s v="United States Dollar"/>
    <m/>
    <s v="RONXIN 11.25 08/22/21"/>
    <s v="XS1950819729"/>
    <n v="4000000"/>
    <n v="107.152"/>
    <n v="4237681.24"/>
    <n v="33254139.190000001"/>
    <n v="149425.28"/>
    <n v="119337.98"/>
    <n v="33403564.469999999"/>
    <n v="6.8999999999999999E-3"/>
    <m/>
    <s v="Investments"/>
    <s v="BBG00NDFM319"/>
    <s v="BOND"/>
    <s v="Corp"/>
    <s v="#N/A Field Not Applicable"/>
    <n v="0.7"/>
    <n v="5.1349999999999998E-3"/>
    <s v="High"/>
    <n v="2"/>
    <n v="1.1903E-2"/>
    <s v="High"/>
    <n v="4317569.1884651547"/>
    <s v=""/>
    <s v=""/>
    <s v=""/>
    <s v=""/>
    <s v="BB-"/>
    <n v="0"/>
    <n v="0"/>
    <n v="9"/>
    <n v="9"/>
    <s v="CN"/>
    <s v="Financial"/>
    <s v="Real Estate"/>
    <s v="Real Estate Oper/Develop"/>
    <s v="N"/>
    <s v=" "/>
    <s v="ACTV"/>
    <s v="Corporate"/>
    <s v="Financial"/>
    <s v="Non-Investment Grade"/>
    <s v="China"/>
    <s v="High"/>
    <s v="High"/>
    <s v="Real Estate"/>
    <s v="FINANCIAL"/>
    <s v="#N/A Field Not Applicable"/>
    <n v="7.3449302925888915E-2"/>
    <s v="8/22/2021"/>
    <n v="1.4794520547945205"/>
    <s v="1 - 2 yrs"/>
    <n v="1.2073858015214616E-2"/>
    <n v="1.3349511173308621"/>
    <n v="1.0894581000898707E-2"/>
    <n v="5.9288333727244567"/>
    <n v="4.8385408710039809E-2"/>
    <s v="XS1950819729"/>
    <s v="-"/>
    <n v="-3.62"/>
    <n v="4317569.1884651547"/>
    <n v="7.0152721413856136E-3"/>
    <s v="1 - 2 yrs"/>
    <x v="5"/>
  </r>
  <r>
    <s v="Investments"/>
    <s v="Investments Long"/>
    <s v="Avaliable for Trading"/>
    <s v="United States Dollar"/>
    <m/>
    <s v="RONXIN 8.1 06/09/23"/>
    <s v="XS2090949160"/>
    <n v="1000000"/>
    <n v="102.73"/>
    <n v="1000000"/>
    <n v="7829500"/>
    <n v="176762.55"/>
    <n v="140283"/>
    <n v="8006262.5499999998"/>
    <n v="1.6999999999999999E-3"/>
    <m/>
    <s v="Investments"/>
    <s v="BBG00R0N6JC8"/>
    <s v="BOND"/>
    <s v="Corp"/>
    <s v="#N/A Field Not Applicable"/>
    <n v="0.5"/>
    <n v="8.763E-3"/>
    <s v="High"/>
    <n v="2"/>
    <n v="2.2741999999999998E-2"/>
    <s v="High"/>
    <n v="1049231.1670079723"/>
    <s v=""/>
    <s v=""/>
    <s v=""/>
    <s v=""/>
    <s v="BB-"/>
    <n v="0"/>
    <n v="0"/>
    <n v="9"/>
    <n v="9"/>
    <s v="CN"/>
    <s v="Financial"/>
    <s v="Real Estate"/>
    <s v="Real Estate Oper/Develop"/>
    <s v="N"/>
    <s v=" "/>
    <s v="ACTV"/>
    <s v="Corporate"/>
    <s v="Financial"/>
    <s v="Non-Investment Grade"/>
    <s v="China"/>
    <s v="High"/>
    <s v="High"/>
    <s v="Real Estate"/>
    <s v="FINANCIAL"/>
    <s v="#N/A Field Not Applicable"/>
    <n v="1.784923285786378E-2"/>
    <s v="6/9/2023"/>
    <n v="3.2767123287671232"/>
    <s v="3 - 5 yrs"/>
    <n v="6.4985334849330528E-3"/>
    <n v="2.7776531377997049"/>
    <n v="5.5087752949958806E-3"/>
    <n v="6.8299693693273538"/>
    <n v="1.3545523742800106E-2"/>
    <s v="XS2090949160"/>
    <s v="-"/>
    <n v="-6.71"/>
    <n v="1049231.1670079723"/>
    <n v="1.7048116323067346E-3"/>
    <s v="2 - 3 yrs"/>
    <x v="5"/>
  </r>
  <r>
    <s v="Investments"/>
    <s v="Investments Long"/>
    <s v="Avaliable for Trading"/>
    <s v="United States Dollar"/>
    <m/>
    <s v="RONXIN 8.75 10/25/22"/>
    <s v="XS1976760782"/>
    <n v="2000000"/>
    <n v="104.66"/>
    <n v="2117000"/>
    <n v="16486349.199999999"/>
    <n v="-172995"/>
    <n v="469774.86"/>
    <n v="16313354.199999999"/>
    <n v="3.3999999999999998E-3"/>
    <m/>
    <s v="Investments"/>
    <s v="BBG00NWVJPB7"/>
    <s v="BOND"/>
    <s v="Corp"/>
    <s v="#N/A Field Not Applicable"/>
    <n v="0.6"/>
    <n v="7.6870000000000003E-3"/>
    <s v="High"/>
    <n v="2"/>
    <n v="1.9199000000000001E-2"/>
    <s v="High"/>
    <n v="2161576.5825637854"/>
    <s v=""/>
    <s v=""/>
    <s v=""/>
    <s v="B2"/>
    <s v="BB-"/>
    <n v="0"/>
    <n v="7"/>
    <n v="9"/>
    <n v="7"/>
    <s v="CN"/>
    <s v="Financial"/>
    <s v="Real Estate"/>
    <s v="Real Estate Oper/Develop"/>
    <s v="N"/>
    <s v=" "/>
    <s v="ACTV"/>
    <s v="Corporate"/>
    <s v="Financial"/>
    <s v="Non-Investment Grade"/>
    <s v="China"/>
    <s v="High"/>
    <s v="High"/>
    <s v="Real Estate"/>
    <s v="FINANCIAL"/>
    <s v="#N/A Field Not Applicable"/>
    <n v="2.8600559557673065E-2"/>
    <s v="10/25/2022"/>
    <n v="2.6547945205479451"/>
    <s v="2 - 3 yrs"/>
    <n v="1.0846944114045088E-2"/>
    <n v="1.0337175479091596"/>
    <n v="4.2235571849696682E-3"/>
    <n v="6.5938114584759688"/>
    <n v="2.6940956761458437E-2"/>
    <s v="XS1976760782"/>
    <s v="-"/>
    <n v="-3.89"/>
    <n v="2161576.5825637854"/>
    <n v="3.512172548767397E-3"/>
    <s v="1 - 2 yrs"/>
    <x v="5"/>
  </r>
  <r>
    <s v="Investments"/>
    <s v="Investments Long"/>
    <s v="Avaliable for Trading"/>
    <s v="United States Dollar"/>
    <m/>
    <s v="SFHOLC 2.875 02/20/30"/>
    <s v="XS2099049699"/>
    <n v="0"/>
    <s v="NA"/>
    <n v="0"/>
    <n v="0"/>
    <n v="0"/>
    <n v="16804.740000000002"/>
    <n v="0"/>
    <n v="0"/>
    <m/>
    <s v="Investments"/>
    <s v="BBG00RQ7WBQ8"/>
    <s v="BOND"/>
    <s v="Corp"/>
    <s v="#N/A Field Not Applicable"/>
    <n v="0.1"/>
    <n v="7.1859999999999997E-3"/>
    <s v="High"/>
    <n v="0.1"/>
    <n v="2.0326E-2"/>
    <s v="High"/>
    <n v="2164.3599551794755"/>
    <s v=""/>
    <s v=""/>
    <s v="A-"/>
    <s v="A3"/>
    <s v="A-"/>
    <n v="15"/>
    <n v="15"/>
    <n v="15"/>
    <n v="15"/>
    <s v="CN"/>
    <s v="Industrial"/>
    <s v="Transportation"/>
    <s v="Transport-Services"/>
    <s v="N"/>
    <s v=" "/>
    <s v="ACTV"/>
    <s v="Corporate"/>
    <s v="Non-Financial"/>
    <s v="Investment Grade"/>
    <s v="China"/>
    <s v="High"/>
    <s v="High"/>
    <s v="#N/A Field Not Applicable"/>
    <s v="SPECIAL PURPOSE"/>
    <s v="#N/A Field Not Applicable"/>
    <n v="6.136582995718511E-5"/>
    <s v="2/20/2030"/>
    <n v="9.9835616438356158"/>
    <s v="7 - 10 yrs"/>
    <n v="4.0843303080179452E-5"/>
    <n v="8.6392913820926278"/>
    <n v="3.5343819060271399E-5"/>
    <n v="2.3453865621395873"/>
    <n v="9.5951061970749922E-6"/>
    <s v="XS2099049699"/>
    <s v="-"/>
    <s v="-"/>
    <n v="2164.3599551794755"/>
    <n v="3.5166950278563512E-6"/>
    <s v="7 - 10 yrs"/>
    <x v="5"/>
  </r>
  <r>
    <s v="Investments"/>
    <s v="Investments Long"/>
    <s v="Avaliable for Trading"/>
    <s v="United States Dollar"/>
    <m/>
    <s v="SHBASS V6.25 PERP EMTN"/>
    <s v="XS1952091202"/>
    <n v="2000000"/>
    <n v="107.21599999999999"/>
    <n v="2039600"/>
    <n v="16009636.24"/>
    <n v="702121.68"/>
    <n v="993130.03"/>
    <n v="16711757.92"/>
    <n v="3.3999999999999998E-3"/>
    <m/>
    <s v="Investments"/>
    <s v="BBG00NBC0QP5"/>
    <s v="BOND"/>
    <s v="Corp"/>
    <s v="#N/A Field Not Applicable"/>
    <n v="1"/>
    <n v="7.8300000000000002E-3"/>
    <s v="High"/>
    <n v="2"/>
    <n v="1.8093999999999999E-2"/>
    <s v="High"/>
    <n v="2280294.1604523263"/>
    <s v=""/>
    <s v=""/>
    <s v="BBB"/>
    <s v="Baa3"/>
    <s v="BBB+"/>
    <n v="13"/>
    <n v="12"/>
    <n v="14"/>
    <n v="13"/>
    <s v="SE"/>
    <s v="Financial"/>
    <s v="Banks"/>
    <s v="Commer Banks Non-US"/>
    <s v="Y"/>
    <s v="Common Equity Tier 1 Ratio"/>
    <s v="ACTV"/>
    <s v="Corporate"/>
    <s v="Financial"/>
    <s v="Investment Grade"/>
    <s v="Europe - others (1)"/>
    <s v="High"/>
    <s v="High"/>
    <s v="Financials"/>
    <s v="BANK"/>
    <s v="#N/A Field Not Applicable"/>
    <n v="5.603251171419215E-2"/>
    <s v="3/1/2169"/>
    <n v="149.1013698630137"/>
    <s v="10 yrs or Above"/>
    <n v="0.64265571180395464"/>
    <n v="3.5095980345780973"/>
    <n v="1.5127045614200229E-2"/>
    <n v="4.3016074958922559"/>
    <n v="1.8540759415649196E-2"/>
    <s v="XS1952091202"/>
    <s v="-"/>
    <n v="-6.8"/>
    <n v="2280294.1604523263"/>
    <n v="3.70506722642057E-3"/>
    <s v="3 - 5 yrs"/>
    <x v="17"/>
  </r>
  <r>
    <s v="Investments"/>
    <s v="Investments Long"/>
    <s v="Avaliable for Trading"/>
    <s v="United States Dollar"/>
    <m/>
    <s v="SHCMBK V5 01/17/29"/>
    <s v="XS1892105823"/>
    <n v="1500000"/>
    <n v="107.517"/>
    <n v="1495507.5"/>
    <n v="11723282.57"/>
    <n v="845723.53"/>
    <n v="68193.119999999995"/>
    <n v="12569006.1"/>
    <n v="2.5999999999999999E-3"/>
    <m/>
    <s v="Investments"/>
    <s v="BBG00N14WRV0"/>
    <s v="BOND"/>
    <s v="Corp"/>
    <s v="#N/A Field Not Applicable"/>
    <n v="0.9"/>
    <n v="4.6930000000000001E-3"/>
    <s v="High"/>
    <n v="2"/>
    <n v="1.1209999999999999E-2"/>
    <s v="High"/>
    <n v="1627603.1606197595"/>
    <s v=""/>
    <s v=""/>
    <s v=""/>
    <s v="A3"/>
    <s v="BBB+"/>
    <n v="0"/>
    <n v="15"/>
    <n v="14"/>
    <n v="14"/>
    <s v="HK"/>
    <s v="Financial"/>
    <s v="Banks"/>
    <s v="Commer Banks Non-US"/>
    <s v="N"/>
    <s v=" "/>
    <s v="ACTV"/>
    <s v="Corporate"/>
    <s v="Financial"/>
    <s v="Investment Grade"/>
    <s v="Hong Kong"/>
    <s v="High"/>
    <s v="High"/>
    <s v="#N/A Field Not Applicable"/>
    <s v="BANK"/>
    <s v="#N/A Field Not Applicable"/>
    <n v="4.3070748921928338E-2"/>
    <s v="1/17/2029"/>
    <n v="8.8904109589041092"/>
    <s v="7 - 10 yrs"/>
    <n v="2.7351189873122787E-2"/>
    <n v="3.4978971349632011"/>
    <n v="1.0761217803909465E-2"/>
    <n v="2.9089784779851287"/>
    <n v="8.9494201174707654E-3"/>
    <s v="XS1892105823"/>
    <s v="-"/>
    <n v="-4.3099999999999996"/>
    <n v="1627603.1606197595"/>
    <n v="2.6445619309197373E-3"/>
    <s v="3 - 5 yrs"/>
    <x v="1"/>
  </r>
  <r>
    <s v="Investments"/>
    <s v="Investments Long"/>
    <s v="Avaliable for Trading"/>
    <s v="United States Dollar"/>
    <m/>
    <s v="SHIMAO 6.125 02/21/24"/>
    <s v="XS1953029284"/>
    <n v="1500000"/>
    <n v="104.85"/>
    <n v="1500750"/>
    <n v="11778403.57"/>
    <n v="478823.56"/>
    <n v="15911.72"/>
    <n v="12257227.130000001"/>
    <n v="2.5000000000000001E-3"/>
    <m/>
    <s v="Investments"/>
    <s v="BBG00NB7HXS0"/>
    <s v="BOND"/>
    <s v="Corp"/>
    <s v="#N/A Field Not Applicable"/>
    <n v="0.6"/>
    <n v="5.7479999999999996E-3"/>
    <s v="High"/>
    <n v="2"/>
    <n v="1.3828999999999999E-2"/>
    <s v="High"/>
    <n v="1580714.146800098"/>
    <s v=""/>
    <s v=""/>
    <s v=""/>
    <s v=""/>
    <s v="BBB-"/>
    <n v="0"/>
    <n v="0"/>
    <n v="12"/>
    <n v="12"/>
    <s v="CN"/>
    <s v="Financial"/>
    <s v="Real Estate"/>
    <s v="Real Estate Oper/Develop"/>
    <s v="N"/>
    <s v=" "/>
    <s v="ACTV"/>
    <s v="Corporate"/>
    <s v="Financial"/>
    <s v="Investment Grade"/>
    <s v="China"/>
    <s v="High"/>
    <s v="High"/>
    <s v="Real Estate"/>
    <s v="FINANCIAL"/>
    <s v="#N/A Field Not Applicable"/>
    <n v="3.5854234065389762E-2"/>
    <s v="2/21/2024"/>
    <n v="3.9808219178082194"/>
    <s v="3 - 5 yrs"/>
    <n v="1.1894110067810805E-2"/>
    <n v="1.8259507494243412"/>
    <n v="5.4556721301445149E-3"/>
    <n v="4.5477181768331132"/>
    <n v="1.3587912664633502E-2"/>
    <s v="XS1953029284"/>
    <s v="-"/>
    <n v="-4.12"/>
    <n v="1580714.146800098"/>
    <n v="2.5683757302990473E-3"/>
    <s v="1 - 2 yrs"/>
    <x v="5"/>
  </r>
  <r>
    <s v="Investments"/>
    <s v="Investments Long"/>
    <s v="Avaliable for Trading"/>
    <s v="United States Dollar"/>
    <m/>
    <s v="SHINFN V5.875 PERP"/>
    <s v="XS1856024432"/>
    <n v="5000000"/>
    <n v="108.108"/>
    <n v="4979900"/>
    <n v="38970386.649999999"/>
    <n v="3156598.25"/>
    <n v="101748.47"/>
    <n v="42126984.899999999"/>
    <n v="8.6999999999999994E-3"/>
    <m/>
    <s v="Investments"/>
    <s v="BBG00LNF6KZ5"/>
    <s v="BOND"/>
    <s v="Corp"/>
    <s v="#N/A Field Not Applicable"/>
    <n v="2"/>
    <n v="5.8100000000000001E-3"/>
    <s v="High"/>
    <n v="5"/>
    <n v="1.2817E-2"/>
    <s v="Medium"/>
    <n v="5438833.2972708419"/>
    <s v=""/>
    <s v=""/>
    <s v=""/>
    <s v="Baa3"/>
    <s v=""/>
    <n v="0"/>
    <n v="12"/>
    <n v="0"/>
    <n v="12"/>
    <s v="KR"/>
    <s v="Financial"/>
    <s v="Banks"/>
    <s v="Commer Banks Non-US"/>
    <s v="N"/>
    <s v=" "/>
    <s v="ACTV"/>
    <s v="Corporate"/>
    <s v="Financial"/>
    <s v="Investment Grade"/>
    <s v="Asia - others (3)"/>
    <s v="High"/>
    <s v="Medium"/>
    <s v="Financials"/>
    <s v="BANK"/>
    <s v="#N/A Field Not Applicable"/>
    <n v="0.12336525391244271"/>
    <s v="2/13/2169"/>
    <n v="149.05753424657533"/>
    <s v="10 yrs or Above"/>
    <n v="1.5323767133242825"/>
    <n v="3.0992925256559545"/>
    <n v="3.1862084114706896E-2"/>
    <n v="3.6824817441339346"/>
    <n v="3.7857524616084812E-2"/>
    <s v="XS1856024432"/>
    <s v="-"/>
    <n v="-4.33"/>
    <n v="5438833.2972708419"/>
    <n v="8.8371243277164981E-3"/>
    <s v="3 - 5 yrs"/>
    <x v="18"/>
  </r>
  <r>
    <s v="Investments"/>
    <s v="Investments Long"/>
    <s v="Avaliable for Trading"/>
    <s v="United States Dollar"/>
    <m/>
    <s v="SIB V5 PERP"/>
    <s v="XS2010323009"/>
    <n v="3000000"/>
    <n v="103.889"/>
    <n v="3000000"/>
    <n v="23431200"/>
    <n v="858567.65"/>
    <n v="185095.62"/>
    <n v="24289767.649999999"/>
    <n v="5.0000000000000001E-3"/>
    <m/>
    <s v="Investments"/>
    <s v="BBG00PKD4F69"/>
    <s v="BOND"/>
    <s v="Corp"/>
    <s v="#N/A Field Not Applicable"/>
    <n v="0.5"/>
    <n v="4.5630000000000002E-3"/>
    <s v="High"/>
    <n v="1.8"/>
    <n v="1.1487000000000001E-2"/>
    <s v="High"/>
    <n v="3152230.4998518862"/>
    <s v=""/>
    <s v=""/>
    <s v=""/>
    <s v=""/>
    <s v=""/>
    <n v="0"/>
    <n v="0"/>
    <n v="0"/>
    <n v="0"/>
    <s v="AE"/>
    <s v="Financial"/>
    <s v="Banks"/>
    <s v="Commer Banks Non-US"/>
    <s v="N"/>
    <s v=" "/>
    <s v="ACTV"/>
    <s v="Corporate"/>
    <s v="Financial"/>
    <s v="Non-Investment Grade"/>
    <s v="United Arab Emirates"/>
    <s v="High"/>
    <s v="High"/>
    <s v="#N/A Field Not Applicable"/>
    <s v="SPECIAL PURPOSE"/>
    <s v="#N/A Field Not Applicable"/>
    <n v="0"/>
    <s v="1/2/2169"/>
    <n v="148.94246575342467"/>
    <s v="10 yrs or Above"/>
    <n v="0.88744688501550761"/>
    <n v="4.6038458478712068"/>
    <n v="2.7431187177663185E-2"/>
    <n v="3.9774609206930625"/>
    <n v="2.3698985285926153E-2"/>
    <s v="XS2010323009"/>
    <s v="-"/>
    <n v="-12.5"/>
    <n v="3152230.4998518862"/>
    <n v="5.121806702696562E-3"/>
    <s v="3 - 5 yrs"/>
    <x v="19"/>
  </r>
  <r>
    <s v="Investments"/>
    <s v="Investments Long"/>
    <s v="Avaliable for Trading"/>
    <s v="United States Dollar"/>
    <m/>
    <s v="SINOCE 4.75 08/05/29"/>
    <s v="XS2034822564"/>
    <n v="4000000"/>
    <n v="103.255"/>
    <n v="3976772.59"/>
    <n v="31129314.43"/>
    <n v="1059399.2"/>
    <n v="98717.66"/>
    <n v="32188713.629999999"/>
    <n v="6.6E-3"/>
    <m/>
    <s v="Investments"/>
    <s v="BBG00PV1LR04"/>
    <s v="BOND"/>
    <s v="Corp"/>
    <s v="#N/A Field Not Applicable"/>
    <n v="0.5"/>
    <n v="7.012E-3"/>
    <s v="High"/>
    <n v="2"/>
    <n v="1.8211000000000001E-2"/>
    <s v="High"/>
    <n v="4158447.1607227949"/>
    <s v=""/>
    <s v=""/>
    <s v=""/>
    <s v="Baa3"/>
    <s v="BBB-"/>
    <n v="0"/>
    <n v="12"/>
    <n v="12"/>
    <n v="12"/>
    <s v="CN"/>
    <s v="Financial"/>
    <s v="Real Estate"/>
    <s v="Real Estate Oper/Develop"/>
    <s v="N"/>
    <s v=" "/>
    <s v="ACTV"/>
    <s v="Corporate"/>
    <s v="Financial"/>
    <s v="Investment Grade"/>
    <s v="China"/>
    <s v="High"/>
    <s v="High"/>
    <s v="#N/A Field Not Applicable"/>
    <s v="SPECIAL PURPOSE"/>
    <s v="#N/A Field Not Applicable"/>
    <n v="9.4323150172936326E-2"/>
    <s v="8/5/2029"/>
    <n v="9.4383561643835616"/>
    <s v="7 - 10 yrs"/>
    <n v="7.4187957156567494E-2"/>
    <n v="7.3618543082523491"/>
    <n v="5.7866107455713717E-2"/>
    <n v="4.3661297152813638"/>
    <n v="3.4318925734083648E-2"/>
    <s v="XS2034822564"/>
    <s v="-"/>
    <n v="-13.55"/>
    <n v="4158447.1607227949"/>
    <n v="6.7567275113924134E-3"/>
    <s v="7 - 10 yrs"/>
    <x v="5"/>
  </r>
  <r>
    <s v="Investments"/>
    <s v="Investments Long"/>
    <s v="Avaliable for Trading"/>
    <s v="United States Dollar"/>
    <m/>
    <s v="SMCGL V5.7 PERP"/>
    <s v="XS2098881654"/>
    <n v="3000000"/>
    <n v="100.893"/>
    <n v="3000000"/>
    <n v="23330999.989999998"/>
    <n v="258287.87"/>
    <n v="140672.67000000001"/>
    <n v="23589287.859999999"/>
    <n v="4.8999999999999998E-3"/>
    <m/>
    <s v="Investments"/>
    <s v="BBG00R9SNYG2"/>
    <s v="BOND"/>
    <s v="Corp"/>
    <s v="#N/A Field Not Applicable"/>
    <n v="0.5"/>
    <n v="4.2180000000000004E-3"/>
    <s v="High"/>
    <n v="2"/>
    <n v="9.8189999999999996E-3"/>
    <s v="High"/>
    <n v="3056291.0410468425"/>
    <s v=""/>
    <s v=""/>
    <s v=""/>
    <s v=""/>
    <s v=""/>
    <n v="0"/>
    <n v="0"/>
    <n v="0"/>
    <n v="0"/>
    <s v="PH"/>
    <s v="Utilities"/>
    <s v="Electric"/>
    <s v="Independ Power Producer"/>
    <s v="N"/>
    <s v=" "/>
    <s v="ACTV"/>
    <s v="Corporate"/>
    <s v="Non-Financial"/>
    <s v="Non-Investment Grade"/>
    <s v="Asia - others (1)"/>
    <s v="High"/>
    <s v="High"/>
    <s v="#N/A Field Not Applicable"/>
    <s v="INDUSTRIAL"/>
    <s v="#N/A Field Not Applicable"/>
    <n v="0"/>
    <s v="7/21/2168"/>
    <n v="148.49041095890411"/>
    <s v="10 yrs or Above"/>
    <n v="0.85782555670505345"/>
    <n v="4.8902760541698607"/>
    <n v="2.8251007937277871E-2"/>
    <n v="6.7285393643748668"/>
    <n v="3.8870611164610207E-2"/>
    <s v="XS2098881654"/>
    <s v="-"/>
    <n v="-13.74"/>
    <n v="3056291.0410468425"/>
    <n v="4.9659223651825884E-3"/>
    <s v="3 - 5 yrs"/>
    <x v="12"/>
  </r>
  <r>
    <s v="Investments"/>
    <s v="Investments Long"/>
    <s v="Avaliable for Trading"/>
    <s v="United States Dollar"/>
    <m/>
    <s v="SRENVX V4.25 PERP"/>
    <s v="XS2049422343"/>
    <n v="5000000"/>
    <n v="101.119"/>
    <n v="5002432.43"/>
    <n v="39254690.770000003"/>
    <n v="148855.54999999999"/>
    <n v="805057.73"/>
    <n v="39403546.32"/>
    <n v="8.0999999999999996E-3"/>
    <m/>
    <s v="Investments"/>
    <s v="BBG00Q3V7L15"/>
    <s v="BOND"/>
    <s v="Corp"/>
    <s v="#N/A Field Not Applicable"/>
    <n v="1.6"/>
    <n v="1.208E-2"/>
    <s v="High"/>
    <n v="2"/>
    <n v="2.7151999999999999E-2"/>
    <s v="High"/>
    <n v="5178651.5268601151"/>
    <s v=""/>
    <s v=""/>
    <s v="A"/>
    <s v="A2"/>
    <s v=""/>
    <n v="16"/>
    <n v="16"/>
    <n v="0"/>
    <n v="16"/>
    <s v="CH"/>
    <s v="Financial"/>
    <s v="Insurance"/>
    <s v="Reinsurance"/>
    <s v="N"/>
    <s v=" "/>
    <s v="ACTV"/>
    <s v="Corporate"/>
    <s v="Financial"/>
    <s v="Investment Grade"/>
    <s v="Switzerland"/>
    <s v="High"/>
    <s v="High"/>
    <s v="#N/A Field Not Applicable"/>
    <s v="FINANCIAL"/>
    <s v="#N/A Field Not Applicable"/>
    <n v="0.15661831024329778"/>
    <s v="9/4/2168"/>
    <n v="148.61369863013698"/>
    <s v="10 yrs or Above"/>
    <n v="1.454726647403672"/>
    <n v="3.9622413451406127"/>
    <n v="3.8784971515753379E-2"/>
    <n v="3.5243455208886267"/>
    <n v="3.4498565012194497E-2"/>
    <s v="XS2049422343"/>
    <s v="-"/>
    <n v="-15.32"/>
    <n v="5178651.5268601151"/>
    <n v="8.4143758213265848E-3"/>
    <s v="3 - 5 yrs"/>
    <x v="9"/>
  </r>
  <r>
    <s v="Investments"/>
    <s v="Investments Long"/>
    <s v="Avaliable for Trading"/>
    <s v="United States Dollar"/>
    <m/>
    <s v="SRENVX V5 04/02/49 REGS"/>
    <s v="XS1973748707"/>
    <n v="2000000"/>
    <n v="113.812"/>
    <n v="2000000"/>
    <n v="15698800"/>
    <n v="2041076.44"/>
    <n v="318234.58"/>
    <n v="17739876.440000001"/>
    <n v="3.7000000000000002E-3"/>
    <m/>
    <s v="Investments"/>
    <s v="BBG00NQCT2V4"/>
    <s v="BOND"/>
    <s v="Corp"/>
    <s v="#N/A Field Not Applicable"/>
    <n v="0.5"/>
    <n v="6.0229999999999997E-3"/>
    <s v="High"/>
    <n v="2"/>
    <n v="1.4460000000000001E-2"/>
    <s v="High"/>
    <n v="2325787.3884316678"/>
    <s v=""/>
    <s v=""/>
    <s v="A"/>
    <s v="A2"/>
    <s v=""/>
    <n v="16"/>
    <n v="16"/>
    <n v="0"/>
    <n v="16"/>
    <s v="CH"/>
    <s v="Financial"/>
    <s v="Insurance"/>
    <s v="Reinsurance"/>
    <s v="N"/>
    <s v=" "/>
    <s v="ACTV"/>
    <s v="Corporate"/>
    <s v="Financial"/>
    <s v="Investment Grade"/>
    <s v="Switzerland"/>
    <s v="High"/>
    <s v="High"/>
    <s v="#N/A Field Not Applicable"/>
    <s v="FINANCIAL"/>
    <s v="#N/A Field Not Applicable"/>
    <n v="7.0338946127583235E-2"/>
    <s v="4/2/2049"/>
    <n v="29.109589041095891"/>
    <s v="10 yrs or Above"/>
    <n v="0.1279711134598582"/>
    <n v="7.2719165107136465"/>
    <n v="3.1968683980710642E-2"/>
    <n v="3.7423054246849285"/>
    <n v="1.645186372874223E-2"/>
    <s v="XS1973748707"/>
    <s v="-"/>
    <n v="-15.19"/>
    <n v="2325787.3884316678"/>
    <n v="3.7789855264950228E-3"/>
    <s v="7 - 10 yrs"/>
    <x v="9"/>
  </r>
  <r>
    <s v="Investments"/>
    <s v="Investments Long"/>
    <s v="Avaliable for Trading"/>
    <s v="United States Dollar"/>
    <m/>
    <s v="SUNAC 6.5 01/10/25"/>
    <s v="XS2100444772"/>
    <n v="0"/>
    <s v="NA"/>
    <n v="0"/>
    <n v="0"/>
    <n v="0"/>
    <n v="68950.83"/>
    <n v="0"/>
    <n v="0"/>
    <m/>
    <s v="Investments"/>
    <s v="BBG00R9SLKK9"/>
    <s v="BOND"/>
    <s v="Corp"/>
    <s v="#N/A Field Not Applicable"/>
    <n v="0.1"/>
    <n v="1.2923E-2"/>
    <s v="High"/>
    <n v="0.1"/>
    <n v="3.6555999999999998E-2"/>
    <s v="High"/>
    <n v="8880.4953440748031"/>
    <s v=""/>
    <s v=""/>
    <s v="B+"/>
    <s v="B1"/>
    <s v="BB"/>
    <n v="8"/>
    <n v="8"/>
    <n v="10"/>
    <n v="8"/>
    <s v="CN"/>
    <s v="Financial"/>
    <s v="Real Estate"/>
    <s v="Real Estate Oper/Develop"/>
    <s v="N"/>
    <s v=" "/>
    <s v="ACTV"/>
    <s v="Corporate"/>
    <s v="Financial"/>
    <s v="Non-Investment Grade"/>
    <s v="China"/>
    <s v="High"/>
    <s v="High"/>
    <s v="Real Estate"/>
    <s v="FINANCIAL"/>
    <s v="#N/A Field Not Applicable"/>
    <n v="1.3428671225497178E-4"/>
    <s v="1/10/2025"/>
    <n v="4.8684931506849312"/>
    <s v="3 - 5 yrs"/>
    <n v="8.172174235516604E-5"/>
    <n v="4.0424517378450444"/>
    <n v="6.7855944165576011E-5"/>
    <n v="6.7066261685221757"/>
    <n v="1.1257634731175016E-4"/>
    <s v="XS2100444772"/>
    <s v="-"/>
    <s v="-"/>
    <n v="8880.4953440748031"/>
    <n v="1.4429205154472398E-5"/>
    <s v="3 - 5 yrs"/>
    <x v="5"/>
  </r>
  <r>
    <s v="Investments"/>
    <s v="Investments Long"/>
    <s v="Avaliable for Trading"/>
    <s v="United States Dollar"/>
    <m/>
    <s v="SUNAC 7.875 02/15/22"/>
    <s v="XS1953150197"/>
    <n v="1500000"/>
    <n v="103.64"/>
    <n v="1501875"/>
    <n v="11769743.810000001"/>
    <n v="346031.29"/>
    <n v="35801.39"/>
    <n v="12115775.1"/>
    <n v="2.5000000000000001E-3"/>
    <m/>
    <s v="Investments"/>
    <s v="BBG00NB0B2N4"/>
    <s v="BOND"/>
    <s v="Corp"/>
    <s v="#N/A Field Not Applicable"/>
    <n v="0.5"/>
    <n v="6.2570000000000004E-3"/>
    <s v="High"/>
    <n v="1.9"/>
    <n v="1.5939999999999999E-2"/>
    <s v="High"/>
    <n v="1565057.5699032752"/>
    <s v=""/>
    <s v=""/>
    <s v="B+"/>
    <s v="B1"/>
    <s v="BB"/>
    <n v="8"/>
    <n v="8"/>
    <n v="10"/>
    <n v="8"/>
    <s v="CN"/>
    <s v="Financial"/>
    <s v="Real Estate"/>
    <s v="Real Estate Oper/Develop"/>
    <s v="N"/>
    <s v=" "/>
    <s v="ACTV"/>
    <s v="Corporate"/>
    <s v="Financial"/>
    <s v="Non-Investment Grade"/>
    <s v="China"/>
    <s v="High"/>
    <s v="High"/>
    <s v="Real Estate"/>
    <s v="FINANCIAL"/>
    <s v="#N/A Field Not Applicable"/>
    <n v="2.3666071250439045E-2"/>
    <s v="2/15/2022"/>
    <n v="1.9643835616438357"/>
    <s v="1 - 2 yrs"/>
    <n v="5.8111551666317788E-3"/>
    <n v="0.88867316119536577"/>
    <n v="2.6289252939003037E-3"/>
    <n v="5.538715949521329"/>
    <n v="1.6384955787164365E-2"/>
    <s v="XS1953150197"/>
    <s v="-"/>
    <n v="-3.12"/>
    <n v="1565057.5699032752"/>
    <n v="2.5429366133007192E-3"/>
    <s v="0 - 1 yr"/>
    <x v="5"/>
  </r>
  <r>
    <s v="Investments"/>
    <s v="Investments Long"/>
    <s v="Avaliable for Trading"/>
    <s v="United States Dollar"/>
    <m/>
    <s v="SUNAC 7.95 08/08/22"/>
    <s v="XS1594400449"/>
    <n v="3000000"/>
    <n v="104.01"/>
    <n v="3153750"/>
    <n v="24493914.75"/>
    <n v="-175856.7"/>
    <n v="108427.07"/>
    <n v="24318058.050000001"/>
    <n v="5.0000000000000001E-3"/>
    <m/>
    <s v="Investments"/>
    <s v="BBG00HC2ZDQ9"/>
    <s v="BOND"/>
    <s v="Corp"/>
    <s v="#N/A Field Not Applicable"/>
    <n v="1.6"/>
    <n v="7.587E-3"/>
    <s v="High"/>
    <n v="2"/>
    <n v="1.8692E-2"/>
    <s v="High"/>
    <n v="3145999.6548304418"/>
    <s v=""/>
    <s v=""/>
    <s v="B+"/>
    <s v="B1"/>
    <s v="BB"/>
    <n v="8"/>
    <n v="8"/>
    <n v="10"/>
    <n v="8"/>
    <s v="CN"/>
    <s v="Financial"/>
    <s v="Real Estate"/>
    <s v="Real Estate Oper/Develop"/>
    <s v="N"/>
    <s v=" "/>
    <s v="ACTV"/>
    <s v="Corporate"/>
    <s v="Financial"/>
    <s v="Non-Investment Grade"/>
    <s v="China"/>
    <s v="High"/>
    <s v="High"/>
    <s v="Real Estate"/>
    <s v="FINANCIAL"/>
    <s v="#N/A Field Not Applicable"/>
    <n v="4.757234073483655E-2"/>
    <s v="8/8/2022"/>
    <n v="2.441095890410959"/>
    <s v="2 - 3 yrs"/>
    <n v="1.451608068312992E-2"/>
    <n v="0.40185746209416756"/>
    <n v="2.3896625141975503E-3"/>
    <n v="5.7789298120373402"/>
    <n v="3.4364652262618159E-2"/>
    <s v="XS1594400449"/>
    <s v="-"/>
    <n v="-3.48"/>
    <n v="3145999.6548304418"/>
    <n v="5.1116827019942667E-3"/>
    <s v="0 - 1 yr"/>
    <x v="5"/>
  </r>
  <r>
    <s v="Investments"/>
    <s v="Investments Long"/>
    <s v="Avaliable for Trading"/>
    <s v="United States Dollar"/>
    <m/>
    <s v="SUNAC 8.375 01/15/21"/>
    <s v="XS1936202644"/>
    <n v="2000000"/>
    <n v="102.46299999999999"/>
    <n v="2018125"/>
    <n v="15825245.060000001"/>
    <n v="145662.75"/>
    <n v="159550.26"/>
    <n v="15970907.810000001"/>
    <n v="3.3E-3"/>
    <m/>
    <s v="Investments"/>
    <s v="BBG00N14RT60"/>
    <s v="BOND"/>
    <s v="Corp"/>
    <s v="#N/A Field Not Applicable"/>
    <n v="0.7"/>
    <n v="5.2779999999999997E-3"/>
    <s v="High"/>
    <n v="2"/>
    <n v="1.255E-2"/>
    <s v="High"/>
    <n v="2077516.0761433742"/>
    <s v=""/>
    <s v=""/>
    <s v="B+"/>
    <s v="B1"/>
    <s v="BB"/>
    <n v="8"/>
    <n v="8"/>
    <n v="10"/>
    <n v="8"/>
    <s v="CN"/>
    <s v="Financial"/>
    <s v="Real Estate"/>
    <s v="Real Estate Oper/Develop"/>
    <s v="N"/>
    <s v=" "/>
    <s v="ACTV"/>
    <s v="Corporate"/>
    <s v="Financial"/>
    <s v="Non-Investment Grade"/>
    <s v="China"/>
    <s v="High"/>
    <s v="High"/>
    <s v="Real Estate"/>
    <s v="FINANCIAL"/>
    <s v="#N/A Field Not Applicable"/>
    <n v="3.1415229974562711E-2"/>
    <s v="1/15/2021"/>
    <n v="0.8794520547945206"/>
    <s v="0 - 1 yr"/>
    <n v="3.4535235691214483E-3"/>
    <n v="0.80733177713524584"/>
    <n v="3.1703141805595196E-3"/>
    <n v="4.9815429121580612"/>
    <n v="1.9562039526699791E-2"/>
    <s v="XS1936202644"/>
    <s v="-"/>
    <n v="-2.34"/>
    <n v="2077516.0761433742"/>
    <n v="3.3755893689408076E-3"/>
    <s v="0 - 1 yr"/>
    <x v="5"/>
  </r>
  <r>
    <s v="Investments"/>
    <s v="Investments Long"/>
    <s v="Avaliable for Trading"/>
    <s v="United States Dollar"/>
    <m/>
    <s v="SUNAC 8.625 07/27/20"/>
    <s v="XS1861032628"/>
    <n v="2000000"/>
    <n v="101.517"/>
    <n v="2014440.44"/>
    <n v="15792156.630000001"/>
    <n v="31298.15"/>
    <n v="119500.32"/>
    <n v="15823454.779999999"/>
    <n v="3.3E-3"/>
    <m/>
    <s v="Investments"/>
    <s v="BBG00LJTVJR4"/>
    <s v="BOND"/>
    <s v="Corp"/>
    <s v="#N/A Field Not Applicable"/>
    <n v="0.5"/>
    <n v="2.3600000000000001E-3"/>
    <s v="High"/>
    <n v="2"/>
    <n v="5.202E-3"/>
    <s v="High"/>
    <n v="2053366.7040171036"/>
    <s v=""/>
    <s v=""/>
    <s v="B+"/>
    <s v="B1"/>
    <s v="BB"/>
    <n v="8"/>
    <n v="8"/>
    <n v="10"/>
    <n v="8"/>
    <s v="CN"/>
    <s v="Financial"/>
    <s v="Real Estate"/>
    <s v="Real Estate Oper/Develop"/>
    <s v="N"/>
    <s v=" "/>
    <s v="ACTV"/>
    <s v="Corporate"/>
    <s v="Financial"/>
    <s v="Non-Investment Grade"/>
    <s v="China"/>
    <s v="High"/>
    <s v="High"/>
    <s v="Real Estate"/>
    <s v="FINANCIAL"/>
    <s v="#N/A Field Not Applicable"/>
    <n v="3.1050054422950887E-2"/>
    <s v="7/27/2020"/>
    <n v="0.40821917808219177"/>
    <s v="0 - 1 yr"/>
    <n v="1.584403461993042E-3"/>
    <n v="0.3739147210242712"/>
    <n v="1.451259054668265E-3"/>
    <n v="4.6669383487435594"/>
    <n v="1.8113586214630509E-2"/>
    <s v="XS1861032628"/>
    <s v="-"/>
    <n v="-1.52"/>
    <n v="2053366.7040171036"/>
    <n v="3.336350989631916E-3"/>
    <s v="0 - 1 yr"/>
    <x v="5"/>
  </r>
  <r>
    <s v="Investments"/>
    <s v="Investments Long"/>
    <s v="Avaliable for Trading"/>
    <s v="United States Dollar"/>
    <m/>
    <s v="SUNSHI 10 02/12/23"/>
    <s v="XS2056435246"/>
    <n v="3700000"/>
    <n v="104.79"/>
    <n v="3708660"/>
    <n v="29026932.460000001"/>
    <n v="1190259.56"/>
    <n v="857068.52"/>
    <n v="30217192.02"/>
    <n v="6.1999999999999998E-3"/>
    <m/>
    <s v="Investments"/>
    <s v="BBG00QRVV6Z8"/>
    <s v="BOND"/>
    <s v="Corp"/>
    <s v="#N/A Field Not Applicable"/>
    <n v="0.6"/>
    <n v="7.4640000000000001E-3"/>
    <s v="High"/>
    <n v="2"/>
    <n v="1.8342000000000001E-2"/>
    <s v="High"/>
    <n v="4002197.3056167327"/>
    <s v=""/>
    <s v=""/>
    <s v=""/>
    <s v=""/>
    <s v="B"/>
    <n v="0"/>
    <n v="0"/>
    <n v="7"/>
    <n v="7"/>
    <s v="CN"/>
    <s v="Financial"/>
    <s v="Real Estate"/>
    <s v="Real Estate Oper/Develop"/>
    <s v="N"/>
    <s v=" "/>
    <s v="ACTV"/>
    <s v="Corporate"/>
    <s v="Financial"/>
    <s v="Non-Investment Grade"/>
    <s v="China"/>
    <s v="High"/>
    <s v="High"/>
    <s v="#N/A Field Not Applicable"/>
    <s v="SPECIAL PURPOSE"/>
    <s v="#N/A Field Not Applicable"/>
    <n v="5.2954442291878553E-2"/>
    <s v="2/12/2023"/>
    <n v="2.956164383561644"/>
    <s v="2 - 3 yrs"/>
    <n v="2.2363148036374545E-2"/>
    <n v="2.440939098477878"/>
    <n v="1.8465509804048121E-2"/>
    <n v="7.8531769234418007"/>
    <n v="5.9408657742901605E-2"/>
    <s v="XS2056435246"/>
    <s v="-"/>
    <n v="-7.08"/>
    <n v="4002197.3056167327"/>
    <n v="6.5028496445247467E-3"/>
    <s v="2 - 3 yrs"/>
    <x v="5"/>
  </r>
  <r>
    <s v="Investments"/>
    <s v="Investments Long"/>
    <s v="Avaliable for Trading"/>
    <s v="United States Dollar"/>
    <m/>
    <s v="SUNSHI 10.25 03/18/22"/>
    <s v="XS2008157856"/>
    <n v="1300000"/>
    <n v="103.93"/>
    <n v="1277250"/>
    <n v="9997929.8300000001"/>
    <n v="531790.07999999996"/>
    <n v="724054.03"/>
    <n v="10529719.91"/>
    <n v="2.2000000000000001E-3"/>
    <m/>
    <s v="Investments"/>
    <s v="BBG00PDYXN26"/>
    <s v="BOND"/>
    <s v="Corp"/>
    <s v="#N/A Field Not Applicable"/>
    <n v="0.4"/>
    <n v="6.117E-3"/>
    <s v="High"/>
    <n v="1.9"/>
    <n v="1.5589E-2"/>
    <s v="High"/>
    <n v="1449425.4395116107"/>
    <s v=""/>
    <s v=""/>
    <s v=""/>
    <s v="B2"/>
    <s v=""/>
    <n v="0"/>
    <n v="7"/>
    <n v="0"/>
    <n v="7"/>
    <s v="CN"/>
    <s v="Financial"/>
    <s v="Real Estate"/>
    <s v="Real Estate Oper/Develop"/>
    <s v="N"/>
    <s v=" "/>
    <s v="ACTV"/>
    <s v="Corporate"/>
    <s v="Financial"/>
    <s v="Non-Investment Grade"/>
    <s v="China"/>
    <s v="High"/>
    <s v="High"/>
    <s v="#N/A Field Not Applicable"/>
    <s v="SPECIAL PURPOSE"/>
    <s v="#N/A Field Not Applicable"/>
    <n v="1.917784405213643E-2"/>
    <s v="3/18/2022"/>
    <n v="2.0493150684931507"/>
    <s v="2 - 3 yrs"/>
    <n v="5.6144921138935608E-3"/>
    <n v="1.6905892999184984"/>
    <n v="4.6316939928639231E-3"/>
    <n v="7.7930638701443522"/>
    <n v="2.1350594798566738E-2"/>
    <s v="XS2008157856"/>
    <s v="-"/>
    <n v="-5.47"/>
    <n v="1449425.4395116107"/>
    <n v="2.3550552320010525E-3"/>
    <s v="1 - 2 yrs"/>
    <x v="5"/>
  </r>
  <r>
    <s v="Investments"/>
    <s v="Investments Long"/>
    <s v="Avaliable for Trading"/>
    <s v="United States Dollar"/>
    <m/>
    <s v="SUNSHI 8.25 11/25/23"/>
    <s v="XS2122380822"/>
    <n v="3000000"/>
    <n v="98.453000000000003"/>
    <n v="2965080"/>
    <n v="23031555.399999999"/>
    <n v="-12751.74"/>
    <n v="21432.13"/>
    <n v="23018803.66"/>
    <n v="4.7999999999999996E-3"/>
    <m/>
    <s v="Investments"/>
    <s v="BBG00RRRQDN9"/>
    <s v="BOND"/>
    <s v="Corp"/>
    <s v="#N/A Field Not Applicable"/>
    <n v="0.5"/>
    <n v="5.9719999999999999E-3"/>
    <s v="High"/>
    <n v="1.8"/>
    <n v="1.5608E-2"/>
    <s v="High"/>
    <n v="2967458.2113004387"/>
    <s v=""/>
    <s v=""/>
    <s v=""/>
    <s v="B2"/>
    <s v=""/>
    <n v="0"/>
    <n v="7"/>
    <n v="0"/>
    <n v="7"/>
    <s v="CN"/>
    <s v="Financial"/>
    <s v="Real Estate"/>
    <s v="Real Estate Oper/Develop"/>
    <s v="N"/>
    <s v=" "/>
    <s v="ACTV"/>
    <s v="Corporate"/>
    <s v="Financial"/>
    <s v="Non-Investment Grade"/>
    <s v="China"/>
    <s v="High"/>
    <s v="High"/>
    <s v="#N/A Field Not Applicable"/>
    <s v="SPECIAL PURPOSE"/>
    <s v="#N/A Field Not Applicable"/>
    <n v="3.9263455198307665E-2"/>
    <s v="11/25/2023"/>
    <n v="3.7397260273972601"/>
    <s v="3 - 5 yrs"/>
    <n v="2.0976366475808202E-2"/>
    <n v="3.1214262323690813"/>
    <n v="1.7508282718492245E-2"/>
    <n v="8.5439669836132257"/>
    <n v="4.7923666410988254E-2"/>
    <s v="XS2122380822"/>
    <s v="-"/>
    <n v="-11.16"/>
    <n v="2967458.2113004387"/>
    <n v="4.8215850196629594E-3"/>
    <s v="3 - 5 yrs"/>
    <x v="5"/>
  </r>
  <r>
    <s v="Investments"/>
    <s v="Investments Long"/>
    <s v="Avaliable for Trading"/>
    <s v="United States Dollar"/>
    <m/>
    <s v="SUNSHI 9.25 04/15/23"/>
    <s v="XS2100664544"/>
    <n v="3000000"/>
    <n v="101.721"/>
    <n v="2969655"/>
    <n v="23088134.489999998"/>
    <n v="694743.92"/>
    <n v="264329.53999999998"/>
    <n v="23782878.41"/>
    <n v="4.8999999999999998E-3"/>
    <m/>
    <s v="Investments"/>
    <s v="BBG00RB30509"/>
    <s v="BOND"/>
    <s v="Corp"/>
    <s v="#N/A Field Not Applicable"/>
    <n v="0.5"/>
    <n v="7.4850000000000003E-3"/>
    <s v="High"/>
    <n v="2"/>
    <n v="1.9161999999999998E-2"/>
    <s v="High"/>
    <n v="3097150.7991705625"/>
    <s v=""/>
    <s v=""/>
    <s v=""/>
    <s v=""/>
    <s v="B"/>
    <n v="0"/>
    <n v="0"/>
    <n v="7"/>
    <n v="7"/>
    <s v="CN"/>
    <s v="Financial"/>
    <s v="Real Estate"/>
    <s v="Real Estate Oper/Develop"/>
    <s v="N"/>
    <s v=" "/>
    <s v="ACTV"/>
    <s v="Corporate"/>
    <s v="Financial"/>
    <s v="Non-Investment Grade"/>
    <s v="China"/>
    <s v="High"/>
    <s v="High"/>
    <s v="#N/A Field Not Applicable"/>
    <s v="SPECIAL PURPOSE"/>
    <s v="#N/A Field Not Applicable"/>
    <n v="4.0979462215356657E-2"/>
    <s v="4/15/2023"/>
    <n v="3.1260273972602741"/>
    <s v="3 - 5 yrs"/>
    <n v="1.8300417372885298E-2"/>
    <n v="2.6200540403969952"/>
    <n v="1.5338343650091599E-2"/>
    <n v="8.4080126063435543"/>
    <n v="4.9222262129699726E-2"/>
    <s v="XS2100664544"/>
    <s v="-"/>
    <n v="-9.14"/>
    <n v="3097150.7991705625"/>
    <n v="5.0323121114395526E-3"/>
    <s v="2 - 3 yrs"/>
    <x v="5"/>
  </r>
  <r>
    <s v="Investments"/>
    <s v="Investments Long"/>
    <s v="Avaliable for Trading"/>
    <s v="United States Dollar"/>
    <m/>
    <s v="SUNSHI 9.5 04/03/21"/>
    <s v="XS1973241125"/>
    <n v="2350000"/>
    <n v="101.929"/>
    <n v="2327637.5"/>
    <n v="18220048.07"/>
    <n v="447967.99"/>
    <n v="705625.65"/>
    <n v="18668016.059999999"/>
    <n v="3.8999999999999998E-3"/>
    <m/>
    <s v="Investments"/>
    <s v="BBG00NQF0SC2"/>
    <s v="BOND"/>
    <s v="Corp"/>
    <s v="#N/A Field Not Applicable"/>
    <n v="0.5"/>
    <n v="5.2690000000000002E-3"/>
    <s v="High"/>
    <n v="2"/>
    <n v="1.2777999999999999E-2"/>
    <s v="High"/>
    <n v="2495220.6522159106"/>
    <s v=""/>
    <s v=""/>
    <s v=""/>
    <s v=""/>
    <s v="B"/>
    <n v="0"/>
    <n v="0"/>
    <n v="7"/>
    <n v="7"/>
    <s v="CN"/>
    <s v="Financial"/>
    <s v="Real Estate"/>
    <s v="Real Estate Oper/Develop"/>
    <s v="N"/>
    <s v=" "/>
    <s v="ACTV"/>
    <s v="Corporate"/>
    <s v="Financial"/>
    <s v="Non-Investment Grade"/>
    <s v="China"/>
    <s v="High"/>
    <s v="High"/>
    <s v="#N/A Field Not Applicable"/>
    <s v="SPECIAL PURPOSE"/>
    <s v="#N/A Field Not Applicable"/>
    <n v="3.3015118432025807E-2"/>
    <s v="4/3/2021"/>
    <n v="1.0931506849315069"/>
    <s v="1 - 2 yrs"/>
    <n v="5.1557856181519753E-3"/>
    <n v="0.96233756061495013"/>
    <n v="4.5388126478984837E-3"/>
    <n v="7.3975663915225525"/>
    <n v="3.4890218646412979E-2"/>
    <s v="XS1973241125"/>
    <s v="-"/>
    <n v="-3.48"/>
    <n v="2495220.6522159106"/>
    <n v="4.0542840575353975E-3"/>
    <s v="0 - 1 yr"/>
    <x v="5"/>
  </r>
  <r>
    <s v="Investments"/>
    <s v="Investments Long"/>
    <s v="Avaliable for Trading"/>
    <s v="United States Dollar"/>
    <m/>
    <s v="THSCPA 7.9 03/07/21"/>
    <s v="XS1911963848"/>
    <n v="2280000"/>
    <n v="85.18"/>
    <n v="2066561.1"/>
    <n v="16083299.699999999"/>
    <n v="-947512.17"/>
    <n v="670687.82999999996"/>
    <n v="15135787.529999999"/>
    <n v="3.0999999999999999E-3"/>
    <m/>
    <s v="Investments"/>
    <s v="BBG00NHLVRR1"/>
    <s v="BOND"/>
    <s v="Corp"/>
    <s v="#N/A Field Not Applicable"/>
    <n v="0.5"/>
    <n v="1.3604E-2"/>
    <s v="High"/>
    <n v="1.7"/>
    <n v="3.3820000000000003E-2"/>
    <s v="High"/>
    <n v="2035788.8489625591"/>
    <s v=""/>
    <s v=""/>
    <s v=""/>
    <s v=""/>
    <s v=""/>
    <n v="0"/>
    <n v="0"/>
    <n v="0"/>
    <n v="0"/>
    <s v="CN"/>
    <s v="Industrial"/>
    <s v="Environmental Control"/>
    <s v="Environ Consulting&amp;Eng"/>
    <s v="N"/>
    <s v=" "/>
    <s v="ACTV"/>
    <s v="Corporate"/>
    <s v="Non-Financial"/>
    <s v="Non-Investment Grade"/>
    <s v="China"/>
    <s v="High"/>
    <s v="High"/>
    <s v="#N/A Field Not Applicable"/>
    <s v="SPECIAL PURPOSE"/>
    <s v="#N/A Field Not Applicable"/>
    <n v="0"/>
    <s v="3/7/2021"/>
    <n v="1.0191780821917809"/>
    <s v="1 - 2 yrs"/>
    <n v="3.9218291465534265E-3"/>
    <n v="0.86522497242146257"/>
    <n v="3.329412763538864E-3"/>
    <n v="24.499352725003938"/>
    <n v="9.4274275779150402E-2"/>
    <s v="XS1911963848"/>
    <s v="-"/>
    <n v="-4.92"/>
    <n v="2035788.8489625591"/>
    <n v="3.3077901417365527E-3"/>
    <s v="0 - 1 yr"/>
    <x v="5"/>
  </r>
  <r>
    <s v="Investments"/>
    <s v="Investments Long"/>
    <s v="Avaliable for Trading"/>
    <s v="United States Dollar"/>
    <m/>
    <s v="TPHL 7.625 02/21/22"/>
    <s v="XS1945401674"/>
    <n v="5000000"/>
    <n v="102.85"/>
    <n v="4994791.66"/>
    <n v="39195129.159999996"/>
    <n v="882944.58"/>
    <n v="66028.27"/>
    <n v="40078073.740000002"/>
    <n v="8.3000000000000001E-3"/>
    <m/>
    <s v="Investments"/>
    <s v="BBG00NB7K829"/>
    <s v="BOND"/>
    <s v="Corp"/>
    <s v="#N/A Field Not Applicable"/>
    <n v="1.1000000000000001"/>
    <n v="7.0559999999999998E-3"/>
    <s v="High"/>
    <n v="2"/>
    <n v="1.6056000000000001E-2"/>
    <s v="High"/>
    <n v="5170344.0116945514"/>
    <s v=""/>
    <s v=""/>
    <s v=""/>
    <s v="B1"/>
    <s v="BB-"/>
    <n v="0"/>
    <n v="8"/>
    <n v="9"/>
    <n v="8"/>
    <s v="CN"/>
    <s v="Financial"/>
    <s v="Real Estate"/>
    <s v="Real Estate Oper/Develop"/>
    <s v="N"/>
    <s v=" "/>
    <s v="ACTV"/>
    <s v="Corporate"/>
    <s v="Financial"/>
    <s v="Non-Investment Grade"/>
    <s v="China"/>
    <s v="High"/>
    <s v="High"/>
    <s v="Real Estate"/>
    <s v="FINANCIAL"/>
    <s v="#N/A Field Not Applicable"/>
    <n v="7.8183532748642842E-2"/>
    <s v="2/21/2022"/>
    <n v="1.9808219178082191"/>
    <s v="1 - 2 yrs"/>
    <n v="1.9358456910023553E-2"/>
    <n v="0.90495514156643464"/>
    <n v="8.8440737433390076E-3"/>
    <n v="5.9624799554228796"/>
    <n v="5.8270968357241403E-2"/>
    <s v="XS1945401674"/>
    <s v="-"/>
    <n v="-2.71"/>
    <n v="5170344.0116945514"/>
    <n v="8.4008776057424971E-3"/>
    <s v="0 - 1 yr"/>
    <x v="5"/>
  </r>
  <r>
    <s v="Investments"/>
    <s v="Investments Long"/>
    <s v="Avaliable for Trading"/>
    <s v="United States Dollar"/>
    <m/>
    <s v="UPLLIN V5.25 PERP"/>
    <s v="XS2125139464"/>
    <n v="6000000"/>
    <n v="97.421000000000006"/>
    <n v="6000000"/>
    <n v="46687800"/>
    <n v="-1132766.19"/>
    <n v="18184.830000000002"/>
    <n v="45555033.810000002"/>
    <n v="9.4000000000000004E-3"/>
    <m/>
    <s v="Investments"/>
    <s v="BBG00RR726N4"/>
    <s v="BOND"/>
    <s v="Corp"/>
    <s v="#N/A Field Not Applicable"/>
    <s v="N.A."/>
    <s v="N.A."/>
    <s v="Not Covered"/>
    <s v="N.A."/>
    <s v="N.A."/>
    <s v="Not Covered"/>
    <n v="5869584.9773965459"/>
    <n v="1.4999999999999999E-2"/>
    <n v="4.0328542094455848"/>
    <s v="BB"/>
    <s v="Ba2"/>
    <s v=""/>
    <n v="10"/>
    <n v="10"/>
    <n v="0"/>
    <n v="10"/>
    <s v="IN"/>
    <s v="Basic Materials"/>
    <s v="Chemicals"/>
    <s v="Agricultural Chemicals"/>
    <s v="N"/>
    <s v=" "/>
    <s v="ACTV"/>
    <s v="Corporate"/>
    <s v="Non-Financial"/>
    <s v="Non-Investment Grade"/>
    <s v="India"/>
    <s v="Medium"/>
    <s v="Medium"/>
    <s v="#N/A Field Not Applicable"/>
    <s v="INDUSTRIAL"/>
    <s v="#N/A Field Not Applicable"/>
    <n v="0.11094641097943632"/>
    <s v="11/27/2168"/>
    <n v="148.84383561643835"/>
    <s v="10 yrs or Above"/>
    <n v="1.6513689358057029"/>
    <n v="4.4772420970120557"/>
    <n v="4.9673394174953277E-2"/>
    <n v="4.8685124952065539"/>
    <n v="5.4014398815170728E-2"/>
    <s v="XS2125139464"/>
    <s v="-"/>
    <n v="-28.46"/>
    <n v="5869584.9773965459"/>
    <n v="9.5370182100227886E-3"/>
    <s v="3 - 5 yrs"/>
    <x v="4"/>
  </r>
  <r>
    <s v="Investments"/>
    <s v="Investments Long"/>
    <s v="Avaliable for Trading"/>
    <s v="United States Dollar"/>
    <m/>
    <s v="VNET 7.875 10/15/21"/>
    <s v="XS1976766045"/>
    <n v="5500000"/>
    <n v="100.67100000000001"/>
    <n v="5523862.5099999998"/>
    <n v="43293036.490000002"/>
    <n v="-141167.35999999999"/>
    <n v="1256458.32"/>
    <n v="43151869.130000003"/>
    <n v="8.8999999999999999E-3"/>
    <m/>
    <s v="Investments"/>
    <s v="BBG00NV0G541"/>
    <s v="BOND"/>
    <s v="Corp"/>
    <s v="#N/A Field Not Applicable"/>
    <n v="0.7"/>
    <n v="4.4590000000000003E-3"/>
    <s v="High"/>
    <n v="2"/>
    <n v="9.8619999999999992E-3"/>
    <s v="High"/>
    <n v="5719553.2694512066"/>
    <s v=""/>
    <s v=""/>
    <s v="B+"/>
    <s v="B1"/>
    <s v="B+"/>
    <n v="8"/>
    <n v="8"/>
    <n v="8"/>
    <n v="8"/>
    <s v="CN"/>
    <s v="Communications"/>
    <s v="Internet"/>
    <s v="Internet Connectiv Svcs"/>
    <s v="N"/>
    <s v=" "/>
    <s v="ACTV"/>
    <s v="Corporate"/>
    <s v="Non-Financial"/>
    <s v="Non-Investment Grade"/>
    <s v="China"/>
    <s v="High"/>
    <s v="High"/>
    <s v="Information Technology"/>
    <s v="INDUSTRIAL"/>
    <s v="#N/A Field Not Applicable"/>
    <n v="8.6488419211236692E-2"/>
    <s v="10/15/2021"/>
    <n v="1.6273972602739726"/>
    <s v="1 - 2 yrs"/>
    <n v="1.7593877058724179E-2"/>
    <n v="1.4327724020254726"/>
    <n v="1.5489777517583703E-2"/>
    <n v="7.5409546957164366"/>
    <n v="8.1525656372008384E-2"/>
    <s v="XS1976766045"/>
    <s v="-"/>
    <n v="-6.46"/>
    <n v="5719553.2694512066"/>
    <n v="9.2932437121212054E-3"/>
    <s v="1 - 2 yrs"/>
    <x v="5"/>
  </r>
  <r>
    <s v="Investments"/>
    <s v="Investments Long"/>
    <s v="Avaliable for Trading"/>
    <s v="United States Dollar"/>
    <m/>
    <s v="XIHUI 4.5 04/17/22"/>
    <s v="XS1958219922"/>
    <n v="2500000"/>
    <n v="102.405"/>
    <n v="2493075"/>
    <n v="19536982.239999998"/>
    <n v="415351.95"/>
    <n v="321481.88"/>
    <n v="19952334.190000001"/>
    <n v="4.1000000000000003E-3"/>
    <m/>
    <s v="Investments"/>
    <s v="BBG00NV899R9"/>
    <s v="BOND"/>
    <s v="Corp"/>
    <s v="#N/A Field Not Applicable"/>
    <n v="1.8"/>
    <n v="3.4160000000000002E-3"/>
    <s v="High"/>
    <n v="2.1"/>
    <n v="7.9939999999999994E-3"/>
    <s v="High"/>
    <n v="2611158.2589544454"/>
    <s v=""/>
    <s v=""/>
    <s v=""/>
    <s v=""/>
    <s v="BBB+"/>
    <n v="0"/>
    <n v="0"/>
    <n v="14"/>
    <n v="14"/>
    <s v="CN"/>
    <s v="Industrial"/>
    <s v="Engineering&amp;Construction"/>
    <s v="Building-Heavy Construct"/>
    <s v="N"/>
    <s v=" "/>
    <s v="ACTV"/>
    <s v="Corporate"/>
    <s v="Non-Financial"/>
    <s v="Investment Grade"/>
    <s v="China"/>
    <s v="High"/>
    <s v="High"/>
    <s v="#N/A Field Not Applicable"/>
    <s v="SPECIAL PURPOSE"/>
    <s v="Chengtou Bond"/>
    <n v="6.9098257172234875E-2"/>
    <s v="4/17/2022"/>
    <n v="2.1315068493150684"/>
    <s v="2 - 3 yrs"/>
    <n v="1.0520243459882336E-2"/>
    <n v="1.9659206234862538"/>
    <n v="9.702977772989535E-3"/>
    <n v="3.1717545619908978"/>
    <n v="1.5654479457975448E-2"/>
    <s v="XS1958219922"/>
    <s v="-"/>
    <n v="-3.5"/>
    <n v="2611158.2589544454"/>
    <n v="4.2426617828685946E-3"/>
    <s v="1 - 2 yrs"/>
    <x v="5"/>
  </r>
  <r>
    <s v="Investments"/>
    <s v="Investments Long"/>
    <s v="Avaliable for Trading"/>
    <s v="United States Dollar"/>
    <m/>
    <s v="YUZHOU 6.375 03/06/21"/>
    <s v="XS1788498167"/>
    <n v="2000000"/>
    <n v="101.057"/>
    <n v="2027400"/>
    <n v="15775807.619999999"/>
    <n v="-24053.03"/>
    <n v="477514.23999999999"/>
    <n v="15751754.59"/>
    <n v="3.3E-3"/>
    <m/>
    <s v="Investments"/>
    <s v="BBG00K67R1J1"/>
    <s v="BOND"/>
    <s v="Corp"/>
    <s v="#N/A Field Not Applicable"/>
    <n v="0.7"/>
    <n v="4.5230000000000001E-3"/>
    <s v="High"/>
    <n v="2"/>
    <n v="1.025E-2"/>
    <s v="High"/>
    <n v="2090242.3695632573"/>
    <s v=""/>
    <s v=""/>
    <s v="B+"/>
    <s v=""/>
    <s v="BB-"/>
    <n v="8"/>
    <n v="0"/>
    <n v="9"/>
    <n v="8"/>
    <s v="CN"/>
    <s v="Financial"/>
    <s v="Real Estate"/>
    <s v="Real Estate Oper/Develop"/>
    <s v="N"/>
    <s v=" "/>
    <s v="ACTV"/>
    <s v="Corporate"/>
    <s v="Financial"/>
    <s v="Non-Investment Grade"/>
    <s v="China"/>
    <s v="High"/>
    <s v="High"/>
    <s v="Real Estate"/>
    <s v="FINANCIAL"/>
    <s v="#N/A Field Not Applicable"/>
    <n v="3.1607671053166329E-2"/>
    <s v="3/6/2021"/>
    <n v="1.0164383561643835"/>
    <s v="1 - 2 yrs"/>
    <n v="4.0159061509331189E-3"/>
    <n v="0.9459544167338263"/>
    <n v="3.7374270044265752E-3"/>
    <n v="5.8204737461827811"/>
    <n v="2.2996452442867011E-2"/>
    <s v="XS1788498167"/>
    <s v="-"/>
    <n v="-2.4300000000000002"/>
    <n v="2090242.3695632573"/>
    <n v="3.3962673031659551E-3"/>
    <s v="0 - 1 yr"/>
    <x v="5"/>
  </r>
  <r>
    <s v="Investments"/>
    <s v="Investments Long"/>
    <s v="Avaliable for Trading"/>
    <s v="United States Dollar"/>
    <m/>
    <s v="YUZHOU 8.625 01/23/22"/>
    <s v="XS1938265474"/>
    <n v="4000000"/>
    <n v="104.66800000000001"/>
    <n v="4231250"/>
    <n v="32881885.879999999"/>
    <n v="-252683.56"/>
    <n v="268875.75"/>
    <n v="32629202.32"/>
    <n v="6.7000000000000002E-3"/>
    <m/>
    <s v="Investments"/>
    <s v="BBG00N2KDB12"/>
    <s v="BOND"/>
    <s v="Corp"/>
    <s v="#N/A Field Not Applicable"/>
    <n v="3.9"/>
    <n v="6.7629999999999999E-3"/>
    <s v="Medium"/>
    <n v="9.1999999999999993"/>
    <n v="1.5265000000000001E-2"/>
    <s v="Low"/>
    <n v="4237095.1753538633"/>
    <s v=""/>
    <s v=""/>
    <s v=""/>
    <s v="B1"/>
    <s v="BB-"/>
    <n v="0"/>
    <n v="8"/>
    <n v="9"/>
    <n v="8"/>
    <s v="CN"/>
    <s v="Financial"/>
    <s v="Real Estate"/>
    <s v="Real Estate Oper/Develop"/>
    <s v="N"/>
    <s v=" "/>
    <s v="ACTV"/>
    <s v="Corporate"/>
    <s v="Financial"/>
    <s v="Non-Investment Grade"/>
    <s v="China"/>
    <s v="Medium"/>
    <s v="Low"/>
    <s v="Real Estate"/>
    <s v="FINANCIAL"/>
    <s v="#N/A Field Not Applicable"/>
    <n v="6.4071378742325338E-2"/>
    <s v="1/23/2022"/>
    <n v="1.9013698630136986"/>
    <s v="1 - 2 yrs"/>
    <n v="1.5227923577799238E-2"/>
    <n v="1.7036806722324342"/>
    <n v="1.3644646200822966E-2"/>
    <n v="5.7118298670633827"/>
    <n v="4.5745601840542972E-2"/>
    <s v="XS1938265474"/>
    <s v="-"/>
    <n v="-4.3"/>
    <n v="4237095.1753538633"/>
    <n v="6.88451636709637E-3"/>
    <s v="1 - 2 yrs"/>
    <x v="5"/>
  </r>
  <r>
    <s v="Investments"/>
    <s v="Investments Long"/>
    <s v="Avaliable for Trading"/>
    <s v="United States Dollar"/>
    <m/>
    <s v="YWSOAO 4.5 05/30/22"/>
    <s v="XS1831038143"/>
    <n v="5000000"/>
    <n v="102.15900000000001"/>
    <n v="4985803.2300000004"/>
    <n v="39136915.07"/>
    <n v="671893.26"/>
    <n v="433513.44"/>
    <n v="39808808.329999998"/>
    <n v="8.2000000000000007E-3"/>
    <m/>
    <s v="Investments"/>
    <s v="BBG00P7N38J5"/>
    <s v="BOND"/>
    <s v="Corp"/>
    <s v="#N/A Field Not Applicable"/>
    <n v="0.5"/>
    <n v="1.903E-3"/>
    <s v="High"/>
    <n v="2"/>
    <n v="4.3239999999999997E-3"/>
    <s v="High"/>
    <n v="5182994.1874991944"/>
    <s v=""/>
    <s v=""/>
    <s v=""/>
    <s v="Baa3"/>
    <s v="BBB"/>
    <n v="0"/>
    <n v="12"/>
    <n v="13"/>
    <n v="12"/>
    <s v="CN"/>
    <s v="Financial"/>
    <s v="Real Estate"/>
    <s v="Real Estate Oper/Develop"/>
    <s v="N"/>
    <s v=" "/>
    <s v="ACTV"/>
    <s v="Corporate"/>
    <s v="Financial"/>
    <s v="Investment Grade"/>
    <s v="China"/>
    <s v="High"/>
    <s v="High"/>
    <s v="#N/A Field Not Applicable"/>
    <s v="SPECIAL PURPOSE"/>
    <s v="Chengtou Bond"/>
    <n v="0.11756223421820976"/>
    <s v="5/30/2022"/>
    <n v="2.2493150684931509"/>
    <s v="2 - 3 yrs"/>
    <n v="2.2036208742728363E-2"/>
    <n v="2.0802300409025754"/>
    <n v="2.0379707608028721E-2"/>
    <n v="3.4518328506352711"/>
    <n v="3.3817098505707868E-2"/>
    <s v="XS1831038143"/>
    <s v="-"/>
    <n v="-2.94"/>
    <n v="5182994.1874991944"/>
    <n v="8.4214318625551107E-3"/>
    <s v="2 - 3 yrs"/>
    <x v="5"/>
  </r>
  <r>
    <s v="Investments"/>
    <s v="Investments Long"/>
    <s v="Avaliable for Trading"/>
    <s v="United States Dollar"/>
    <m/>
    <s v="YZCOAL 4.75 11/30/20"/>
    <s v="XS1728036952"/>
    <n v="3000000"/>
    <n v="100.473"/>
    <n v="2913521.1"/>
    <n v="22851731.039999999"/>
    <n v="639358.81000000006"/>
    <n v="274558.51"/>
    <n v="23491089.850000001"/>
    <n v="4.7999999999999996E-3"/>
    <m/>
    <s v="Investments"/>
    <s v="BBG00JC8V4T3"/>
    <s v="BOND"/>
    <s v="Corp"/>
    <s v="#N/A Field Not Applicable"/>
    <n v="0.4"/>
    <n v="2.3340000000000001E-3"/>
    <s v="High"/>
    <n v="2"/>
    <n v="4.9810000000000002E-3"/>
    <s v="High"/>
    <n v="3060887.441237459"/>
    <s v=""/>
    <s v=""/>
    <s v=""/>
    <s v=""/>
    <s v=""/>
    <n v="0"/>
    <n v="0"/>
    <n v="0"/>
    <n v="0"/>
    <s v="CN"/>
    <s v="Energy"/>
    <s v="Coal"/>
    <s v="Coal"/>
    <s v="N"/>
    <s v=" "/>
    <s v="ACTV"/>
    <s v="Corporate"/>
    <s v="Non-Financial"/>
    <s v="Non-Investment Grade"/>
    <s v="China"/>
    <s v="High"/>
    <s v="High"/>
    <s v="#N/A Field Not Applicable"/>
    <s v="SPECIAL PURPOSE"/>
    <s v="#N/A Field Not Applicable"/>
    <n v="0"/>
    <s v="11/30/2020"/>
    <n v="0.75342465753424659"/>
    <s v="0 - 1 yr"/>
    <n v="4.3590620593989965E-3"/>
    <n v="0.69641706876163234"/>
    <n v="4.0292352945970663E-3"/>
    <n v="4.0901246294115765"/>
    <n v="2.366408759255529E-2"/>
    <s v="XS1728036952"/>
    <s v="-"/>
    <n v="-2.21"/>
    <n v="3060887.441237459"/>
    <n v="4.973390687472371E-3"/>
    <s v="0 - 1 yr"/>
    <x v="5"/>
  </r>
  <r>
    <s v="Investments"/>
    <s v="Investments Long"/>
    <s v="Avaliable for Trading"/>
    <s v="United States Dollar"/>
    <m/>
    <s v="YZCOAL V5.75 PERP"/>
    <s v="XS1577730895"/>
    <n v="4060000"/>
    <n v="100.178"/>
    <n v="4100600"/>
    <n v="32161825.920000002"/>
    <n v="-463893.85"/>
    <n v="687326.09"/>
    <n v="31697932.07"/>
    <n v="6.4999999999999997E-3"/>
    <m/>
    <s v="Investments"/>
    <s v="BBG00GDDTJZ0"/>
    <s v="BOND"/>
    <s v="Corp"/>
    <s v="#N/A Field Not Applicable"/>
    <n v="1.9"/>
    <n v="4.8849999999999996E-3"/>
    <s v="High"/>
    <n v="3.6"/>
    <n v="1.0763E-2"/>
    <s v="Medium"/>
    <n v="4171046.734412632"/>
    <s v=""/>
    <s v=""/>
    <s v="BB-"/>
    <s v=""/>
    <s v=""/>
    <n v="9"/>
    <n v="0"/>
    <n v="0"/>
    <n v="9"/>
    <s v="CN"/>
    <s v="Energy"/>
    <s v="Coal"/>
    <s v="Coal"/>
    <s v="N"/>
    <s v=" "/>
    <s v="ACTV"/>
    <s v="Corporate"/>
    <s v="Non-Financial"/>
    <s v="Non-Investment Grade"/>
    <s v="China"/>
    <s v="High"/>
    <s v="Medium"/>
    <s v="#N/A Field Not Applicable"/>
    <s v="INDUSTRIAL"/>
    <s v="#N/A Field Not Applicable"/>
    <n v="7.0956703121837106E-2"/>
    <s v="10/13/2168"/>
    <n v="148.72054794520548"/>
    <s v="10 yrs or Above"/>
    <n v="1.1725244187405428"/>
    <n v="9.1353834218213553E-2"/>
    <n v="7.2024076596258907E-4"/>
    <n v="8.8685231843612193"/>
    <n v="6.9920129635760928E-2"/>
    <s v="XS1577730895"/>
    <s v="-"/>
    <n v="-0.99"/>
    <n v="4171046.734412632"/>
    <n v="6.7771995488842022E-3"/>
    <s v="0 - 1 yr"/>
    <x v="5"/>
  </r>
  <r>
    <s v="Investments"/>
    <s v="Investments Long"/>
    <s v="Avaliable for Trading"/>
    <s v="United States Dollar"/>
    <m/>
    <s v="ZHPRHK 5.6 02/28/21"/>
    <s v="XS2122877330"/>
    <n v="3000000"/>
    <n v="99.768000000000001"/>
    <n v="3000000"/>
    <n v="23316900"/>
    <n v="9357.24"/>
    <n v="0"/>
    <n v="23326257.239999998"/>
    <n v="4.7999999999999996E-3"/>
    <m/>
    <s v="Investments"/>
    <s v="BBG00RT2L457"/>
    <s v="BOND"/>
    <s v="Corp"/>
    <s v="#N/A Field Not Applicable"/>
    <n v="0.5"/>
    <n v="2.9970000000000001E-3"/>
    <s v="High"/>
    <n v="1.8"/>
    <n v="7.3289999999999996E-3"/>
    <s v="High"/>
    <n v="3004296.232757621"/>
    <s v=""/>
    <s v=""/>
    <s v=""/>
    <s v=""/>
    <s v=""/>
    <n v="0"/>
    <n v="0"/>
    <n v="0"/>
    <n v="0"/>
    <s v="CN"/>
    <s v="Financial"/>
    <s v="Real Estate"/>
    <s v="Real Estate Oper/Develop"/>
    <s v="N"/>
    <s v=" "/>
    <s v="ACTV"/>
    <s v="Corporate"/>
    <s v="Financial"/>
    <s v="Non-Investment Grade"/>
    <s v="China"/>
    <s v="High"/>
    <s v="High"/>
    <s v="Real Estate"/>
    <s v="FINANCIAL"/>
    <s v="#N/A Field Not Applicable"/>
    <n v="0"/>
    <s v="2/28/2021"/>
    <n v="1"/>
    <s v="1 - 2 yrs"/>
    <n v="5.678695952560201E-3"/>
    <n v="0.92697207570333584"/>
    <n v="5.2639925744328618E-3"/>
    <n v="5.6901622961037548"/>
    <n v="3.2312701600295049E-2"/>
    <s v="XS2122877330"/>
    <s v="-"/>
    <n v="-2.2000000000000002"/>
    <n v="3004296.232757621"/>
    <n v="4.8814401683338268E-3"/>
    <s v="0 - 1 yr"/>
    <x v="5"/>
  </r>
  <r>
    <s v="Investments"/>
    <s v="Investments Long"/>
    <s v="Avaliable for Trading"/>
    <s v="United States Dollar"/>
    <m/>
    <s v="ZHPRHK 7.875 04/14/24"/>
    <s v="XS2099413093"/>
    <n v="0"/>
    <s v="NA"/>
    <n v="0"/>
    <n v="0"/>
    <n v="0"/>
    <n v="76717.27"/>
    <n v="0"/>
    <n v="0"/>
    <m/>
    <s v="Investments"/>
    <s v="BBG00R9SL5T3"/>
    <s v="BOND"/>
    <s v="Corp"/>
    <s v="#N/A Field Not Applicable"/>
    <n v="0.1"/>
    <n v="9.214E-3"/>
    <s v="High"/>
    <n v="0.1"/>
    <n v="2.6064E-2"/>
    <s v="High"/>
    <n v="9880.770964542844"/>
    <s v=""/>
    <s v=""/>
    <s v=""/>
    <s v="B2"/>
    <s v="B+"/>
    <n v="0"/>
    <n v="7"/>
    <n v="8"/>
    <n v="7"/>
    <s v="CN"/>
    <s v="Financial"/>
    <s v="Real Estate"/>
    <s v="Real Estate Oper/Develop"/>
    <s v="N"/>
    <s v=" "/>
    <s v="ACTV"/>
    <s v="Corporate"/>
    <s v="Financial"/>
    <s v="Non-Investment Grade"/>
    <s v="China"/>
    <s v="High"/>
    <s v="High"/>
    <s v="Real Estate"/>
    <s v="FINANCIAL"/>
    <s v="#N/A Field Not Applicable"/>
    <n v="1.3073586229915373E-4"/>
    <s v="4/14/2024"/>
    <n v="4.1260273972602741"/>
    <s v="3 - 5 yrs"/>
    <n v="7.7059964235822123E-5"/>
    <n v="3.4212193198537206"/>
    <n v="6.3896579699371486E-5"/>
    <n v="7.5412919871831852"/>
    <n v="1.4084533011344175E-4"/>
    <s v="XS2099413093"/>
    <s v="-"/>
    <s v="-"/>
    <n v="9880.770964542844"/>
    <n v="1.6054472842764196E-5"/>
    <s v="3 - 5 yrs"/>
    <x v="5"/>
  </r>
  <r>
    <s v="Investments"/>
    <s v="Investments Long"/>
    <s v="Avaliable for Trading"/>
    <s v="United States Dollar"/>
    <m/>
    <s v="ZHPRHK 8.65 01/21/23"/>
    <s v="XS1973630889"/>
    <n v="2191000"/>
    <n v="102.374"/>
    <n v="2237093.75"/>
    <n v="17368750.539999999"/>
    <n v="112181.72"/>
    <n v="155909.34"/>
    <n v="17480932.260000002"/>
    <n v="3.5999999999999999E-3"/>
    <m/>
    <s v="Investments"/>
    <s v="BBG00NQDZNG6"/>
    <s v="BOND"/>
    <s v="Corp"/>
    <s v="#N/A Field Not Applicable"/>
    <n v="0.5"/>
    <n v="8.94E-3"/>
    <s v="High"/>
    <n v="2"/>
    <n v="2.2759999999999999E-2"/>
    <s v="High"/>
    <n v="2271530.1572582205"/>
    <s v=""/>
    <s v=""/>
    <s v="B-"/>
    <s v="B2"/>
    <s v=""/>
    <n v="6"/>
    <n v="7"/>
    <n v="0"/>
    <n v="6"/>
    <s v="CN"/>
    <s v="Financial"/>
    <s v="Real Estate"/>
    <s v="Real Estate Oper/Develop"/>
    <s v="N"/>
    <s v=" "/>
    <s v="ACTV"/>
    <s v="Corporate"/>
    <s v="Financial"/>
    <s v="Non-Investment Grade"/>
    <s v="China"/>
    <s v="High"/>
    <s v="High"/>
    <s v="Real Estate"/>
    <s v="FINANCIAL"/>
    <s v="#N/A Field Not Applicable"/>
    <n v="2.5761765373517438E-2"/>
    <s v="1/21/2023"/>
    <n v="2.8958904109589043"/>
    <s v="2 - 3 yrs"/>
    <n v="1.2433874885757047E-2"/>
    <n v="2.4890343573028102"/>
    <n v="1.0686986519909795E-2"/>
    <n v="7.0432665513470409"/>
    <n v="3.0241163393157629E-2"/>
    <s v="XS1973630889"/>
    <s v="-"/>
    <n v="-6.62"/>
    <n v="2271530.1572582205"/>
    <n v="3.6908273000242817E-3"/>
    <s v="2 - 3 yrs"/>
    <x v="5"/>
  </r>
  <r>
    <s v="Investments"/>
    <s v="Investments Long"/>
    <s v="Avaliable for Trading"/>
    <s v="United States Dollar"/>
    <m/>
    <s v="ZHPRHK 9.15 03/08/22"/>
    <s v="XS1960071303"/>
    <n v="3500000"/>
    <n v="103.96899999999999"/>
    <n v="3504664.99"/>
    <n v="27483627.359999999"/>
    <n v="876256.84"/>
    <n v="2032349.96"/>
    <n v="28359884.199999999"/>
    <n v="5.8999999999999999E-3"/>
    <m/>
    <s v="Investments"/>
    <s v="BBG00NHNXCH9"/>
    <s v="BOND"/>
    <s v="Corp"/>
    <s v="#N/A Field Not Applicable"/>
    <n v="0.7"/>
    <n v="6.4989999999999996E-3"/>
    <s v="High"/>
    <n v="2"/>
    <n v="1.5736E-2"/>
    <s v="High"/>
    <n v="3914355.9831536645"/>
    <s v=""/>
    <s v=""/>
    <s v="B-"/>
    <s v="B2"/>
    <s v=""/>
    <n v="6"/>
    <n v="7"/>
    <n v="0"/>
    <n v="6"/>
    <s v="CN"/>
    <s v="Financial"/>
    <s v="Real Estate"/>
    <s v="Real Estate Oper/Develop"/>
    <s v="N"/>
    <s v=" "/>
    <s v="ACTV"/>
    <s v="Corporate"/>
    <s v="Financial"/>
    <s v="Non-Investment Grade"/>
    <s v="China"/>
    <s v="High"/>
    <s v="High"/>
    <s v="Real Estate"/>
    <s v="FINANCIAL"/>
    <s v="#N/A Field Not Applicable"/>
    <n v="4.4393300306497158E-2"/>
    <s v="3/8/2022"/>
    <n v="2.021917808219178"/>
    <s v="2 - 3 yrs"/>
    <n v="1.495993407588808E-2"/>
    <n v="1.8104483850782003"/>
    <n v="1.3395296474698223E-2"/>
    <n v="6.6036609121599819"/>
    <n v="4.8859716999299162E-2"/>
    <s v="XS1960071303"/>
    <s v="-"/>
    <n v="-4.1100000000000003"/>
    <n v="3914355.9831536645"/>
    <n v="6.3601233197251444E-3"/>
    <s v="1 - 2 yrs"/>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Investments"/>
    <s v="Cash Long"/>
    <s v="BOCHK Custody account"/>
    <s v="Euro"/>
    <m/>
    <s v="Euro"/>
    <s v="EUR"/>
    <n v="200713.05"/>
    <n v="1"/>
    <n v="200713.05"/>
    <n v="1735858.17"/>
    <n v="-19942.23"/>
    <n v="0"/>
    <n v="1715915.94"/>
    <n v="4.0000000000000002E-4"/>
    <m/>
    <s v="Cash"/>
    <m/>
    <s v="Cash"/>
    <s v="Cash"/>
    <s v="Cash"/>
    <n v="0"/>
    <n v="0"/>
    <s v="High"/>
    <n v="0"/>
    <n v="0"/>
    <s v="High"/>
    <n v="221377.08712311799"/>
    <s v=""/>
    <s v=""/>
    <s v=""/>
    <s v=""/>
    <s v=""/>
    <n v="21"/>
    <n v="21"/>
    <n v="21"/>
    <n v="21"/>
    <s v="EU"/>
    <s v="Cash"/>
    <s v="Cash"/>
    <s v="Cash"/>
    <s v="Cash"/>
    <s v="Cash"/>
    <s v="Cash"/>
    <s v="Cash"/>
    <s v="Cash"/>
    <s v=""/>
    <x v="0"/>
    <s v="High"/>
    <s v="High"/>
    <s v="Cash"/>
    <s v="Cash"/>
    <s v="Cash"/>
    <s v=""/>
    <s v=""/>
    <s v=""/>
    <s v=""/>
    <s v=""/>
    <s v=""/>
    <s v=""/>
    <s v=""/>
    <m/>
    <s v="-"/>
    <s v="-"/>
    <s v="-"/>
    <n v="221377.08712311799"/>
    <n v="4.0464265600255656E-4"/>
    <s v=""/>
    <s v="Cash"/>
    <s v=""/>
  </r>
  <r>
    <s v="Investments"/>
    <s v="Cash Long"/>
    <s v="BOCHK Custody account"/>
    <s v="Hong Kong Dollar"/>
    <m/>
    <s v="Hong Kong Dollar"/>
    <s v="HKD"/>
    <n v="10262226.93"/>
    <n v="1"/>
    <n v="10262226.93"/>
    <n v="10262226.93"/>
    <n v="0"/>
    <n v="0"/>
    <n v="10262226.93"/>
    <n v="2.3E-3"/>
    <m/>
    <s v="Cash"/>
    <m/>
    <s v="Cash"/>
    <s v="Cash"/>
    <s v="Cash"/>
    <n v="0"/>
    <n v="0"/>
    <s v="High"/>
    <n v="0"/>
    <n v="0"/>
    <s v="High"/>
    <n v="1323970.3951697177"/>
    <s v=""/>
    <s v=""/>
    <s v=""/>
    <s v=""/>
    <s v=""/>
    <n v="21"/>
    <n v="21"/>
    <n v="21"/>
    <n v="21"/>
    <s v="HK"/>
    <s v="Cash"/>
    <s v="Cash"/>
    <s v="Cash"/>
    <s v="Cash"/>
    <s v="Cash"/>
    <s v="Cash"/>
    <s v="Cash"/>
    <s v="Cash"/>
    <s v=""/>
    <x v="0"/>
    <s v="High"/>
    <s v="High"/>
    <s v="Cash"/>
    <s v="Cash"/>
    <s v="Cash"/>
    <s v=""/>
    <s v=""/>
    <s v=""/>
    <s v=""/>
    <s v=""/>
    <s v=""/>
    <s v=""/>
    <s v=""/>
    <s v=""/>
    <s v="-"/>
    <s v="-"/>
    <s v="-"/>
    <n v="1323970.3951697177"/>
    <n v="2.4200105988036696E-3"/>
    <s v=""/>
    <s v="Cash"/>
    <s v=""/>
  </r>
  <r>
    <s v="Investments"/>
    <s v="Cash Long"/>
    <s v="BOCHK Custody account"/>
    <s v="United States Dollar"/>
    <m/>
    <s v="United States Dollar"/>
    <s v="USD"/>
    <n v="51116780.549999997"/>
    <n v="1"/>
    <n v="51116780.549999997"/>
    <n v="396563807.18000001"/>
    <n v="-352529.46"/>
    <n v="0"/>
    <n v="396211277.72000003"/>
    <n v="8.8300000000000003E-2"/>
    <m/>
    <s v="Cash"/>
    <m/>
    <s v="Cash"/>
    <s v="Cash"/>
    <s v="Cash"/>
    <n v="0"/>
    <n v="0"/>
    <s v="High"/>
    <n v="0"/>
    <n v="0"/>
    <s v="High"/>
    <n v="51116780.549857445"/>
    <s v=""/>
    <s v=""/>
    <s v=""/>
    <s v=""/>
    <s v=""/>
    <n v="21"/>
    <n v="21"/>
    <n v="21"/>
    <n v="21"/>
    <s v="US"/>
    <s v="Cash"/>
    <s v="Cash"/>
    <s v="Cash"/>
    <s v="Cash"/>
    <s v="Cash"/>
    <s v="Cash"/>
    <s v="Cash"/>
    <s v="Cash"/>
    <s v=""/>
    <x v="0"/>
    <s v="High"/>
    <s v="High"/>
    <s v="Cash"/>
    <s v="Cash"/>
    <s v="Cash"/>
    <s v=""/>
    <s v=""/>
    <s v=""/>
    <s v=""/>
    <s v=""/>
    <s v=""/>
    <s v=""/>
    <s v=""/>
    <s v=""/>
    <s v="-"/>
    <s v="-"/>
    <s v="-"/>
    <n v="51116780.549857445"/>
    <n v="9.3433471895358333E-2"/>
    <s v=""/>
    <s v="Cash"/>
    <s v=""/>
  </r>
  <r>
    <s v="Investments"/>
    <s v="Cash Long"/>
    <s v="Morgan Stanley Future Account"/>
    <s v="United States Dollar"/>
    <m/>
    <s v="United States Dollar"/>
    <s v="USD"/>
    <n v="2553726.7799999998"/>
    <n v="1"/>
    <n v="2553726.7799999998"/>
    <n v="19971123.199999999"/>
    <n v="-176931.56"/>
    <n v="0"/>
    <n v="19794191.640000001"/>
    <n v="4.4000000000000003E-3"/>
    <m/>
    <s v="Cash"/>
    <m/>
    <s v="Cash"/>
    <s v="Cash"/>
    <s v="Cash"/>
    <n v="0"/>
    <n v="0"/>
    <s v="High"/>
    <n v="0"/>
    <n v="0"/>
    <s v="High"/>
    <n v="2553726.779424856"/>
    <s v=""/>
    <s v=""/>
    <s v=""/>
    <s v=""/>
    <s v=""/>
    <n v="21"/>
    <n v="21"/>
    <n v="21"/>
    <n v="21"/>
    <s v="US"/>
    <s v="Cash"/>
    <s v="Cash"/>
    <s v="Cash"/>
    <s v="Cash"/>
    <s v="Cash"/>
    <s v="Cash"/>
    <s v="Cash"/>
    <s v="Cash"/>
    <s v=""/>
    <x v="0"/>
    <s v="High"/>
    <s v="High"/>
    <s v="Cash"/>
    <s v="Cash"/>
    <s v="Cash"/>
    <s v=""/>
    <s v=""/>
    <s v=""/>
    <s v=""/>
    <s v=""/>
    <s v=""/>
    <s v=""/>
    <s v=""/>
    <s v=""/>
    <s v="-"/>
    <s v="-"/>
    <s v="-"/>
    <n v="2553726.779424856"/>
    <n v="4.6678127359975462E-3"/>
    <s v=""/>
    <s v="Cash"/>
    <s v=""/>
  </r>
  <r>
    <s v="Investments"/>
    <s v="Investments Long"/>
    <m/>
    <s v="Hong Kong Dollar"/>
    <m/>
    <s v="AIA GROUP LTD"/>
    <s v="1299 HK"/>
    <n v="177200"/>
    <n v="70.150000000000006"/>
    <n v="12571534.66"/>
    <n v="12571534.66"/>
    <n v="-140954.66"/>
    <n v="0"/>
    <n v="12430580"/>
    <n v="2.8E-3"/>
    <m/>
    <s v="Investments"/>
    <s v="BBG0016XR1Q8"/>
    <s v="EQUI"/>
    <s v="Equity"/>
    <s v="Common Stock"/>
    <n v="0.1"/>
    <n v="4.0861000000000001E-2"/>
    <s v="High"/>
    <n v="0.3"/>
    <n v="7.2820999999999997E-2"/>
    <s v="High"/>
    <n v="1603718.1819354673"/>
    <s v=""/>
    <s v=""/>
    <s v=""/>
    <s v=""/>
    <s v=""/>
    <n v="0"/>
    <n v="0"/>
    <n v="0"/>
    <n v="0"/>
    <s v="HK"/>
    <s v="Financial"/>
    <s v="Insurance"/>
    <s v="Life/Health Insurance"/>
    <s v="N"/>
    <s v=" "/>
    <s v="ACTV"/>
    <s v="Equity"/>
    <s v="Financial"/>
    <s v=""/>
    <x v="1"/>
    <s v="High"/>
    <s v="High"/>
    <s v="Financials"/>
    <s v="Life/Health Insurance"/>
    <s v="#N/A Field Not Applicable"/>
    <s v=""/>
    <s v=""/>
    <s v=""/>
    <s v=""/>
    <s v=""/>
    <s v=""/>
    <s v=""/>
    <s v=""/>
    <s v=""/>
    <s v="HK0000069689"/>
    <s v="-"/>
    <n v="-9.57"/>
    <n v="1603718.1819354673"/>
    <n v="2.9313457551144724E-3"/>
    <s v=""/>
    <s v="Hong Kong"/>
    <s v=""/>
  </r>
  <r>
    <s v="Investments"/>
    <s v="Investments Long"/>
    <m/>
    <s v="Hong Kong Dollar"/>
    <m/>
    <s v="ALIBABA GROUP HOLDING LTD"/>
    <s v="9988 HK"/>
    <n v="127000"/>
    <n v="183.4"/>
    <n v="22577241.100000001"/>
    <n v="22577241.100000001"/>
    <n v="714558.9"/>
    <n v="0"/>
    <n v="23291800"/>
    <n v="5.1999999999999998E-3"/>
    <m/>
    <s v="Investments"/>
    <s v="BBG00QV37ZP9"/>
    <s v="EQUI"/>
    <s v="Equity"/>
    <s v="Common Stock"/>
    <n v="0.2"/>
    <n v="3.6630000000000003E-2"/>
    <s v="High"/>
    <n v="0.3"/>
    <n v="6.5493999999999997E-2"/>
    <s v="High"/>
    <n v="3004967.0369366929"/>
    <s v=""/>
    <s v=""/>
    <s v=""/>
    <s v=""/>
    <s v=""/>
    <n v="0"/>
    <n v="0"/>
    <n v="0"/>
    <n v="0"/>
    <s v="HK"/>
    <s v="Communications"/>
    <s v="Internet"/>
    <s v="E-Commerce/Products"/>
    <s v="N"/>
    <s v=" "/>
    <s v="ACTV"/>
    <s v="Equity"/>
    <s v="Non-Financial"/>
    <s v=""/>
    <x v="1"/>
    <s v="High"/>
    <s v="High"/>
    <s v="Consumer Discretionary"/>
    <s v="E-Commerce/Products"/>
    <s v="#N/A Field Not Applicable"/>
    <s v=""/>
    <s v=""/>
    <s v=""/>
    <s v=""/>
    <s v=""/>
    <s v=""/>
    <s v=""/>
    <s v=""/>
    <s v=""/>
    <s v="KYG017191142"/>
    <s v="-"/>
    <n v="-7.88"/>
    <n v="3004967.0369366929"/>
    <n v="5.492609279613282E-3"/>
    <s v=""/>
    <s v="Hong Kong"/>
    <s v=""/>
  </r>
  <r>
    <s v="Investments"/>
    <s v="Investments Long"/>
    <m/>
    <s v="Hong Kong Dollar"/>
    <m/>
    <s v="CHINA MENGNIU DAIRY CO"/>
    <s v="2319 HK"/>
    <n v="110000"/>
    <n v="26.95"/>
    <n v="3463883.29"/>
    <n v="3463883.29"/>
    <n v="-499383.29"/>
    <n v="0"/>
    <n v="2964500"/>
    <n v="6.9999999999999999E-4"/>
    <m/>
    <s v="Investments"/>
    <s v="BBG000PXTGY5"/>
    <s v="EQUI"/>
    <s v="Equity"/>
    <s v="Common Stock"/>
    <n v="0.2"/>
    <n v="3.0221999999999999E-2"/>
    <s v="High"/>
    <n v="0.5"/>
    <n v="5.3747999999999997E-2"/>
    <s v="High"/>
    <n v="382461.84412534995"/>
    <s v=""/>
    <s v=""/>
    <s v=""/>
    <s v=""/>
    <s v=""/>
    <n v="0"/>
    <n v="0"/>
    <n v="0"/>
    <n v="0"/>
    <s v="HK"/>
    <s v="Consumer, Non-cyclical"/>
    <s v="Food"/>
    <s v="Food-Dairy Products"/>
    <s v="N"/>
    <s v=" "/>
    <s v="ACTV"/>
    <s v="Equity"/>
    <s v="Non-Financial"/>
    <s v=""/>
    <x v="1"/>
    <s v="High"/>
    <s v="High"/>
    <s v="Consumer Staples"/>
    <s v="Food-Dairy Products"/>
    <s v="#N/A Field Not Applicable"/>
    <s v=""/>
    <s v=""/>
    <s v=""/>
    <s v=""/>
    <s v=""/>
    <s v=""/>
    <s v=""/>
    <s v=""/>
    <s v=""/>
    <s v="KYG210961051"/>
    <s v="-"/>
    <n v="-8.36"/>
    <n v="382461.84412534995"/>
    <n v="6.9908037203709344E-4"/>
    <s v=""/>
    <s v="Hong Kong"/>
    <s v=""/>
  </r>
  <r>
    <s v="Investments"/>
    <s v="Investments Long"/>
    <m/>
    <s v="Hong Kong Dollar"/>
    <m/>
    <s v="CHINA MERCHANTS BANK-H"/>
    <s v="3968 HK"/>
    <n v="290000"/>
    <n v="35"/>
    <n v="10831349.199999999"/>
    <n v="10831349.199999999"/>
    <n v="-681349.2"/>
    <n v="0"/>
    <n v="10150000"/>
    <n v="2.3E-3"/>
    <m/>
    <s v="Investments"/>
    <s v="BBG000DVPPK1"/>
    <s v="EQUI"/>
    <s v="Equity"/>
    <s v="Common Stock"/>
    <n v="0.3"/>
    <n v="4.1071999999999997E-2"/>
    <s v="High"/>
    <n v="0.7"/>
    <n v="7.2844000000000006E-2"/>
    <s v="High"/>
    <n v="1309491.5560372076"/>
    <s v=""/>
    <s v=""/>
    <s v=""/>
    <s v=""/>
    <s v=""/>
    <n v="0"/>
    <n v="0"/>
    <n v="0"/>
    <n v="0"/>
    <s v="HK"/>
    <s v="Financial"/>
    <s v="Banks"/>
    <s v="Commer Banks Non-US"/>
    <s v="N"/>
    <s v=" "/>
    <s v="ACTV"/>
    <s v="Equity"/>
    <s v="Financial"/>
    <s v=""/>
    <x v="1"/>
    <s v="High"/>
    <s v="High"/>
    <s v="Financials"/>
    <s v="Commer Banks Non-US"/>
    <s v="#N/A Field Not Applicable"/>
    <s v=""/>
    <s v=""/>
    <s v=""/>
    <s v=""/>
    <s v=""/>
    <s v=""/>
    <s v=""/>
    <s v=""/>
    <s v=""/>
    <s v="CNE1000002M1"/>
    <s v="-"/>
    <n v="-9.74"/>
    <n v="1309491.5560372076"/>
    <n v="2.3935455477066955E-3"/>
    <s v=""/>
    <s v="Hong Kong"/>
    <s v=""/>
  </r>
  <r>
    <s v="Investments"/>
    <s v="Investments Long"/>
    <m/>
    <s v="Hong Kong Dollar"/>
    <m/>
    <s v="CHINA MOBILE LTD"/>
    <s v="941 HK"/>
    <n v="125000"/>
    <n v="57.65"/>
    <n v="8479164.1300000008"/>
    <n v="8479164.1300000008"/>
    <n v="-1272914.1299999999"/>
    <n v="0"/>
    <n v="7206250"/>
    <n v="1.6000000000000001E-3"/>
    <m/>
    <s v="Investments"/>
    <s v="BBG000BZWNT2"/>
    <s v="EQUI"/>
    <s v="Equity"/>
    <s v="Common Stock"/>
    <n v="0.1"/>
    <n v="4.1027000000000001E-2"/>
    <s v="High"/>
    <n v="0.2"/>
    <n v="7.3200000000000001E-2"/>
    <s v="High"/>
    <n v="929706.75129981549"/>
    <s v=""/>
    <s v=""/>
    <s v=""/>
    <s v=""/>
    <s v=""/>
    <n v="0"/>
    <n v="0"/>
    <n v="0"/>
    <n v="0"/>
    <s v="HK"/>
    <s v="Communications"/>
    <s v="Telecommunications"/>
    <s v="Cellular Telecom"/>
    <s v="N"/>
    <s v=" "/>
    <s v="ACTV"/>
    <s v="Equity"/>
    <s v="Non-Financial"/>
    <s v=""/>
    <x v="1"/>
    <s v="High"/>
    <s v="High"/>
    <s v="Communication Services"/>
    <s v="Cellular Telecom"/>
    <s v="#N/A Field Not Applicable"/>
    <s v=""/>
    <s v=""/>
    <s v=""/>
    <s v=""/>
    <s v=""/>
    <s v=""/>
    <s v=""/>
    <s v=""/>
    <s v=""/>
    <s v="HK0941009539"/>
    <s v="-"/>
    <n v="-7.54"/>
    <n v="929706.75129981549"/>
    <n v="1.6993583845479187E-3"/>
    <s v=""/>
    <s v="Hong Kong"/>
    <s v=""/>
  </r>
  <r>
    <s v="Investments"/>
    <s v="Investments Long"/>
    <m/>
    <s v="Hong Kong Dollar"/>
    <m/>
    <s v="CHINA TOWER CORP LTD-H"/>
    <s v="788 HK"/>
    <n v="3500000"/>
    <n v="1.74"/>
    <n v="5643848.8300000001"/>
    <n v="5643848.8300000001"/>
    <n v="446151.17"/>
    <n v="0"/>
    <n v="6090000"/>
    <n v="1.4E-3"/>
    <m/>
    <s v="Investments"/>
    <s v="BBG00LD1QR26"/>
    <s v="EQUI"/>
    <s v="Equity"/>
    <s v="Common Stock"/>
    <n v="0.2"/>
    <n v="4.7198999999999998E-2"/>
    <s v="High"/>
    <n v="0.3"/>
    <n v="8.3705000000000002E-2"/>
    <s v="High"/>
    <n v="785694.93362232461"/>
    <s v=""/>
    <s v=""/>
    <s v=""/>
    <s v=""/>
    <s v=""/>
    <n v="0"/>
    <n v="0"/>
    <n v="0"/>
    <n v="0"/>
    <s v="HK"/>
    <s v="Industrial"/>
    <s v="Engineering&amp;Construction"/>
    <s v="Building-Heavy Construct"/>
    <s v="N"/>
    <s v=" "/>
    <s v="ACTV"/>
    <s v="Equity"/>
    <s v="Non-Financial"/>
    <s v=""/>
    <x v="1"/>
    <s v="High"/>
    <s v="High"/>
    <s v="Communication Services"/>
    <s v="Building-Heavy Construct"/>
    <s v="#N/A Field Not Applicable"/>
    <s v=""/>
    <s v=""/>
    <s v=""/>
    <s v=""/>
    <s v=""/>
    <s v=""/>
    <s v=""/>
    <s v=""/>
    <s v=""/>
    <s v="CNE100003688"/>
    <s v="-"/>
    <n v="-10.92"/>
    <n v="785694.93362232461"/>
    <n v="1.4361273286240173E-3"/>
    <s v=""/>
    <s v="Hong Kong"/>
    <s v=""/>
  </r>
  <r>
    <s v="Investments"/>
    <s v="Investments Long"/>
    <m/>
    <s v="Hong Kong Dollar"/>
    <m/>
    <s v="CLP HOLDINGS LTD"/>
    <s v="2 HK"/>
    <n v="55000"/>
    <n v="71.5"/>
    <n v="4743347.9400000004"/>
    <n v="4743347.9400000004"/>
    <n v="-810847.94"/>
    <n v="0"/>
    <n v="3932500"/>
    <n v="8.9999999999999998E-4"/>
    <m/>
    <s v="Investments"/>
    <s v="BBG000BDV566"/>
    <s v="EQUI"/>
    <s v="Equity"/>
    <s v="Common Stock"/>
    <n v="0.2"/>
    <n v="3.0825000000000002E-2"/>
    <s v="High"/>
    <n v="0.5"/>
    <n v="5.4877000000000002E-2"/>
    <s v="High"/>
    <n v="507347.34424791322"/>
    <s v=""/>
    <s v=""/>
    <s v=""/>
    <s v=""/>
    <s v=""/>
    <n v="0"/>
    <n v="0"/>
    <n v="0"/>
    <n v="0"/>
    <s v="HK"/>
    <s v="Utilities"/>
    <s v="Electric"/>
    <s v="Electric-Integrated"/>
    <s v="N"/>
    <s v=" "/>
    <s v="ACTV"/>
    <s v="Equity"/>
    <s v="Non-Financial"/>
    <s v=""/>
    <x v="1"/>
    <s v="High"/>
    <s v="High"/>
    <s v="Utilities"/>
    <s v="Electric-Integrated"/>
    <s v="#N/A Field Not Applicable"/>
    <s v=""/>
    <s v=""/>
    <s v=""/>
    <s v=""/>
    <s v=""/>
    <s v=""/>
    <s v=""/>
    <s v=""/>
    <s v=""/>
    <s v="HK0002007356"/>
    <s v="-"/>
    <n v="-7.57"/>
    <n v="507347.34424791322"/>
    <n v="9.2735151392675671E-4"/>
    <s v=""/>
    <s v="Hong Kong"/>
    <s v=""/>
  </r>
  <r>
    <s v="Investments"/>
    <s v="Investments Long"/>
    <m/>
    <s v="Hong Kong Dollar"/>
    <m/>
    <s v="GUANGDONG INVESTMENT LTD"/>
    <s v="270 HK"/>
    <n v="750000"/>
    <n v="14.94"/>
    <n v="11300550.470000001"/>
    <n v="11300550.470000001"/>
    <n v="-95550.47"/>
    <n v="0"/>
    <n v="11205000"/>
    <n v="2.5000000000000001E-3"/>
    <m/>
    <s v="Investments"/>
    <s v="BBG000BDW8M1"/>
    <s v="EQUI"/>
    <s v="Equity"/>
    <s v="Common Stock"/>
    <n v="1.1000000000000001"/>
    <n v="4.7921999999999999E-2"/>
    <s v="High"/>
    <n v="2.7"/>
    <n v="8.3535999999999999E-2"/>
    <s v="High"/>
    <n v="1445601.2694972327"/>
    <s v=""/>
    <s v=""/>
    <s v=""/>
    <s v=""/>
    <s v=""/>
    <n v="0"/>
    <n v="0"/>
    <n v="0"/>
    <n v="0"/>
    <s v="HK"/>
    <s v="Utilities"/>
    <s v="Water"/>
    <s v="Water"/>
    <s v="N"/>
    <s v=" "/>
    <s v="ACTV"/>
    <s v="Equity"/>
    <s v="Non-Financial"/>
    <s v=""/>
    <x v="1"/>
    <s v="High"/>
    <s v="High"/>
    <s v="Utilities"/>
    <s v="Water"/>
    <s v="#N/A Field Not Applicable"/>
    <s v=""/>
    <s v=""/>
    <s v=""/>
    <s v=""/>
    <s v=""/>
    <s v=""/>
    <s v=""/>
    <s v=""/>
    <s v=""/>
    <s v="HK0270001396"/>
    <s v="-"/>
    <n v="-7.49"/>
    <n v="1445601.2694972327"/>
    <n v="2.6423327942909879E-3"/>
    <s v=""/>
    <s v="Hong Kong"/>
    <s v=""/>
  </r>
  <r>
    <s v="Investments"/>
    <s v="Investments Long"/>
    <m/>
    <s v="Hong Kong Dollar"/>
    <m/>
    <s v="HK ELECTRIC INVESTMENTS -SS"/>
    <s v="2638 HK"/>
    <n v="1052500"/>
    <n v="7.46"/>
    <n v="8185153.1399999997"/>
    <n v="8185153.1399999997"/>
    <n v="-333503.14"/>
    <n v="0"/>
    <n v="7851650"/>
    <n v="1.8E-3"/>
    <m/>
    <s v="Investments"/>
    <s v="BBG005Q0XWK0"/>
    <s v="EQUI"/>
    <s v="Equity"/>
    <s v="Unit"/>
    <n v="2.4"/>
    <n v="1.8839999999999999E-2"/>
    <s v="High"/>
    <n v="6.8"/>
    <n v="3.2839E-2"/>
    <s v="Medium"/>
    <n v="1012972.3523112849"/>
    <s v=""/>
    <s v=""/>
    <s v=""/>
    <s v=""/>
    <s v=""/>
    <n v="0"/>
    <n v="0"/>
    <n v="0"/>
    <n v="0"/>
    <s v="HK"/>
    <s v="Utilities"/>
    <s v="Electric"/>
    <s v="Electric-Generation"/>
    <s v="N"/>
    <s v=" "/>
    <s v="ACTV"/>
    <s v="Equity"/>
    <s v="Non-Financial"/>
    <s v=""/>
    <x v="1"/>
    <s v="High"/>
    <s v="Medium"/>
    <s v="Utilities"/>
    <s v="Electric-Generation"/>
    <s v="#N/A Field Not Applicable"/>
    <s v=""/>
    <s v=""/>
    <s v=""/>
    <s v=""/>
    <s v=""/>
    <s v=""/>
    <s v=""/>
    <s v=""/>
    <s v=""/>
    <s v="HK0000179108"/>
    <s v="-"/>
    <n v="-6.24"/>
    <n v="1012972.3523112849"/>
    <n v="1.8515548669607168E-3"/>
    <s v=""/>
    <s v="Hong Kong"/>
    <s v=""/>
  </r>
  <r>
    <s v="Investments"/>
    <s v="Investments Long"/>
    <m/>
    <s v="Hong Kong Dollar"/>
    <m/>
    <s v="HKT TRUST AND HKT LTD-SS"/>
    <s v="6823 HK"/>
    <n v="957000"/>
    <n v="10.56"/>
    <n v="9928959.3200000003"/>
    <n v="9928959.3200000003"/>
    <n v="176960.68"/>
    <n v="0"/>
    <n v="10105920"/>
    <n v="2.3E-3"/>
    <m/>
    <s v="Investments"/>
    <s v="BBG00226B1T3"/>
    <s v="EQUI"/>
    <s v="Equity"/>
    <s v="Unit"/>
    <n v="1.2"/>
    <n v="3.78E-2"/>
    <s v="High"/>
    <n v="3"/>
    <n v="6.6059999999999994E-2"/>
    <s v="High"/>
    <n v="1303804.6212795603"/>
    <s v=""/>
    <s v=""/>
    <s v=""/>
    <s v=""/>
    <s v=""/>
    <n v="0"/>
    <n v="0"/>
    <n v="0"/>
    <n v="0"/>
    <s v="HK"/>
    <s v="Communications"/>
    <s v="Telecommunications"/>
    <s v="Telecom Services"/>
    <s v="N"/>
    <s v=" "/>
    <s v="ACTV"/>
    <s v="Equity"/>
    <s v="Non-Financial"/>
    <s v=""/>
    <x v="1"/>
    <s v="High"/>
    <s v="High"/>
    <s v="Communication Services"/>
    <s v="Telecom Services"/>
    <s v="#N/A Field Not Applicable"/>
    <s v=""/>
    <s v=""/>
    <s v=""/>
    <s v=""/>
    <s v=""/>
    <s v=""/>
    <s v=""/>
    <s v=""/>
    <s v=""/>
    <s v="HK0000093390"/>
    <s v="-"/>
    <n v="-7.06"/>
    <n v="1303804.6212795603"/>
    <n v="2.3831507213280833E-3"/>
    <s v=""/>
    <s v="Hong Kong"/>
    <s v=""/>
  </r>
  <r>
    <s v="Investments"/>
    <s v="Investments Long"/>
    <m/>
    <s v="Hong Kong Dollar"/>
    <m/>
    <s v="HONG KONG EXCHANGES &amp; CLEAR"/>
    <s v="388 HK"/>
    <n v="40000"/>
    <n v="233.8"/>
    <n v="9792037.1600000001"/>
    <n v="9792037.1600000001"/>
    <n v="-440037.16"/>
    <n v="0"/>
    <n v="9352000"/>
    <n v="2.0999999999999999E-3"/>
    <m/>
    <s v="Investments"/>
    <s v="BBG000BGW354"/>
    <s v="EQUI"/>
    <s v="Equity"/>
    <s v="Common Stock"/>
    <n v="0.2"/>
    <n v="2.7937E-2"/>
    <s v="High"/>
    <n v="0.3"/>
    <n v="4.9939999999999998E-2"/>
    <s v="High"/>
    <n v="1206538.4268039374"/>
    <s v=""/>
    <s v=""/>
    <s v=""/>
    <s v=""/>
    <s v=""/>
    <n v="0"/>
    <n v="0"/>
    <n v="0"/>
    <n v="0"/>
    <s v="HK"/>
    <s v="Financial"/>
    <s v="Diversified Finan Serv"/>
    <s v="Finance-Other Services"/>
    <s v="N"/>
    <s v=" "/>
    <s v="ACTV"/>
    <s v="Equity"/>
    <s v="Financial"/>
    <s v=""/>
    <x v="1"/>
    <s v="High"/>
    <s v="High"/>
    <s v="Financials"/>
    <s v="Finance-Other Services"/>
    <s v="#N/A Field Not Applicable"/>
    <s v=""/>
    <s v=""/>
    <s v=""/>
    <s v=""/>
    <s v=""/>
    <s v=""/>
    <s v=""/>
    <s v=""/>
    <s v=""/>
    <s v="HK0388045442"/>
    <s v="-"/>
    <n v="-9.99"/>
    <n v="1206538.4268039374"/>
    <n v="2.2053633460249276E-3"/>
    <s v=""/>
    <s v="Hong Kong"/>
    <s v=""/>
  </r>
  <r>
    <s v="Investments"/>
    <s v="Investments Long"/>
    <m/>
    <s v="Hong Kong Dollar"/>
    <m/>
    <s v="IND &amp; COMM BK OF CHINA-H"/>
    <s v="1398 HK"/>
    <n v="1500000"/>
    <n v="5.31"/>
    <n v="8332270.2599999998"/>
    <n v="8332270.2599999998"/>
    <n v="-367270.26"/>
    <n v="0"/>
    <n v="7965000"/>
    <n v="1.8E-3"/>
    <m/>
    <s v="Investments"/>
    <s v="BBG000Q16VR4"/>
    <s v="EQUI"/>
    <s v="Equity"/>
    <s v="Common Stock"/>
    <n v="0.1"/>
    <n v="2.5859E-2"/>
    <s v="High"/>
    <n v="0.3"/>
    <n v="4.6429999999999999E-2"/>
    <s v="High"/>
    <n v="1027596.0831365871"/>
    <s v=""/>
    <s v=""/>
    <s v=""/>
    <s v=""/>
    <s v=""/>
    <n v="0"/>
    <n v="0"/>
    <n v="0"/>
    <n v="0"/>
    <s v="HK"/>
    <s v="Financial"/>
    <s v="Banks"/>
    <s v="Commer Banks Non-US"/>
    <s v="N"/>
    <s v=" "/>
    <s v="ACTV"/>
    <s v="Equity"/>
    <s v="Financial"/>
    <s v=""/>
    <x v="1"/>
    <s v="High"/>
    <s v="High"/>
    <s v="Financials"/>
    <s v="Commer Banks Non-US"/>
    <s v="#N/A Field Not Applicable"/>
    <s v=""/>
    <s v=""/>
    <s v=""/>
    <s v=""/>
    <s v=""/>
    <s v=""/>
    <s v=""/>
    <s v=""/>
    <s v=""/>
    <s v="CNE1000003G1"/>
    <s v="-"/>
    <n v="-8.94"/>
    <n v="1027596.0831365871"/>
    <n v="1.8782847573875694E-3"/>
    <s v=""/>
    <s v="Hong Kong"/>
    <s v=""/>
  </r>
  <r>
    <s v="Investments"/>
    <s v="Investments Long"/>
    <m/>
    <s v="Hong Kong Dollar"/>
    <m/>
    <s v="ISHARES FTSE A50 CHINA INDEX"/>
    <s v="2823 HK"/>
    <n v="530000"/>
    <n v="13.18"/>
    <n v="6837593.1699999999"/>
    <n v="6837593.1699999999"/>
    <n v="147806.82999999999"/>
    <n v="0"/>
    <n v="6985400"/>
    <n v="1.6000000000000001E-3"/>
    <m/>
    <s v="Investments"/>
    <s v="BBG000P9FRH8"/>
    <s v="EQUI"/>
    <s v="Equity"/>
    <s v="Mutual Fund"/>
    <n v="0.4"/>
    <n v="2.8693E-2"/>
    <s v="High"/>
    <n v="0.9"/>
    <n v="5.0656E-2"/>
    <s v="High"/>
    <n v="901214.02123569557"/>
    <s v=""/>
    <s v=""/>
    <s v=""/>
    <s v=""/>
    <s v=""/>
    <n v="0"/>
    <n v="0"/>
    <n v="0"/>
    <n v="0"/>
    <s v="HK"/>
    <s v="Funds"/>
    <s v="Equity Fund"/>
    <s v="Country Fund-China"/>
    <s v="N"/>
    <s v=" "/>
    <s v="ACTV"/>
    <s v="Equity"/>
    <s v="Non-Financial"/>
    <s v=""/>
    <x v="1"/>
    <s v="High"/>
    <s v="High"/>
    <s v="#N/A N/A"/>
    <s v="Country Fund-China"/>
    <s v="#N/A Field Not Applicable"/>
    <s v=""/>
    <s v=""/>
    <s v=""/>
    <s v=""/>
    <s v=""/>
    <s v=""/>
    <s v=""/>
    <s v=""/>
    <s v=""/>
    <s v="HK2823028546"/>
    <s v="-"/>
    <n v="-8.6999999999999993"/>
    <n v="901214.02123569557"/>
    <n v="1.6472781348719557E-3"/>
    <s v=""/>
    <s v="Hong Kong"/>
    <s v=""/>
  </r>
  <r>
    <s v="Investments"/>
    <s v="Investments Long"/>
    <m/>
    <s v="Hong Kong Dollar"/>
    <m/>
    <s v="LINK REIT"/>
    <s v="823 HK"/>
    <n v="92000"/>
    <n v="65.7"/>
    <n v="6817556.8899999997"/>
    <n v="6817556.8899999997"/>
    <n v="-773156.89"/>
    <n v="0"/>
    <n v="6044400"/>
    <n v="1.2999999999999999E-3"/>
    <m/>
    <s v="Investments"/>
    <s v="BBG000P9D267"/>
    <s v="EQUI"/>
    <s v="Equity"/>
    <s v="REIT"/>
    <n v="0.2"/>
    <n v="2.6949000000000001E-2"/>
    <s v="High"/>
    <n v="0.5"/>
    <n v="4.8038999999999998E-2"/>
    <s v="High"/>
    <n v="779811.89766613767"/>
    <s v=""/>
    <s v=""/>
    <s v=""/>
    <s v=""/>
    <s v=""/>
    <n v="0"/>
    <n v="0"/>
    <n v="0"/>
    <n v="0"/>
    <s v="HK"/>
    <s v="Financial"/>
    <s v="REITS"/>
    <s v="REITS-Shopping Centers"/>
    <s v="N"/>
    <s v=" "/>
    <s v="ACTV"/>
    <s v="Equity"/>
    <s v="Financial"/>
    <s v=""/>
    <x v="1"/>
    <s v="High"/>
    <s v="High"/>
    <s v="Real Estate"/>
    <s v="REITS-Shopping Centers"/>
    <s v="#N/A Field Not Applicable"/>
    <s v=""/>
    <s v=""/>
    <s v=""/>
    <s v=""/>
    <s v=""/>
    <s v=""/>
    <s v=""/>
    <s v=""/>
    <s v=""/>
    <s v="HK0823032773"/>
    <s v="-"/>
    <n v="-12.16"/>
    <n v="779811.89766613767"/>
    <n v="1.4253740599564876E-3"/>
    <s v=""/>
    <s v="Hong Kong"/>
    <s v=""/>
  </r>
  <r>
    <s v="Investments"/>
    <s v="Investments Long"/>
    <m/>
    <s v="Hong Kong Dollar"/>
    <m/>
    <s v="MEITUAN DIANPING-CLASS B"/>
    <s v="3690 HK"/>
    <n v="70000"/>
    <n v="93.65"/>
    <n v="6445939.8899999997"/>
    <n v="6445939.8899999997"/>
    <n v="109560.11"/>
    <n v="0"/>
    <n v="6555500"/>
    <n v="1.5E-3"/>
    <m/>
    <s v="Investments"/>
    <s v="BBG00LLV9WW6"/>
    <s v="EQUI"/>
    <s v="Equity"/>
    <s v="Common Stock"/>
    <n v="0.1"/>
    <n v="5.6117E-2"/>
    <s v="High"/>
    <n v="0.2"/>
    <n v="9.9551000000000001E-2"/>
    <s v="High"/>
    <n v="845750.92567506549"/>
    <s v=""/>
    <s v=""/>
    <s v=""/>
    <s v=""/>
    <s v=""/>
    <n v="0"/>
    <n v="0"/>
    <n v="0"/>
    <n v="0"/>
    <s v="HK"/>
    <s v="Communications"/>
    <s v="Internet"/>
    <s v="E-Commerce/Products"/>
    <s v="N"/>
    <s v=" "/>
    <s v="ACTV"/>
    <s v="Equity"/>
    <s v="Non-Financial"/>
    <s v=""/>
    <x v="1"/>
    <s v="High"/>
    <s v="High"/>
    <s v="Consumer Discretionary"/>
    <s v="E-Commerce/Products"/>
    <s v="#N/A Field Not Applicable"/>
    <s v=""/>
    <s v=""/>
    <s v=""/>
    <s v=""/>
    <s v=""/>
    <s v=""/>
    <s v=""/>
    <s v=""/>
    <s v=""/>
    <s v="KYG596691041"/>
    <s v="-"/>
    <n v="-10.74"/>
    <n v="845750.92567506549"/>
    <n v="1.5459002796050485E-3"/>
    <s v=""/>
    <s v="Hong Kong"/>
    <s v=""/>
  </r>
  <r>
    <s v="Investments"/>
    <s v="Investments Long"/>
    <m/>
    <s v="Hong Kong Dollar"/>
    <m/>
    <s v="MTR CORP"/>
    <s v="66 HK"/>
    <n v="331500"/>
    <n v="40.049999999999997"/>
    <n v="13948001.720000001"/>
    <n v="13948001.720000001"/>
    <n v="-671426.72"/>
    <n v="0"/>
    <n v="13276575"/>
    <n v="3.0000000000000001E-3"/>
    <m/>
    <s v="Investments"/>
    <s v="BBG000MKLJD1"/>
    <s v="EQUI"/>
    <s v="Equity"/>
    <s v="Common Stock"/>
    <n v="1.2"/>
    <n v="2.6891000000000002E-2"/>
    <s v="High"/>
    <n v="3"/>
    <n v="4.7350999999999997E-2"/>
    <s v="High"/>
    <n v="1712863.3355265704"/>
    <s v=""/>
    <s v=""/>
    <s v=""/>
    <s v=""/>
    <s v=""/>
    <n v="0"/>
    <n v="0"/>
    <n v="0"/>
    <n v="0"/>
    <s v="HK"/>
    <s v="Industrial"/>
    <s v="Transportation"/>
    <s v="Transport-Rail"/>
    <s v="N"/>
    <s v=" "/>
    <s v="ACTV"/>
    <s v="Equity"/>
    <s v="Non-Financial"/>
    <s v=""/>
    <x v="1"/>
    <s v="High"/>
    <s v="High"/>
    <s v="Industrials"/>
    <s v="Transport-Rail"/>
    <s v="#N/A Field Not Applicable"/>
    <s v=""/>
    <s v=""/>
    <s v=""/>
    <s v=""/>
    <s v=""/>
    <s v=""/>
    <s v=""/>
    <s v=""/>
    <s v=""/>
    <s v="HK0066009694"/>
    <s v="-"/>
    <n v="-9.7100000000000009"/>
    <n v="1712863.3355265704"/>
    <n v="3.1308460078861107E-3"/>
    <s v=""/>
    <s v="Hong Kong"/>
    <s v=""/>
  </r>
  <r>
    <s v="Investments"/>
    <s v="Investments Long"/>
    <m/>
    <s v="Hong Kong Dollar"/>
    <m/>
    <s v="PING AN INSURANCE GROUP CO-H"/>
    <s v="2318 HK"/>
    <n v="125000"/>
    <n v="76.150000000000006"/>
    <n v="10459443.83"/>
    <n v="10459443.83"/>
    <n v="-940693.83"/>
    <n v="0"/>
    <n v="9518750"/>
    <n v="2.0999999999999999E-3"/>
    <m/>
    <s v="Investments"/>
    <s v="BBG000GD4N44"/>
    <s v="EQUI"/>
    <s v="Equity"/>
    <s v="Common Stock"/>
    <n v="0.1"/>
    <n v="2.5069999999999999E-2"/>
    <s v="High"/>
    <n v="0.2"/>
    <n v="4.5090999999999999E-2"/>
    <s v="High"/>
    <n v="1228051.5023674059"/>
    <s v=""/>
    <s v=""/>
    <s v=""/>
    <s v=""/>
    <s v=""/>
    <n v="0"/>
    <n v="0"/>
    <n v="0"/>
    <n v="0"/>
    <s v="HK"/>
    <s v="Financial"/>
    <s v="Insurance"/>
    <s v="Multi-line Insurance"/>
    <s v="N"/>
    <s v=" "/>
    <s v="ACTV"/>
    <s v="Equity"/>
    <s v="Financial"/>
    <s v=""/>
    <x v="1"/>
    <s v="High"/>
    <s v="High"/>
    <s v="Financials"/>
    <s v="Multi-line Insurance"/>
    <s v="#N/A Field Not Applicable"/>
    <s v=""/>
    <s v=""/>
    <s v=""/>
    <s v=""/>
    <s v=""/>
    <s v=""/>
    <s v=""/>
    <s v=""/>
    <s v=""/>
    <s v="CNE1000003X6"/>
    <s v="-"/>
    <n v="-10.71"/>
    <n v="1228051.5023674059"/>
    <n v="2.2446858800229661E-3"/>
    <s v=""/>
    <s v="Hong Kong"/>
    <s v=""/>
  </r>
  <r>
    <s v="Investments"/>
    <s v="Investments Long"/>
    <m/>
    <s v="Hong Kong Dollar"/>
    <m/>
    <s v="POWER ASSETS HOLDINGS LTD"/>
    <s v="6 HK"/>
    <n v="100000"/>
    <n v="46.35"/>
    <n v="5320129.91"/>
    <n v="5320129.91"/>
    <n v="-685129.91"/>
    <n v="0"/>
    <n v="4635000"/>
    <n v="1E-3"/>
    <m/>
    <s v="Investments"/>
    <s v="BBG000BDWNL9"/>
    <s v="EQUI"/>
    <s v="Equity"/>
    <s v="Common Stock"/>
    <n v="0.5"/>
    <n v="3.7579000000000001E-2"/>
    <s v="High"/>
    <n v="1"/>
    <n v="6.6302E-2"/>
    <s v="High"/>
    <n v="597979.64159925689"/>
    <s v=""/>
    <s v=""/>
    <s v=""/>
    <s v=""/>
    <s v=""/>
    <n v="0"/>
    <n v="0"/>
    <n v="0"/>
    <n v="0"/>
    <s v="HK"/>
    <s v="Utilities"/>
    <s v="Electric"/>
    <s v="Electric-Integrated"/>
    <s v="N"/>
    <s v=" "/>
    <s v="ACTV"/>
    <s v="Equity"/>
    <s v="Non-Financial"/>
    <s v=""/>
    <x v="1"/>
    <s v="High"/>
    <s v="High"/>
    <s v="Utilities"/>
    <s v="Electric-Integrated"/>
    <s v="#N/A Field Not Applicable"/>
    <s v=""/>
    <s v=""/>
    <s v=""/>
    <s v=""/>
    <s v=""/>
    <s v=""/>
    <s v=""/>
    <s v=""/>
    <s v=""/>
    <s v="HK0006000050"/>
    <s v="-"/>
    <n v="-7.57"/>
    <n v="597979.64159925689"/>
    <n v="1.0930131639035009E-3"/>
    <s v=""/>
    <s v="Hong Kong"/>
    <s v=""/>
  </r>
  <r>
    <s v="Investments"/>
    <s v="Investments Long"/>
    <m/>
    <s v="Hong Kong Dollar"/>
    <m/>
    <s v="TENCENT HOLDINGS LTD"/>
    <s v="700 HK"/>
    <n v="43000"/>
    <n v="380.2"/>
    <n v="15311258.85"/>
    <n v="15311258.85"/>
    <n v="1037341.15"/>
    <n v="0"/>
    <n v="16348600"/>
    <n v="3.5999999999999999E-3"/>
    <m/>
    <s v="Investments"/>
    <s v="BBG000BJ35N5"/>
    <s v="EQUI"/>
    <s v="Equity"/>
    <s v="Common Stock"/>
    <n v="0.1"/>
    <n v="3.3384999999999998E-2"/>
    <s v="High"/>
    <n v="0.1"/>
    <n v="5.9982000000000001E-2"/>
    <s v="High"/>
    <n v="2109197.4042393984"/>
    <s v=""/>
    <s v=""/>
    <s v=""/>
    <s v=""/>
    <s v=""/>
    <n v="0"/>
    <n v="0"/>
    <n v="0"/>
    <n v="0"/>
    <s v="HK"/>
    <s v="Communications"/>
    <s v="Internet"/>
    <s v="Internet Content-Info/Ne"/>
    <s v="N"/>
    <s v=" "/>
    <s v="ACTV"/>
    <s v="Equity"/>
    <s v="Non-Financial"/>
    <s v=""/>
    <x v="1"/>
    <s v="High"/>
    <s v="High"/>
    <s v="Communication Services"/>
    <s v="Internet Content-Info/Ne"/>
    <s v="#N/A Field Not Applicable"/>
    <s v=""/>
    <s v=""/>
    <s v=""/>
    <s v=""/>
    <s v=""/>
    <s v=""/>
    <s v=""/>
    <s v=""/>
    <s v=""/>
    <s v="KYG875721634"/>
    <s v="-"/>
    <n v="-9.52"/>
    <n v="2109197.4042393984"/>
    <n v="3.855282634604698E-3"/>
    <s v=""/>
    <s v="Hong Kong"/>
    <s v=""/>
  </r>
  <r>
    <s v="Investments"/>
    <s v="Investments Long"/>
    <m/>
    <s v="Hong Kong Dollar"/>
    <m/>
    <s v="WUXI BIOLOGICS CAYMAN INC"/>
    <s v="2269 HK"/>
    <n v="25000"/>
    <n v="100.5"/>
    <n v="2397419.67"/>
    <n v="2397419.67"/>
    <n v="115080.33"/>
    <n v="0"/>
    <n v="2512500"/>
    <n v="5.9999999999999995E-4"/>
    <m/>
    <s v="Investments"/>
    <s v="BBG00GTY47H0"/>
    <s v="EQUI"/>
    <s v="Equity"/>
    <s v="Common Stock"/>
    <n v="0.1"/>
    <n v="5.3366999999999998E-2"/>
    <s v="High"/>
    <n v="0.2"/>
    <n v="9.4446000000000002E-2"/>
    <s v="High"/>
    <n v="324147.54034911172"/>
    <s v=""/>
    <s v=""/>
    <s v=""/>
    <s v=""/>
    <s v=""/>
    <n v="0"/>
    <n v="0"/>
    <n v="0"/>
    <n v="0"/>
    <s v="HK"/>
    <s v="Consumer, Non-cyclical"/>
    <s v="Healthcare-Services"/>
    <s v="Medical Labs&amp;Testing Srv"/>
    <s v="N"/>
    <s v=" "/>
    <s v="ACTV"/>
    <s v="Equity"/>
    <s v="Non-Financial"/>
    <s v=""/>
    <x v="1"/>
    <s v="High"/>
    <s v="High"/>
    <s v="Health Care"/>
    <s v="Medical Labs&amp;Testing Srv"/>
    <s v="#N/A Field Not Applicable"/>
    <s v=""/>
    <s v=""/>
    <s v=""/>
    <s v=""/>
    <s v=""/>
    <s v=""/>
    <s v=""/>
    <s v=""/>
    <s v=""/>
    <s v="KYG970081090"/>
    <s v="-"/>
    <n v="-9.6300000000000008"/>
    <n v="324147.54034911172"/>
    <n v="5.9249095454315978E-4"/>
    <s v=""/>
    <s v="Hong Kong"/>
    <s v=""/>
  </r>
  <r>
    <s v="Investments"/>
    <s v="Investments Long"/>
    <s v="Avaliable for Trading"/>
    <s v="Euro"/>
    <m/>
    <s v="T V2.875 PERP B"/>
    <s v="XS2114413565"/>
    <n v="10000000"/>
    <n v="90.432000000000002"/>
    <n v="9993000"/>
    <n v="86492412.900000006"/>
    <n v="-9181191.7799999993"/>
    <n v="288765.7"/>
    <n v="77311221.120000005"/>
    <n v="1.72E-2"/>
    <m/>
    <s v="Investments"/>
    <s v="BBG00RPJBQ56"/>
    <s v="EQUI"/>
    <s v="Corp"/>
    <s v="#N/A Field Not Applicable"/>
    <n v="0.5"/>
    <n v="2.5329000000000001E-2"/>
    <s v="High"/>
    <n v="1.8"/>
    <n v="7.0022000000000001E-2"/>
    <s v="High"/>
    <n v="10011480.540826464"/>
    <s v=""/>
    <s v=""/>
    <s v="BB+"/>
    <s v="Ba1"/>
    <s v="BBB"/>
    <n v="11"/>
    <n v="11"/>
    <n v="13"/>
    <n v="11"/>
    <s v="US"/>
    <s v="Communications"/>
    <s v="Telecommunications"/>
    <s v="Telephone-Integrated"/>
    <s v="N"/>
    <s v=" "/>
    <s v="ACTV"/>
    <s v="Corporate"/>
    <s v="Non-Financial"/>
    <s v="Non-Investment Grade"/>
    <x v="2"/>
    <s v="High"/>
    <s v="High"/>
    <s v="Communication Services"/>
    <s v="TELEPHONE"/>
    <s v="#N/A Field Not Applicable"/>
    <n v="0.21715115674137195"/>
    <s v="5/1/2168"/>
    <n v="148.18356164383562"/>
    <s v="10 yrs or Above"/>
    <n v="2.9252938019104819"/>
    <s v=""/>
    <s v=""/>
    <s v=""/>
    <s v=""/>
    <s v="XS2114413565"/>
    <s v="-"/>
    <n v="-29.65"/>
    <n v="10011480.540826464"/>
    <n v="1.8299419010355592E-2"/>
    <s v=""/>
    <s v="United States of America"/>
    <s v=""/>
  </r>
  <r>
    <s v="Investments"/>
    <s v="Investments Long"/>
    <s v="Avaliable for Trading"/>
    <s v="United States Dollar"/>
    <m/>
    <s v="ADROIJ 4.25 10/31/24 REGS"/>
    <s v="USY70902AB04"/>
    <n v="3000000"/>
    <n v="83.099000000000004"/>
    <n v="2390000"/>
    <n v="18534786.5"/>
    <n v="788473.27"/>
    <n v="414522.36"/>
    <n v="19323259.77"/>
    <n v="4.3E-3"/>
    <m/>
    <s v="Investments"/>
    <s v="BBG00QN3F2R0"/>
    <s v="BOND"/>
    <s v="Corp"/>
    <s v="#N/A Field Not Applicable"/>
    <n v="0.8"/>
    <n v="7.6839000000000005E-2"/>
    <s v="High"/>
    <n v="2"/>
    <n v="0.21113999999999999"/>
    <s v="High"/>
    <n v="2546449.1659248364"/>
    <s v=""/>
    <s v=""/>
    <s v=""/>
    <s v="Ba1"/>
    <s v="BBB-"/>
    <n v="0"/>
    <n v="11"/>
    <n v="12"/>
    <n v="11"/>
    <s v="ID"/>
    <s v="Energy"/>
    <s v="Coal"/>
    <s v="Coal"/>
    <s v="N"/>
    <s v=" "/>
    <s v="ACTV"/>
    <s v="Corporate"/>
    <s v="Non-Financial"/>
    <s v="Non-Investment Grade"/>
    <x v="3"/>
    <s v="High"/>
    <s v="High"/>
    <s v="#N/A Field Not Applicable"/>
    <s v="INDUSTRIAL"/>
    <s v="#N/A Field Not Applicable"/>
    <n v="5.5233027693427639E-2"/>
    <s v="10/31/2024"/>
    <n v="4.5890410958904111"/>
    <s v="3 - 5 yrs"/>
    <n v="2.3042421266872056E-2"/>
    <n v="3.8813073500469577"/>
    <n v="1.9488759668349807E-2"/>
    <n v="9.2242796891252219"/>
    <n v="4.631680868376141E-2"/>
    <s v="USY70902AB04"/>
    <s v="-"/>
    <n v="-4.41"/>
    <n v="2546449.1659248364"/>
    <n v="4.6545103979178598E-3"/>
    <s v="3 - 5 yrs"/>
    <s v="Indonesia"/>
    <n v="7.252787058757872E-3"/>
  </r>
  <r>
    <s v="Investments"/>
    <s v="Investments Long"/>
    <s v="Avaliable for Trading"/>
    <s v="United States Dollar"/>
    <m/>
    <s v="AGILE 6.7 03/07/22"/>
    <s v="XS1959497782"/>
    <n v="5000000"/>
    <n v="97.034999999999997"/>
    <n v="5002486.1100000003"/>
    <n v="39268740.189999998"/>
    <n v="-1662340.77"/>
    <n v="173107.9"/>
    <n v="37606399.420000002"/>
    <n v="8.3999999999999995E-3"/>
    <m/>
    <s v="Investments"/>
    <s v="BBG00NGWHP25"/>
    <s v="BOND"/>
    <s v="Corp"/>
    <s v="#N/A Field Not Applicable"/>
    <n v="1.4"/>
    <n v="2.7335000000000002E-2"/>
    <s v="High"/>
    <n v="2"/>
    <n v="7.2412000000000004E-2"/>
    <s v="High"/>
    <n v="4874083.3326882636"/>
    <s v=""/>
    <s v=""/>
    <s v="BB"/>
    <s v="Ba3"/>
    <s v=""/>
    <n v="10"/>
    <n v="9"/>
    <n v="0"/>
    <n v="9"/>
    <s v="CN"/>
    <s v="Financial"/>
    <s v="Real Estate"/>
    <s v="Real Estate Oper/Develop"/>
    <s v="N"/>
    <s v=" "/>
    <s v="ACTV"/>
    <s v="Corporate"/>
    <s v="Financial"/>
    <s v="Non-Investment Grade"/>
    <x v="4"/>
    <s v="High"/>
    <s v="High"/>
    <s v="Real Estate"/>
    <s v="FINANCIAL"/>
    <s v="#N/A Field Not Applicable"/>
    <n v="8.6498109162851486E-2"/>
    <s v="3/7/2022"/>
    <n v="1.9342465753424658"/>
    <s v="1 - 2 yrs"/>
    <n v="1.8589852380204913E-2"/>
    <n v="1.7366671699623251"/>
    <n v="1.6690936271882395E-2"/>
    <n v="9.7391467339561935"/>
    <n v="9.3601975260752368E-2"/>
    <s v="XS1959497782"/>
    <s v="-"/>
    <n v="-3.28"/>
    <n v="4874083.3326882636"/>
    <n v="8.9090612355013313E-3"/>
    <s v="1 - 2 yrs"/>
    <s v="China"/>
    <n v="6.2115706002500715E-3"/>
  </r>
  <r>
    <s v="Investments"/>
    <s v="Investments Long"/>
    <s v="Avaliable for Trading"/>
    <s v="United States Dollar"/>
    <m/>
    <s v="ANHUII 4.875 10/18/21"/>
    <s v="XS1891659358"/>
    <n v="8000000"/>
    <n v="99.897000000000006"/>
    <n v="7984000"/>
    <n v="62525095.200000003"/>
    <n v="-580164.26"/>
    <n v="1368715.08"/>
    <n v="61944930.939999998"/>
    <n v="1.38E-2"/>
    <m/>
    <s v="Investments"/>
    <s v="BBG00M5BYXF5"/>
    <s v="BOND"/>
    <s v="Corp"/>
    <s v="#N/A Field Not Applicable"/>
    <n v="1.8"/>
    <n v="1.055E-2"/>
    <s v="High"/>
    <n v="2"/>
    <n v="2.6041000000000002E-2"/>
    <s v="High"/>
    <n v="8168343.3344944585"/>
    <s v=""/>
    <s v=""/>
    <s v=""/>
    <s v="A3"/>
    <s v="A-"/>
    <n v="0"/>
    <n v="15"/>
    <n v="15"/>
    <n v="15"/>
    <s v="CN"/>
    <s v="Consumer, Cyclical"/>
    <s v="Distribution/Wholesale"/>
    <s v="Distribution/Wholesale"/>
    <s v="N"/>
    <s v=" "/>
    <s v="ACTV"/>
    <s v="Corporate"/>
    <s v="Non-Financial"/>
    <s v="Investment Grade"/>
    <x v="4"/>
    <s v="High"/>
    <s v="High"/>
    <s v="#N/A Field Not Applicable"/>
    <s v="INDUSTRIAL"/>
    <s v="Chengtou Bond"/>
    <n v="0.24159970371189834"/>
    <s v="10/18/2021"/>
    <n v="1.5506849315068494"/>
    <s v="1 - 2 yrs"/>
    <n v="2.4976334666837349E-2"/>
    <n v="1.428863395609963"/>
    <n v="2.3014198201609604E-2"/>
    <n v="4.7967891902227962"/>
    <n v="7.7260189808417631E-2"/>
    <s v="XS1891659358"/>
    <s v="-"/>
    <n v="-1.28"/>
    <n v="8168343.3344944585"/>
    <n v="1.4930452762586081E-2"/>
    <s v="1 - 2 yrs"/>
    <s v="China"/>
    <n v="8.5647871760356296E-3"/>
  </r>
  <r>
    <s v="Investments"/>
    <s v="Investments Long"/>
    <s v="Avaliable for Trading"/>
    <s v="United States Dollar"/>
    <m/>
    <s v="BABA 4.4 12/06/57"/>
    <s v="US01609WAW29"/>
    <n v="3200000"/>
    <n v="131.42099999999999"/>
    <n v="4106037.26"/>
    <n v="31998758.969999999"/>
    <n v="598275.05000000005"/>
    <n v="348627.26"/>
    <n v="32597034.02"/>
    <n v="7.3000000000000001E-3"/>
    <m/>
    <s v="Investments"/>
    <s v="BBG00JCQ6Y42"/>
    <s v="BOND"/>
    <s v="Corp"/>
    <s v="#N/A Field Not Applicable"/>
    <n v="0.6"/>
    <n v="6.3877000000000003E-2"/>
    <s v="High"/>
    <n v="2"/>
    <n v="0.175705"/>
    <s v="High"/>
    <n v="4250449.7787410822"/>
    <s v=""/>
    <s v=""/>
    <s v="A+"/>
    <s v="A1"/>
    <s v="A+"/>
    <n v="17"/>
    <n v="17"/>
    <n v="17"/>
    <n v="17"/>
    <s v="CN"/>
    <s v="Communications"/>
    <s v="Internet"/>
    <s v="E-Commerce/Products"/>
    <s v="N"/>
    <s v=" "/>
    <s v="ACTV"/>
    <s v="Corporate"/>
    <s v="Non-Financial"/>
    <s v="Investment Grade"/>
    <x v="4"/>
    <s v="High"/>
    <s v="High"/>
    <s v="Consumer Discretionary"/>
    <s v="INDUSTRIAL"/>
    <s v="#N/A Field Not Applicable"/>
    <n v="0.14248034725673034"/>
    <s v="12/6/2057"/>
    <n v="37.709589041095889"/>
    <s v="10 yrs or Above"/>
    <n v="0.31605149067552568"/>
    <n v="20.578635687257076"/>
    <n v="0.17247359757589012"/>
    <n v="2.910464530711792"/>
    <n v="2.4393176294953699E-2"/>
    <s v="US01609WAW29"/>
    <s v="-"/>
    <n v="-8.64"/>
    <n v="4250449.7787410822"/>
    <n v="7.7691567362558498E-3"/>
    <s v="10 yrs or Above"/>
    <s v="China"/>
    <n v="6.4186448894813064E-2"/>
  </r>
  <r>
    <s v="Investments"/>
    <s v="Investments Long"/>
    <s v="Avaliable for Trading"/>
    <s v="United States Dollar"/>
    <m/>
    <s v="BBTNIJ 4.2 01/23/25"/>
    <s v="XS2099372802"/>
    <n v="3800000"/>
    <n v="86.763999999999996"/>
    <n v="3800000"/>
    <n v="29530940"/>
    <n v="-3975315.27"/>
    <n v="233669.82"/>
    <n v="25555624.73"/>
    <n v="5.7000000000000002E-3"/>
    <m/>
    <s v="Investments"/>
    <s v="BBG00RDBJ3B2"/>
    <s v="BOND"/>
    <s v="Corp"/>
    <s v="#N/A Field Not Applicable"/>
    <n v="0.8"/>
    <n v="2.6206E-2"/>
    <s v="High"/>
    <n v="2"/>
    <n v="6.7442000000000002E-2"/>
    <s v="High"/>
    <n v="3327178.6649636826"/>
    <s v=""/>
    <s v=""/>
    <s v=""/>
    <s v="Ba3"/>
    <s v=""/>
    <n v="0"/>
    <n v="9"/>
    <n v="0"/>
    <n v="9"/>
    <s v="ID"/>
    <s v="Financial"/>
    <s v="Banks"/>
    <s v="Commer Banks Non-US"/>
    <s v="N"/>
    <s v=" "/>
    <s v="ACTV"/>
    <s v="Corporate"/>
    <s v="Financial"/>
    <s v="Non-Investment Grade"/>
    <x v="3"/>
    <s v="High"/>
    <s v="High"/>
    <s v="Financials"/>
    <s v="BANK"/>
    <s v="#N/A Field Not Applicable"/>
    <n v="5.9045905398504565E-2"/>
    <s v="1/23/2025"/>
    <n v="4.8191780821917805"/>
    <s v="3 - 5 yrs"/>
    <n v="3.1616970348849173E-2"/>
    <n v="4.1566893144880126"/>
    <n v="2.7270609337137108E-2"/>
    <n v="7.664986858274184"/>
    <n v="5.0287343212715351E-2"/>
    <s v="XS2099372802"/>
    <s v="-"/>
    <n v="-6.03"/>
    <n v="3327178.6649636826"/>
    <n v="6.0815616895220741E-3"/>
    <s v="3 - 5 yrs"/>
    <s v="Indonesia"/>
    <n v="1.014882044063798E-2"/>
  </r>
  <r>
    <s v="Investments"/>
    <s v="Investments Long"/>
    <s v="Avaliable for Trading"/>
    <s v="United States Dollar"/>
    <m/>
    <s v="BCHINA V3.6 PERP"/>
    <s v="XS2125922349"/>
    <n v="12600000"/>
    <n v="97.932000000000002"/>
    <n v="12548854.279999999"/>
    <n v="97647748.900000006"/>
    <n v="-2003577.53"/>
    <n v="221836.49"/>
    <n v="95644171.370000005"/>
    <n v="2.1299999999999999E-2"/>
    <m/>
    <s v="Investments"/>
    <s v="BBG00RYF5CJ7"/>
    <s v="BOND"/>
    <s v="Corp"/>
    <s v="#N/A Field Not Applicable"/>
    <n v="0.4"/>
    <n v="2.0327999999999999E-2"/>
    <s v="High"/>
    <n v="1.8"/>
    <n v="5.5971E-2"/>
    <s v="High"/>
    <n v="12368052.00036124"/>
    <s v=""/>
    <s v=""/>
    <s v="BB+"/>
    <s v="Ba1"/>
    <s v="BB+"/>
    <n v="11"/>
    <n v="11"/>
    <n v="11"/>
    <n v="11"/>
    <s v="CN"/>
    <s v="Financial"/>
    <s v="Banks"/>
    <s v="Commer Banks Non-US"/>
    <s v="Y"/>
    <s v="Common Equity Tier 1 Ratio"/>
    <s v="ACTV"/>
    <s v="Corporate"/>
    <s v="Financial"/>
    <s v="Non-Investment Grade"/>
    <x v="4"/>
    <s v="High"/>
    <s v="High"/>
    <s v="Financials"/>
    <s v="BANK"/>
    <s v="#N/A Field Not Applicable"/>
    <n v="0.26826569632368985"/>
    <s v="3/4/2169"/>
    <n v="149.02465753424659"/>
    <s v="10 yrs or Above"/>
    <n v="3.6343821384385522"/>
    <n v="4.3950340768211245"/>
    <n v="0.10718517063497858"/>
    <n v="2.9810265096131472"/>
    <n v="7.270065021461361E-2"/>
    <s v="XS2125922349"/>
    <s v="-"/>
    <n v="-6.94"/>
    <n v="12368052.00036124"/>
    <n v="2.2606862688642176E-2"/>
    <s v="3 - 5 yrs"/>
    <s v="China"/>
    <n v="3.9889209559838129E-2"/>
  </r>
  <r>
    <s v="Investments"/>
    <s v="Investments Long"/>
    <s v="Avaliable for Trading"/>
    <s v="United States Dollar"/>
    <m/>
    <s v="BEICAP 2.8 03/18/23 EMTN"/>
    <s v="XS2127809528"/>
    <n v="10000000"/>
    <n v="99.337999999999994"/>
    <n v="10000000"/>
    <n v="77692000"/>
    <n v="-694122.82"/>
    <n v="78372.23"/>
    <n v="76997877.180000007"/>
    <n v="1.72E-2"/>
    <m/>
    <s v="Investments"/>
    <s v="BBG00S9HKR72"/>
    <s v="BOND"/>
    <s v="Corp"/>
    <s v="#N/A Field Not Applicable"/>
    <n v="0.6"/>
    <n v="7.0039999999999998E-3"/>
    <s v="High"/>
    <n v="1.9"/>
    <n v="1.7503999999999999E-2"/>
    <s v="High"/>
    <n v="9943911.1106810663"/>
    <s v=""/>
    <s v=""/>
    <s v=""/>
    <s v=""/>
    <s v="BBB"/>
    <n v="0"/>
    <n v="0"/>
    <n v="13"/>
    <n v="13"/>
    <s v="CN"/>
    <s v="Financial"/>
    <s v="Real Estate"/>
    <s v="Real Estate Oper/Develop"/>
    <s v="N"/>
    <s v=" "/>
    <s v="ACTV"/>
    <s v="Corporate"/>
    <s v="Financial"/>
    <s v="Investment Grade"/>
    <x v="4"/>
    <s v="High"/>
    <s v="High"/>
    <s v="#N/A Field Not Applicable"/>
    <s v="SPECIAL PURPOSE"/>
    <s v="Chengtou Bond"/>
    <n v="0.25490111793843478"/>
    <s v="3/18/2023"/>
    <n v="2.9643835616438357"/>
    <s v="2 - 3 yrs"/>
    <n v="5.8124975681640975E-2"/>
    <n v="2.8057398354818655"/>
    <n v="5.5014324669902123E-2"/>
    <n v="3.0101766613823902"/>
    <n v="5.902287662911973E-2"/>
    <s v="XS2127809528"/>
    <s v="-"/>
    <n v="-2.02"/>
    <n v="9943911.1106810663"/>
    <n v="1.8175912670860724E-2"/>
    <s v="2 - 3 yrs"/>
    <s v="China"/>
    <n v="2.0473708373558882E-2"/>
  </r>
  <r>
    <s v="Investments"/>
    <s v="Investments Long"/>
    <s v="Avaliable for Trading"/>
    <s v="United States Dollar"/>
    <m/>
    <s v="BHARTI V5.65 PERP REGS"/>
    <s v="USV6703DAA29"/>
    <n v="5375000"/>
    <n v="79.591999999999999"/>
    <n v="4947766.6100000003"/>
    <n v="38435201.670000002"/>
    <n v="-5275453.29"/>
    <n v="1085415.06"/>
    <n v="33159748.379999999"/>
    <n v="7.4000000000000003E-3"/>
    <m/>
    <s v="Investments"/>
    <s v="BBG00QJ3FR72"/>
    <s v="BOND"/>
    <s v="Corp"/>
    <s v="#N/A Field Not Applicable"/>
    <n v="1.5"/>
    <n v="6.5809999999999994E-2"/>
    <s v="High"/>
    <n v="2"/>
    <n v="0.177978"/>
    <s v="High"/>
    <n v="4418103.680767891"/>
    <s v=""/>
    <s v=""/>
    <s v="BB *-"/>
    <s v=""/>
    <s v="BB"/>
    <n v="10"/>
    <n v="0"/>
    <n v="10"/>
    <n v="10"/>
    <s v="IN"/>
    <s v="Communications"/>
    <s v="Telecommunications"/>
    <s v="Telecom Services"/>
    <s v="N"/>
    <s v=" "/>
    <s v="ACTV"/>
    <s v="Corporate"/>
    <s v="Non-Financial"/>
    <s v="Non-Investment Grade"/>
    <x v="5"/>
    <s v="High"/>
    <s v="High"/>
    <s v="#N/A Field Not Applicable"/>
    <s v="INDUSTRIAL"/>
    <s v="#N/A Field Not Applicable"/>
    <n v="8.7117831734157256E-2"/>
    <s v="4/15/2168"/>
    <n v="148.13972602739727"/>
    <s v="10 yrs or Above"/>
    <n v="1.2905611725198953"/>
    <n v="3.8426980941527633"/>
    <n v="3.3476752597156725E-2"/>
    <n v="6.0172386317107662"/>
    <n v="5.2420878262164919E-2"/>
    <s v="USV6703DAA29"/>
    <s v="-"/>
    <n v="-7.75"/>
    <n v="4418103.680767891"/>
    <n v="8.0756018209162672E-3"/>
    <s v="3 - 5 yrs"/>
    <s v="India"/>
    <n v="1.2458451032171618E-2"/>
  </r>
  <r>
    <s v="Investments"/>
    <s v="Investments Long"/>
    <s v="Avaliable for Trading"/>
    <s v="United States Dollar"/>
    <m/>
    <s v="BYANIJ 6.125 01/24/23 REGS"/>
    <s v="USY711AJAA00"/>
    <n v="3000000"/>
    <n v="65.475999999999999"/>
    <n v="2912533.12"/>
    <n v="22638828.719999999"/>
    <n v="-7413498.0099999998"/>
    <n v="265071.46000000002"/>
    <n v="15225330.710000001"/>
    <n v="3.3999999999999998E-3"/>
    <m/>
    <s v="Investments"/>
    <s v="BBG00RCY5V08"/>
    <s v="BOND"/>
    <s v="Corp"/>
    <s v="#N/A Field Not Applicable"/>
    <n v="0.9"/>
    <n v="8.6268999999999998E-2"/>
    <s v="High"/>
    <n v="2"/>
    <n v="0.22928699999999999"/>
    <s v="High"/>
    <n v="1998477.9153926542"/>
    <s v=""/>
    <s v=""/>
    <s v=""/>
    <s v="Ba3"/>
    <s v="BB-"/>
    <n v="0"/>
    <n v="9"/>
    <n v="9"/>
    <n v="9"/>
    <s v="ID"/>
    <s v="Energy"/>
    <s v="Coal"/>
    <s v="Coal"/>
    <s v="N"/>
    <s v=" "/>
    <s v="ACTV"/>
    <s v="Corporate"/>
    <s v="Non-Financial"/>
    <s v="Non-Investment Grade"/>
    <x v="3"/>
    <s v="High"/>
    <s v="High"/>
    <s v="Energy"/>
    <s v="INDUSTRIAL"/>
    <s v="#N/A Field Not Applicable"/>
    <n v="3.5466065942257811E-2"/>
    <s v="1/24/2023"/>
    <n v="2.8191780821917809"/>
    <s v="2 - 3 yrs"/>
    <n v="1.1109461751775733E-2"/>
    <n v="2.2949491898764882"/>
    <n v="9.0436465891434083E-3"/>
    <n v="20.662278117126338"/>
    <n v="8.1423302024363695E-2"/>
    <s v="USY711AJAA00"/>
    <s v="-"/>
    <n v="-6.22"/>
    <n v="1998477.9153926542"/>
    <n v="3.6529047434669597E-3"/>
    <s v="2 - 3 yrs"/>
    <s v="Indonesia"/>
    <n v="3.365614028903102E-3"/>
  </r>
  <r>
    <s v="Investments"/>
    <s v="Investments Long"/>
    <s v="Avaliable for Trading"/>
    <s v="United States Dollar"/>
    <m/>
    <s v="CAPG 4.8 02/18/21"/>
    <s v="XS2123967452"/>
    <n v="4200000"/>
    <n v="96.600999999999999"/>
    <n v="4200000"/>
    <n v="32625180"/>
    <n v="-1177091.53"/>
    <n v="173624.64"/>
    <n v="31448088.469999999"/>
    <n v="7.0000000000000001E-3"/>
    <m/>
    <s v="Investments"/>
    <s v="BBG00RRMFK74"/>
    <s v="BOND"/>
    <s v="Corp"/>
    <s v="#N/A Field Not Applicable"/>
    <n v="1.9"/>
    <n v="1.3263E-2"/>
    <s v="High"/>
    <n v="2"/>
    <n v="3.3736000000000002E-2"/>
    <s v="High"/>
    <n v="4079642.0004902529"/>
    <s v=""/>
    <s v=""/>
    <s v=""/>
    <s v=""/>
    <s v=""/>
    <n v="0"/>
    <n v="0"/>
    <n v="0"/>
    <n v="0"/>
    <s v="CN"/>
    <s v="Financial"/>
    <s v="Real Estate"/>
    <s v="Real Estate Oper/Develop"/>
    <s v="N"/>
    <s v=" "/>
    <s v="ACTV"/>
    <s v="Corporate"/>
    <s v="Financial"/>
    <s v="Non-Investment Grade"/>
    <x v="4"/>
    <s v="High"/>
    <s v="High"/>
    <s v="Real Estate"/>
    <s v="FINANCIAL"/>
    <s v="#N/A Field Not Applicable"/>
    <n v="0"/>
    <s v="2/18/2021"/>
    <n v="0.88767123287671235"/>
    <s v="0 - 1 yr"/>
    <n v="7.1407750888646086E-3"/>
    <n v="0.81728023742638178"/>
    <n v="6.5745223500401724E-3"/>
    <n v="9.2052544565763412"/>
    <n v="7.4050672451283314E-2"/>
    <s v="XS2123967452"/>
    <s v="-"/>
    <n v="-1.64"/>
    <n v="4079642.0004902529"/>
    <n v="7.4569468596353636E-3"/>
    <s v="0 - 1 yr"/>
    <s v="China"/>
    <n v="2.4467237232816325E-3"/>
  </r>
  <r>
    <s v="Investments"/>
    <s v="Investments Long"/>
    <s v="Avaliable for Trading"/>
    <s v="United States Dollar"/>
    <m/>
    <s v="CAPG 7.95 09/07/21"/>
    <s v="XS1876052025"/>
    <n v="10000000"/>
    <n v="99.003"/>
    <n v="9797196.1799999997"/>
    <n v="76504402.870000005"/>
    <n v="233812.46"/>
    <n v="410808.29"/>
    <n v="76738215.329999998"/>
    <n v="1.7100000000000001E-2"/>
    <m/>
    <s v="Investments"/>
    <s v="BBG00LVCWLT9"/>
    <s v="BOND"/>
    <s v="Corp"/>
    <s v="#N/A Field Not Applicable"/>
    <n v="1.7"/>
    <n v="2.7938000000000001E-2"/>
    <s v="High"/>
    <n v="2"/>
    <n v="7.1641999999999997E-2"/>
    <s v="High"/>
    <n v="9953299.9987098612"/>
    <s v=""/>
    <s v=""/>
    <s v="B"/>
    <s v="B2"/>
    <s v="BB-"/>
    <n v="7"/>
    <n v="7"/>
    <n v="9"/>
    <n v="7"/>
    <s v="CN"/>
    <s v="Financial"/>
    <s v="Real Estate"/>
    <s v="Real Estate Oper/Develop"/>
    <s v="N"/>
    <s v=" "/>
    <s v="ACTV"/>
    <s v="Corporate"/>
    <s v="Financial"/>
    <s v="Non-Investment Grade"/>
    <x v="4"/>
    <s v="High"/>
    <s v="High"/>
    <s v="Real Estate"/>
    <s v="FINANCIAL"/>
    <s v="#N/A Field Not Applicable"/>
    <n v="0.13738404166095519"/>
    <s v="9/7/2021"/>
    <n v="1.4383561643835616"/>
    <s v="1 - 2 yrs"/>
    <n v="2.8229597601566132E-2"/>
    <n v="0.3895131826228434"/>
    <n v="7.6446993298497088E-3"/>
    <n v="11.12907693265924"/>
    <n v="0.21842250985206177"/>
    <s v="XS1876052025"/>
    <s v="-"/>
    <n v="-0.37"/>
    <n v="9953299.9987098612"/>
    <n v="1.8193074088233469E-2"/>
    <s v="0 - 1 yr"/>
    <s v="China"/>
    <n v="2.8449925655183437E-3"/>
  </r>
  <r>
    <s v="Investments"/>
    <s v="Investments Long"/>
    <s v="Avaliable for Trading"/>
    <s v="United States Dollar"/>
    <m/>
    <s v="CAPG 8.5 01/23/22"/>
    <s v="XS1937690128"/>
    <n v="6000000"/>
    <n v="96.552000000000007"/>
    <n v="6152708.3300000001"/>
    <n v="48237073.630000003"/>
    <n v="-3334021.2"/>
    <n v="746689.31"/>
    <n v="44903052.43"/>
    <n v="0.01"/>
    <m/>
    <s v="Investments"/>
    <s v="BBG00N2K8LG0"/>
    <s v="BOND"/>
    <s v="Corp"/>
    <s v="#N/A Field Not Applicable"/>
    <n v="2"/>
    <n v="3.9245000000000002E-2"/>
    <s v="High"/>
    <n v="2.7"/>
    <n v="0.102077"/>
    <s v="High"/>
    <n v="5889453.3343654452"/>
    <s v=""/>
    <s v=""/>
    <s v=""/>
    <s v="B2"/>
    <s v="BB-"/>
    <n v="0"/>
    <n v="7"/>
    <n v="9"/>
    <n v="7"/>
    <s v="CN"/>
    <s v="Financial"/>
    <s v="Real Estate"/>
    <s v="Real Estate Oper/Develop"/>
    <s v="N"/>
    <s v=" "/>
    <s v="ACTV"/>
    <s v="Corporate"/>
    <s v="Financial"/>
    <s v="Non-Investment Grade"/>
    <x v="4"/>
    <s v="High"/>
    <s v="High"/>
    <s v="Real Estate"/>
    <s v="FINANCIAL"/>
    <s v="#N/A Field Not Applicable"/>
    <n v="8.1291320703042291E-2"/>
    <s v="1/23/2022"/>
    <n v="1.8164383561643835"/>
    <s v="1 - 2 yrs"/>
    <n v="2.1094381849752267E-2"/>
    <n v="1.5575560266591659"/>
    <n v="1.8087969496586649E-2"/>
    <n v="14.539688111334817"/>
    <n v="0.16885006416867568"/>
    <s v="XS1937690128"/>
    <s v="-"/>
    <n v="-3.7"/>
    <n v="5889453.3343654452"/>
    <n v="1.0764998630121921E-2"/>
    <s v="1 - 2 yrs"/>
    <s v="China"/>
    <n v="6.7314797512282639E-3"/>
  </r>
  <r>
    <s v="Investments"/>
    <s v="Investments Long"/>
    <s v="Avaliable for Trading"/>
    <s v="United States Dollar"/>
    <m/>
    <s v="CCAMCL V4.45 PERP"/>
    <s v="XS1496760239"/>
    <n v="2200000"/>
    <n v="98.656000000000006"/>
    <n v="2188999.9900000002"/>
    <n v="17047713.109999999"/>
    <n v="-224477.63"/>
    <n v="381524.21"/>
    <n v="16823235.48"/>
    <n v="3.8E-3"/>
    <m/>
    <s v="Investments"/>
    <s v="BBG00DVX5HS1"/>
    <s v="BOND"/>
    <s v="Corp"/>
    <s v="#N/A Field Not Applicable"/>
    <n v="0.6"/>
    <n v="1.9057000000000001E-2"/>
    <s v="High"/>
    <n v="1.8"/>
    <n v="5.0858E-2"/>
    <s v="High"/>
    <n v="2219653.9446014115"/>
    <s v=""/>
    <s v=""/>
    <s v=""/>
    <s v="B1"/>
    <s v=""/>
    <n v="0"/>
    <n v="8"/>
    <n v="0"/>
    <n v="8"/>
    <s v="CN"/>
    <s v="Financial"/>
    <s v="Diversified Finan Serv"/>
    <s v="Invest Mgmnt/Advis Serv"/>
    <s v="N"/>
    <s v=" "/>
    <s v="ACTV"/>
    <s v="Corporate"/>
    <s v="Financial"/>
    <s v="Non-Investment Grade"/>
    <x v="4"/>
    <s v="High"/>
    <s v="High"/>
    <s v="Financials"/>
    <s v="FINANCIAL"/>
    <s v="#N/A Field Not Applicable"/>
    <n v="3.5014377719670926E-2"/>
    <s v="9/30/2168"/>
    <n v="148.6"/>
    <s v="10 yrs or Above"/>
    <n v="0.65039206614288747"/>
    <n v="1.3647508407347637"/>
    <n v="5.9732376788406844E-3"/>
    <n v="3.7595124317982829"/>
    <n v="1.645462354109796E-2"/>
    <s v="XS1496760239"/>
    <s v="-"/>
    <n v="-5.22"/>
    <n v="2219653.9446014115"/>
    <n v="4.0571798970801109E-3"/>
    <s v="1 - 2 yrs"/>
    <s v="China"/>
    <n v="2.2229542399426041E-3"/>
  </r>
  <r>
    <s v="Investments"/>
    <s v="Investments Long"/>
    <s v="Avaliable for Trading"/>
    <s v="United States Dollar"/>
    <m/>
    <s v="CERCG 5.55 04/14/21"/>
    <s v="XS1376566714"/>
    <n v="5000000"/>
    <n v="22.832999999999998"/>
    <n v="4224220"/>
    <n v="32809956.59"/>
    <n v="-23960913.280000001"/>
    <n v="997792.65"/>
    <n v="8849043.3100000005"/>
    <n v="2E-3"/>
    <m/>
    <s v="Investments"/>
    <s v="BBG00CNK44T9"/>
    <s v="BOND"/>
    <s v="Corp"/>
    <s v="#N/A Field Not Applicable"/>
    <n v="49"/>
    <n v="0.37662400000000001"/>
    <s v="Illiquid"/>
    <n v="82.3"/>
    <n v="1.6989000000000001"/>
    <s v="Illiquid"/>
    <n v="1270379.1668279341"/>
    <s v=""/>
    <s v=""/>
    <s v=""/>
    <s v=""/>
    <s v=""/>
    <n v="0"/>
    <n v="0"/>
    <n v="0"/>
    <n v="0"/>
    <s v="CN"/>
    <s v="Energy"/>
    <s v="Energy-Alternate Sources"/>
    <s v="Energy-Alternate Sources"/>
    <s v="N"/>
    <s v=" "/>
    <s v="ACTV"/>
    <s v="Corporate"/>
    <s v="Non-Financial"/>
    <s v="Non-Investment Grade"/>
    <x v="4"/>
    <s v="Illiquid"/>
    <s v="Illiquid"/>
    <s v="#N/A Field Not Applicable"/>
    <s v="SPECIAL PURPOSE"/>
    <s v="#N/A Field Not Applicable"/>
    <n v="0"/>
    <s v="4/14/2021"/>
    <n v="1.0383561643835617"/>
    <s v="1 - 2 yrs"/>
    <n v="2.6010629502342913E-3"/>
    <n v="0.49818841446558737"/>
    <n v="1.2479527464178829E-3"/>
    <n v="200.08936750277013"/>
    <n v="0.50122015778298945"/>
    <s v="XS1376566714"/>
    <s v="-"/>
    <n v="0"/>
    <n v="1270379.1668279341"/>
    <n v="2.3220542237493776E-3"/>
    <s v="0 - 1 yr"/>
    <s v="China"/>
    <n v="4.6442850562009941E-4"/>
  </r>
  <r>
    <s v="Investments"/>
    <s v="Investments Long"/>
    <s v="Avaliable for Trading"/>
    <s v="United States Dollar"/>
    <m/>
    <s v="CHALUM V5 PERP"/>
    <s v="XS2079799024"/>
    <n v="11000000"/>
    <n v="99.855999999999995"/>
    <n v="10850000"/>
    <n v="84863794.989999995"/>
    <n v="275527.67"/>
    <n v="1539454.59"/>
    <n v="85139322.659999996"/>
    <n v="1.9E-2"/>
    <m/>
    <s v="Investments"/>
    <s v="BBG00QT8QWY7"/>
    <s v="BOND"/>
    <s v="Corp"/>
    <s v="#N/A Field Not Applicable"/>
    <n v="4"/>
    <n v="2.1779E-2"/>
    <s v="Medium"/>
    <n v="7.1"/>
    <n v="5.3768000000000003E-2"/>
    <s v="Low"/>
    <n v="11182771.122808376"/>
    <s v=""/>
    <s v=""/>
    <s v="BB"/>
    <s v=""/>
    <s v=""/>
    <n v="10"/>
    <n v="0"/>
    <n v="0"/>
    <n v="10"/>
    <s v="CN"/>
    <s v="Industrial"/>
    <s v="Engineering&amp;Construction"/>
    <s v="Engineering/R&amp;D Services"/>
    <s v="N"/>
    <s v=" "/>
    <s v="ACTV"/>
    <s v="Corporate"/>
    <s v="Non-Financial"/>
    <s v="Non-Investment Grade"/>
    <x v="4"/>
    <s v="Medium"/>
    <s v="Low"/>
    <s v="#N/A Field Not Applicable"/>
    <s v="INDUSTRIAL"/>
    <s v="#N/A Field Not Applicable"/>
    <n v="0.22050609116286932"/>
    <s v="5/21/2168"/>
    <n v="148.23835616438356"/>
    <s v="10 yrs or Above"/>
    <n v="3.2687460478217449"/>
    <n v="2.7732238725548473"/>
    <n v="6.1151275605662463E-2"/>
    <n v="6.7148318290616258"/>
    <n v="0.14806613194423993"/>
    <s v="XS2079799024"/>
    <s v="-"/>
    <n v="-2.44"/>
    <n v="11182771.122808376"/>
    <n v="2.0440354814521961E-2"/>
    <s v="2 - 3 yrs"/>
    <s v="China"/>
    <n v="2.2757588881326639E-2"/>
  </r>
  <r>
    <s v="Investments"/>
    <s v="Investments Long"/>
    <s v="Avaliable for Trading"/>
    <s v="United States Dollar"/>
    <m/>
    <s v="CHCOMU V3.425 PERP"/>
    <s v="XS2102904864"/>
    <n v="3350000"/>
    <n v="95.843999999999994"/>
    <n v="3336747.5"/>
    <n v="25934869.940000001"/>
    <n v="-1047839.58"/>
    <n v="98815.76"/>
    <n v="24887030.359999999"/>
    <n v="5.4999999999999997E-3"/>
    <m/>
    <s v="Investments"/>
    <s v="BBG00RPNYQB5"/>
    <s v="BOND"/>
    <s v="Corp"/>
    <s v="#N/A Field Not Applicable"/>
    <n v="0.6"/>
    <n v="2.4965999999999999E-2"/>
    <s v="High"/>
    <n v="2"/>
    <n v="6.7849000000000007E-2"/>
    <s v="High"/>
    <n v="3223522.6122743869"/>
    <s v=""/>
    <s v=""/>
    <s v=""/>
    <s v="Baa1"/>
    <s v=""/>
    <n v="0"/>
    <n v="14"/>
    <n v="0"/>
    <n v="14"/>
    <s v="CN"/>
    <s v="Industrial"/>
    <s v="Engineering&amp;Construction"/>
    <s v="Building-Heavy Construct"/>
    <s v="N"/>
    <s v=" "/>
    <s v="ACTV"/>
    <s v="Corporate"/>
    <s v="Non-Financial"/>
    <s v="Investment Grade"/>
    <x v="4"/>
    <s v="High"/>
    <s v="High"/>
    <s v="#N/A Field Not Applicable"/>
    <s v="SPECIAL PURPOSE"/>
    <s v="#N/A Field Not Applicable"/>
    <n v="8.8987685474594097E-2"/>
    <s v="8/21/2168"/>
    <n v="148.49041095890411"/>
    <s v="10 yrs or Above"/>
    <n v="0.94384414188601284"/>
    <n v="4.401568237768962"/>
    <n v="2.7977526424110555E-2"/>
    <n v="5.1873879819916944"/>
    <n v="3.2972403584011878E-2"/>
    <s v="XS2102904864"/>
    <s v="-"/>
    <n v="-3.13"/>
    <n v="3223522.6122743869"/>
    <n v="5.8920946538138534E-3"/>
    <s v="3 - 5 yrs"/>
    <s v="China"/>
    <n v="1.0411901272218166E-2"/>
  </r>
  <r>
    <s v="Investments"/>
    <s v="Investments Long"/>
    <s v="Avaliable for Trading"/>
    <s v="United States Dollar"/>
    <m/>
    <s v="CHFOTN 8.05 01/13/25"/>
    <s v="XS2100597330"/>
    <n v="2970000"/>
    <n v="80.179000000000002"/>
    <n v="2925620"/>
    <n v="22739381.460000001"/>
    <n v="-4281560.6900000004"/>
    <n v="401520.55"/>
    <n v="18457820.77"/>
    <n v="4.1000000000000003E-3"/>
    <m/>
    <s v="Investments"/>
    <s v="BBG00RB35JZ6"/>
    <s v="BOND"/>
    <s v="Corp"/>
    <s v="#N/A Field Not Applicable"/>
    <n v="0.7"/>
    <n v="8.3854999999999999E-2"/>
    <s v="High"/>
    <n v="2"/>
    <n v="0.225327"/>
    <s v="High"/>
    <n v="2433118.050341242"/>
    <s v=""/>
    <s v=""/>
    <s v=""/>
    <s v="Ba3"/>
    <s v=""/>
    <n v="0"/>
    <n v="9"/>
    <n v="0"/>
    <n v="9"/>
    <s v="CN"/>
    <s v="Financial"/>
    <s v="Real Estate"/>
    <s v="Real Estate Oper/Develop"/>
    <s v="N"/>
    <s v=" "/>
    <s v="ACTV"/>
    <s v="Corporate"/>
    <s v="Financial"/>
    <s v="Non-Investment Grade"/>
    <x v="4"/>
    <s v="High"/>
    <s v="High"/>
    <s v="#N/A Field Not Applicable"/>
    <s v="SPECIAL PURPOSE"/>
    <s v="#N/A Field Not Applicable"/>
    <n v="4.3179423977645334E-2"/>
    <s v="1/13/2025"/>
    <n v="4.7917808219178086"/>
    <s v="3 - 5 yrs"/>
    <n v="2.2989592857504324E-2"/>
    <n v="3.5925710543112332"/>
    <n v="1.7236127635991229E-2"/>
    <n v="14.5801468525261"/>
    <n v="6.9951371400172851E-2"/>
    <s v="XS2100597330"/>
    <s v="-"/>
    <n v="-10.41"/>
    <n v="2433118.050341242"/>
    <n v="4.4473588619868883E-3"/>
    <s v="3 - 5 yrs"/>
    <s v="China"/>
    <n v="6.4144648294080578E-3"/>
  </r>
  <r>
    <s v="Investments"/>
    <s v="Investments Long"/>
    <s v="Avaliable for Trading"/>
    <s v="United States Dollar"/>
    <m/>
    <s v="CHINSC 7.45 04/17/21"/>
    <s v="XS1795479291"/>
    <n v="4000000"/>
    <n v="97.71"/>
    <n v="4070800"/>
    <n v="31919388.199999999"/>
    <n v="-1624988.96"/>
    <n v="1052254.8799999999"/>
    <n v="30294399.239999998"/>
    <n v="6.7999999999999996E-3"/>
    <m/>
    <s v="Investments"/>
    <s v="BBG00KDP8LC7"/>
    <s v="BOND"/>
    <s v="Corp"/>
    <s v="#N/A Field Not Applicable"/>
    <n v="1.3"/>
    <n v="3.2962999999999999E-2"/>
    <s v="High"/>
    <n v="2"/>
    <n v="8.7554000000000007E-2"/>
    <s v="High"/>
    <n v="4044155.5546954623"/>
    <s v=""/>
    <s v=""/>
    <s v="B"/>
    <s v="B2"/>
    <s v=""/>
    <n v="7"/>
    <n v="7"/>
    <n v="0"/>
    <n v="7"/>
    <s v="CN"/>
    <s v="Financial"/>
    <s v="Real Estate"/>
    <s v="Real Estate Oper/Develop"/>
    <s v="N"/>
    <s v=" "/>
    <s v="ACTV"/>
    <s v="Corporate"/>
    <s v="Financial"/>
    <s v="Non-Investment Grade"/>
    <x v="4"/>
    <s v="High"/>
    <s v="High"/>
    <s v="Real Estate"/>
    <s v="FINANCIAL"/>
    <s v="#N/A Field Not Applicable"/>
    <n v="5.5820927258465179E-2"/>
    <s v="4/17/2021"/>
    <n v="1.0465753424657533"/>
    <s v="1 - 2 yrs"/>
    <n v="8.3458294374691572E-3"/>
    <n v="0.88455134454681861"/>
    <n v="7.0537823229036472E-3"/>
    <n v="19.831631320154322"/>
    <n v="0.15814572133414775"/>
    <s v="XS1795479291"/>
    <s v="-"/>
    <n v="-2.04"/>
    <n v="4044155.5546954623"/>
    <n v="7.3920831925544566E-3"/>
    <s v="0 - 1 yr"/>
    <s v="China"/>
    <n v="2.6250814324492362E-3"/>
  </r>
  <r>
    <s v="Investments"/>
    <s v="Investments Long"/>
    <s v="Avaliable for Trading"/>
    <s v="United States Dollar"/>
    <m/>
    <s v="CHINSC 8.75 01/15/21"/>
    <s v="XS1893648904"/>
    <n v="6000000"/>
    <n v="99.013000000000005"/>
    <n v="6011750.0199999996"/>
    <n v="47123886.640000001"/>
    <n v="-1076306.6499999999"/>
    <n v="859080.25"/>
    <n v="46047579.990000002"/>
    <n v="1.03E-2"/>
    <m/>
    <s v="Investments"/>
    <s v="BBG00N0Q0RS1"/>
    <s v="BOND"/>
    <s v="Corp"/>
    <s v="#N/A Field Not Applicable"/>
    <n v="1.3"/>
    <n v="1.8762000000000001E-2"/>
    <s v="High"/>
    <n v="2"/>
    <n v="4.7523999999999997E-2"/>
    <s v="High"/>
    <n v="6051613.3503631745"/>
    <s v=""/>
    <s v=""/>
    <s v="B"/>
    <s v="B2"/>
    <s v=""/>
    <n v="7"/>
    <n v="7"/>
    <n v="0"/>
    <n v="7"/>
    <s v="CN"/>
    <s v="Financial"/>
    <s v="Real Estate"/>
    <s v="Real Estate Oper/Develop"/>
    <s v="N"/>
    <s v=" "/>
    <s v="ACTV"/>
    <s v="Corporate"/>
    <s v="Financial"/>
    <s v="Non-Investment Grade"/>
    <x v="4"/>
    <s v="High"/>
    <s v="High"/>
    <s v="Real Estate"/>
    <s v="FINANCIAL"/>
    <s v="#N/A Field Not Applicable"/>
    <n v="8.3529593275602235E-2"/>
    <s v="1/15/2021"/>
    <n v="0.79452054794520544"/>
    <s v="0 - 1 yr"/>
    <n v="9.4808540312816617E-3"/>
    <n v="0.72169305666121919"/>
    <n v="8.6118182132482561E-3"/>
    <n v="8.9591400433276807"/>
    <n v="0.10690761770261752"/>
    <s v="XS1893648904"/>
    <s v="-"/>
    <n v="-1.59"/>
    <n v="6051613.3503631745"/>
    <n v="1.1061401751255437E-2"/>
    <s v="0 - 1 yr"/>
    <s v="China"/>
    <n v="3.204908098428565E-3"/>
  </r>
  <r>
    <s v="Investments"/>
    <s v="Investments Long"/>
    <s v="Avaliable for Trading"/>
    <s v="United States Dollar"/>
    <m/>
    <s v="CHIOLI 3.125 03/02/35 EMTN"/>
    <s v="XS2125715800"/>
    <n v="2500000"/>
    <n v="98.817999999999998"/>
    <n v="2496425"/>
    <n v="19454889.670000002"/>
    <n v="-306184.68"/>
    <n v="48780.79"/>
    <n v="19148704.989999998"/>
    <n v="4.3E-3"/>
    <m/>
    <s v="Investments"/>
    <s v="BBG00RYGHZS1"/>
    <s v="BOND"/>
    <s v="Corp"/>
    <s v="#N/A Field Not Applicable"/>
    <n v="0.4"/>
    <n v="4.5644999999999998E-2"/>
    <s v="High"/>
    <n v="2"/>
    <n v="0.12586800000000001"/>
    <s v="High"/>
    <n v="2476743.4015817107"/>
    <s v=""/>
    <s v=""/>
    <s v=""/>
    <s v="Baa1"/>
    <s v="A-"/>
    <n v="0"/>
    <n v="14"/>
    <n v="15"/>
    <n v="14"/>
    <s v="CN"/>
    <s v="Financial"/>
    <s v="Real Estate"/>
    <s v="Real Estate Oper/Develop"/>
    <s v="N"/>
    <s v=" "/>
    <s v="ACTV"/>
    <s v="Corporate"/>
    <s v="Financial"/>
    <s v="Investment Grade"/>
    <x v="4"/>
    <s v="High"/>
    <s v="High"/>
    <s v="#N/A Field Not Applicable"/>
    <s v="SPECIAL PURPOSE"/>
    <s v="#N/A Field Not Applicable"/>
    <n v="6.8372302394281784E-2"/>
    <s v="3/2/2035"/>
    <n v="14.92876712328767"/>
    <s v="10 yrs or Above"/>
    <n v="7.2908155723374071E-2"/>
    <n v="11.793655039042811"/>
    <n v="5.7597096333091451E-2"/>
    <n v="3.1839358615050872"/>
    <n v="1.5549501823344566E-2"/>
    <s v="XS2125715800"/>
    <s v="-"/>
    <n v="-8.16"/>
    <n v="2476743.4015817107"/>
    <n v="4.5270991739784824E-3"/>
    <s v="10 yrs or Above"/>
    <s v="China"/>
    <n v="2.1434892831332649E-2"/>
  </r>
  <r>
    <s v="Investments"/>
    <s v="Investments Long"/>
    <s v="Avaliable for Trading"/>
    <s v="United States Dollar"/>
    <m/>
    <s v="CHOHIN V5.7 PERP EMTN"/>
    <s v="XS2020061326"/>
    <n v="6000000"/>
    <n v="87.113"/>
    <n v="6000000"/>
    <n v="46795800"/>
    <n v="-6282505.54"/>
    <n v="559629.42000000004"/>
    <n v="40513294.460000001"/>
    <n v="8.9999999999999993E-3"/>
    <m/>
    <s v="Investments"/>
    <s v="BBG00PMFP1T5"/>
    <s v="BOND"/>
    <s v="Corp"/>
    <s v="#N/A Field Not Applicable"/>
    <n v="1"/>
    <n v="3.1517000000000003E-2"/>
    <s v="High"/>
    <n v="2"/>
    <n v="7.6596999999999998E-2"/>
    <s v="High"/>
    <n v="5298980.0002580285"/>
    <s v=""/>
    <s v=""/>
    <s v=""/>
    <s v="Ba2"/>
    <s v=""/>
    <n v="0"/>
    <n v="10"/>
    <n v="0"/>
    <n v="10"/>
    <s v="CN"/>
    <s v="Financial"/>
    <s v="Banks"/>
    <s v="Commer Banks Non-US"/>
    <s v="N"/>
    <s v=" "/>
    <s v="ACTV"/>
    <s v="Corporate"/>
    <s v="Financial"/>
    <s v="Non-Investment Grade"/>
    <x v="4"/>
    <s v="High"/>
    <s v="High"/>
    <s v="Financials"/>
    <s v="BANK"/>
    <s v="#N/A Field Not Applicable"/>
    <n v="0.10448728263998293"/>
    <s v="1/15/2169"/>
    <n v="148.8931506849315"/>
    <s v="10 yrs or Above"/>
    <n v="1.5557440718774007"/>
    <n v="3.6071882157110844"/>
    <n v="3.7690529463061985E-2"/>
    <n v="5.1022370150438014"/>
    <n v="5.3311888108706455E-2"/>
    <s v="XS2020061326"/>
    <s v="-"/>
    <n v="-11.49"/>
    <n v="5298980.0002580285"/>
    <n v="9.6857058211103474E-3"/>
    <s v="3 - 5 yrs"/>
    <s v="China"/>
    <n v="1.4026617854566362E-2"/>
  </r>
  <r>
    <s v="Investments"/>
    <s v="Investments Long"/>
    <s v="Avaliable for Trading"/>
    <s v="United States Dollar"/>
    <m/>
    <s v="CHPWCN V4.3 PERP EMTN"/>
    <s v="XS2008565116"/>
    <n v="4000000"/>
    <n v="98.33"/>
    <n v="4029622.22"/>
    <n v="31532346.120000001"/>
    <n v="-1045719.6"/>
    <n v="374033.64"/>
    <n v="30486626.52"/>
    <n v="6.7999999999999996E-3"/>
    <m/>
    <s v="Investments"/>
    <s v="BBG00PDL9DV1"/>
    <s v="BOND"/>
    <s v="Corp"/>
    <s v="#N/A Field Not Applicable"/>
    <n v="0.9"/>
    <n v="3.7289999999999997E-2"/>
    <s v="High"/>
    <n v="2"/>
    <n v="9.8780999999999994E-2"/>
    <s v="High"/>
    <n v="3981455.5559856021"/>
    <s v=""/>
    <s v=""/>
    <s v=""/>
    <s v=""/>
    <s v="BBB"/>
    <n v="0"/>
    <n v="0"/>
    <n v="13"/>
    <n v="13"/>
    <s v="CN"/>
    <s v="Industrial"/>
    <s v="Engineering&amp;Construction"/>
    <s v="Building-Heavy Construct"/>
    <s v="N"/>
    <s v=" "/>
    <s v="ACTV"/>
    <s v="Corporate"/>
    <s v="Non-Financial"/>
    <s v="Investment Grade"/>
    <x v="4"/>
    <s v="High"/>
    <s v="High"/>
    <s v="#N/A Field Not Applicable"/>
    <s v="SPECIAL PURPOSE"/>
    <s v="#N/A Field Not Applicable"/>
    <n v="0.10206019150279921"/>
    <s v="12/20/2168"/>
    <n v="148.82191780821918"/>
    <s v="10 yrs or Above"/>
    <n v="1.1683687254862072"/>
    <n v="3.7431992734264949"/>
    <n v="2.9387048821465148E-2"/>
    <n v="5.6639863213361377"/>
    <n v="4.4466732971138574E-2"/>
    <s v="XS2008565116"/>
    <s v="-"/>
    <n v="-2.94"/>
    <n v="3981455.5559856021"/>
    <n v="7.277477411355409E-3"/>
    <s v="3 - 5 yrs"/>
    <s v="China"/>
    <n v="1.0936458297730933E-2"/>
  </r>
  <r>
    <s v="Investments"/>
    <s v="Investments Long"/>
    <s v="Avaliable for Trading"/>
    <s v="United States Dollar"/>
    <m/>
    <s v="CHSCOI V6 PERP"/>
    <s v="XS1912494538"/>
    <n v="1500000"/>
    <n v="101.14700000000001"/>
    <n v="1491411.43"/>
    <n v="11668623.119999999"/>
    <n v="91384.55"/>
    <n v="228657.45"/>
    <n v="11760007.67"/>
    <n v="2.5999999999999999E-3"/>
    <m/>
    <s v="Investments"/>
    <s v="BBG00MKJ4690"/>
    <s v="BOND"/>
    <s v="Corp"/>
    <s v="#N/A Field Not Applicable"/>
    <n v="0.9"/>
    <n v="1.0732999999999999E-2"/>
    <s v="High"/>
    <n v="2"/>
    <n v="2.6773000000000002E-2"/>
    <s v="High"/>
    <n v="1546704.9992904232"/>
    <s v=""/>
    <s v=""/>
    <s v=""/>
    <s v="Baa2"/>
    <s v=""/>
    <n v="0"/>
    <n v="13"/>
    <n v="0"/>
    <n v="13"/>
    <s v="CN"/>
    <s v="Industrial"/>
    <s v="Engineering&amp;Construction"/>
    <s v="Building&amp;Construct-Misc"/>
    <s v="N"/>
    <s v=" "/>
    <s v="ACTV"/>
    <s v="Corporate"/>
    <s v="Non-Financial"/>
    <s v="Investment Grade"/>
    <x v="4"/>
    <s v="High"/>
    <s v="High"/>
    <s v="#N/A Field Not Applicable"/>
    <s v="SPECIAL PURPOSE"/>
    <s v="#N/A Field Not Applicable"/>
    <n v="3.9648064936603396E-2"/>
    <s v="6/3/2168"/>
    <n v="148.27397260273972"/>
    <s v="10 yrs or Above"/>
    <n v="0.45221354570473665"/>
    <n v="1.5329709586256615"/>
    <n v="4.6753332395013366E-3"/>
    <n v="8.2204832001104577"/>
    <n v="2.5071250132941283E-2"/>
    <s v="XS1912494538"/>
    <s v="-"/>
    <n v="-1.43"/>
    <n v="1546704.9992904232"/>
    <n v="2.8271345833421235E-3"/>
    <s v="1 - 2 yrs"/>
    <s v="China"/>
    <n v="1.7399360960823548E-3"/>
  </r>
  <r>
    <s v="Investments"/>
    <s v="Investments Long"/>
    <s v="Avaliable for Trading"/>
    <s v="United States Dollar"/>
    <m/>
    <s v="CHUANT 4.625 09/26/21"/>
    <s v="XS1852561031"/>
    <n v="1500000"/>
    <n v="100.22"/>
    <n v="1489886.64"/>
    <n v="11683525.57"/>
    <n v="-31297.02"/>
    <n v="7468.51"/>
    <n v="11652228.550000001"/>
    <n v="2.5999999999999999E-3"/>
    <m/>
    <s v="Investments"/>
    <s v="BBG00M0MD1Z7"/>
    <s v="BOND"/>
    <s v="Corp"/>
    <s v="#N/A Field Not Applicable"/>
    <n v="2"/>
    <n v="1.5838000000000001E-2"/>
    <s v="High"/>
    <n v="2"/>
    <n v="7.3606000000000005E-2"/>
    <s v="High"/>
    <n v="1504263.5316277691"/>
    <s v=""/>
    <s v=""/>
    <s v=""/>
    <s v="Baa1"/>
    <s v="A-"/>
    <n v="0"/>
    <n v="14"/>
    <n v="15"/>
    <n v="14"/>
    <s v="CN"/>
    <s v="Financial"/>
    <s v="Diversified Finan Serv"/>
    <s v="Finance-Other Services"/>
    <s v="N"/>
    <s v=" "/>
    <s v="ACTV"/>
    <s v="Corporate"/>
    <s v="Financial"/>
    <s v="Investment Grade"/>
    <x v="4"/>
    <s v="High"/>
    <s v="High"/>
    <s v="#N/A Field Not Applicable"/>
    <s v="FINANCIAL"/>
    <s v="Chengtou Bond"/>
    <n v="4.1526288512351149E-2"/>
    <s v="9/26/2021"/>
    <n v="1.4904109589041097"/>
    <s v="1 - 2 yrs"/>
    <n v="4.420802534387285E-3"/>
    <n v="1.4061901228221021"/>
    <n v="4.1709897673949366E-3"/>
    <n v="4.6066189360597134"/>
    <n v="1.3663984786091125E-2"/>
    <s v="XS1852561031"/>
    <s v="-"/>
    <n v="-1.51"/>
    <n v="1504263.5316277691"/>
    <n v="2.7495582251794927E-3"/>
    <s v="1 - 2 yrs"/>
    <s v="China"/>
    <n v="1.5522435045623919E-3"/>
  </r>
  <r>
    <s v="Investments"/>
    <s v="Investments Long"/>
    <s v="Avaliable for Trading"/>
    <s v="United States Dollar"/>
    <m/>
    <s v="CIFIHG 6.875 04/23/21"/>
    <s v="XS1801151371"/>
    <n v="3000000"/>
    <n v="98.525999999999996"/>
    <n v="3060000"/>
    <n v="23994072"/>
    <n v="-1083525.6399999999"/>
    <n v="701636.03"/>
    <n v="22910546.359999999"/>
    <n v="5.1000000000000004E-3"/>
    <m/>
    <s v="Investments"/>
    <s v="BBG00KKDSP44"/>
    <s v="BOND"/>
    <s v="Corp"/>
    <s v="#N/A Field Not Applicable"/>
    <n v="1.4"/>
    <n v="2.2765000000000001E-2"/>
    <s v="High"/>
    <n v="2"/>
    <n v="5.8939999999999999E-2"/>
    <s v="High"/>
    <n v="3046300.8334300937"/>
    <s v=""/>
    <s v=""/>
    <s v="BB-"/>
    <s v="B1"/>
    <s v="BB"/>
    <n v="9"/>
    <n v="8"/>
    <n v="10"/>
    <n v="9"/>
    <s v="CN"/>
    <s v="Financial"/>
    <s v="Real Estate"/>
    <s v="Real Estate Oper/Develop"/>
    <s v="N"/>
    <s v=" "/>
    <s v="ACTV"/>
    <s v="Corporate"/>
    <s v="Financial"/>
    <s v="Non-Investment Grade"/>
    <x v="4"/>
    <s v="High"/>
    <s v="High"/>
    <s v="Real Estate"/>
    <s v="FINANCIAL"/>
    <s v="#N/A Field Not Applicable"/>
    <n v="5.4061296052480633E-2"/>
    <s v="4/23/2021"/>
    <n v="1.0630136986301371"/>
    <s v="1 - 2 yrs"/>
    <n v="6.3853220299429185E-3"/>
    <n v="0.95969239710539744"/>
    <n v="5.764690533247744E-3"/>
    <n v="7.8883728482966662"/>
    <n v="4.738396221379066E-2"/>
    <s v="XS1801151371"/>
    <s v="-"/>
    <n v="-1.81"/>
    <n v="3046300.8334300937"/>
    <n v="5.5681609882978263E-3"/>
    <s v="0 - 1 yr"/>
    <s v="China"/>
    <n v="2.1453429365843003E-3"/>
  </r>
  <r>
    <s v="Investments"/>
    <s v="Investments Long"/>
    <s v="Avaliable for Trading"/>
    <s v="United States Dollar"/>
    <m/>
    <s v="CIFIHG 7.625 03/02/21"/>
    <s v="XS1924328807"/>
    <n v="5000000"/>
    <n v="99.93"/>
    <n v="5106829.16"/>
    <n v="39979138.859999999"/>
    <n v="-1250767.73"/>
    <n v="238050.29"/>
    <n v="38728371.130000003"/>
    <n v="8.6E-3"/>
    <m/>
    <s v="Investments"/>
    <s v="BBG00MTKPX96"/>
    <s v="BOND"/>
    <s v="Corp"/>
    <s v="#N/A Field Not Applicable"/>
    <n v="1.6"/>
    <n v="1.9632E-2"/>
    <s v="High"/>
    <n v="2"/>
    <n v="4.9867000000000002E-2"/>
    <s v="High"/>
    <n v="5027211.8047760967"/>
    <s v=""/>
    <s v=""/>
    <s v=""/>
    <s v=""/>
    <s v="BB"/>
    <n v="0"/>
    <n v="0"/>
    <n v="10"/>
    <n v="10"/>
    <s v="CN"/>
    <s v="Financial"/>
    <s v="Real Estate"/>
    <s v="Real Estate Oper/Develop"/>
    <s v="N"/>
    <s v=" "/>
    <s v="ACTV"/>
    <s v="Corporate"/>
    <s v="Financial"/>
    <s v="Non-Investment Grade"/>
    <x v="4"/>
    <s v="High"/>
    <s v="High"/>
    <s v="Real Estate"/>
    <s v="FINANCIAL"/>
    <s v="#N/A Field Not Applicable"/>
    <n v="9.9128455044389815E-2"/>
    <s v="3/2/2021"/>
    <n v="0.92054794520547945"/>
    <s v="0 - 1 yr"/>
    <n v="9.1252495602506777E-3"/>
    <n v="0.85890436140590787"/>
    <n v="8.5141862377055878E-3"/>
    <n v="6.6073656543473405"/>
    <n v="6.5497794922881561E-2"/>
    <s v="XS1924328807"/>
    <s v="-"/>
    <n v="-1.51"/>
    <n v="5027211.8047760967"/>
    <n v="9.1889561083649089E-3"/>
    <s v="0 - 1 yr"/>
    <s v="China"/>
    <n v="3.1685741325535172E-3"/>
  </r>
  <r>
    <s v="Investments"/>
    <s v="Investments Long"/>
    <s v="Avaliable for Trading"/>
    <s v="United States Dollar"/>
    <m/>
    <s v="CINDBK V4.625 02/28/29 EMTN"/>
    <s v="XS1897158892"/>
    <n v="6500000"/>
    <n v="107.36199999999999"/>
    <n v="6472570"/>
    <n v="50801583.549999997"/>
    <n v="3289700.34"/>
    <n v="213599.32"/>
    <n v="54091283.890000001"/>
    <n v="1.21E-2"/>
    <m/>
    <s v="Investments"/>
    <s v="BBG00NDMRLH2"/>
    <s v="BOND"/>
    <s v="Corp"/>
    <s v="#N/A Field Not Applicable"/>
    <n v="1.9"/>
    <n v="1.1554999999999999E-2"/>
    <s v="High"/>
    <n v="2.7"/>
    <n v="2.9839999999999998E-2"/>
    <s v="High"/>
    <n v="7006087.2921262793"/>
    <s v=""/>
    <s v=""/>
    <s v=""/>
    <s v="Baa3"/>
    <s v=""/>
    <n v="0"/>
    <n v="12"/>
    <n v="0"/>
    <n v="12"/>
    <s v="HK"/>
    <s v="Financial"/>
    <s v="Banks"/>
    <s v="Commer Banks Non-US"/>
    <s v="N"/>
    <s v=" "/>
    <s v="ACTV"/>
    <s v="Corporate"/>
    <s v="Financial"/>
    <s v="Investment Grade"/>
    <x v="1"/>
    <s v="High"/>
    <s v="High"/>
    <s v="#N/A Field Not Applicable"/>
    <s v="BANK"/>
    <s v="#N/A Field Not Applicable"/>
    <n v="0.16577840030884697"/>
    <s v="2/28/2029"/>
    <n v="8.9205479452054792"/>
    <s v="7 - 10 yrs"/>
    <n v="0.12323618068621135"/>
    <n v="3.5371074722683451"/>
    <n v="4.8864668206092962E-2"/>
    <n v="3.0448996745312473"/>
    <n v="4.2064883095393246E-2"/>
    <s v="XS1897158892"/>
    <s v="-"/>
    <n v="-1.77"/>
    <n v="7006087.2921262793"/>
    <n v="1.2806030682367251E-2"/>
    <s v="3 - 5 yrs"/>
    <s v="Hong Kong"/>
    <n v="1.8185099474093785E-2"/>
  </r>
  <r>
    <s v="Investments"/>
    <s v="Investments Long"/>
    <s v="Avaliable for Trading"/>
    <s v="United States Dollar"/>
    <m/>
    <s v="CISIFG 5 08/28/20"/>
    <s v="XS2042630355"/>
    <n v="5000000"/>
    <n v="99.182000000000002"/>
    <n v="4995000"/>
    <n v="39197263.5"/>
    <n v="-758783.49"/>
    <n v="172246.67"/>
    <n v="38438480.009999998"/>
    <n v="8.6E-3"/>
    <m/>
    <s v="Investments"/>
    <s v="BBG00Q3NXL14"/>
    <s v="BOND"/>
    <s v="Corp"/>
    <s v="#N/A Field Not Applicable"/>
    <n v="0.5"/>
    <n v="7.3839999999999999E-3"/>
    <s v="High"/>
    <n v="2"/>
    <n v="1.6951999999999998E-2"/>
    <s v="High"/>
    <n v="4981322.2226522686"/>
    <s v=""/>
    <s v=""/>
    <s v=""/>
    <s v=""/>
    <s v=""/>
    <n v="0"/>
    <n v="0"/>
    <n v="0"/>
    <n v="0"/>
    <s v="CN"/>
    <s v="Financial"/>
    <s v="Diversified Finan Serv"/>
    <s v="Finance-Invest Bnkr/Brkr"/>
    <s v="N"/>
    <s v=" "/>
    <s v="ACTV"/>
    <s v="Corporate"/>
    <s v="Financial"/>
    <s v="Non-Investment Grade"/>
    <x v="4"/>
    <s v="High"/>
    <s v="High"/>
    <s v="Financials"/>
    <s v="FINANCIAL"/>
    <s v="#N/A Field Not Applicable"/>
    <n v="0"/>
    <s v="8/28/2020"/>
    <n v="0.41095890410958902"/>
    <s v="0 - 1 yr"/>
    <n v="4.0365857665997261E-3"/>
    <n v="0.38334794187902282"/>
    <n v="3.7653809915541296E-3"/>
    <n v="7.3384976762025902"/>
    <n v="7.2081356485429071E-2"/>
    <s v="XS2042630355"/>
    <s v="-"/>
    <n v="-0.46"/>
    <n v="4981322.2226522686"/>
    <n v="9.1050771368112425E-3"/>
    <s v="0 - 1 yr"/>
    <s v="China"/>
    <n v="1.4012952589891054E-3"/>
  </r>
  <r>
    <s v="Investments"/>
    <s v="Investments Long"/>
    <s v="Avaliable for Trading"/>
    <s v="United States Dollar"/>
    <m/>
    <s v="CMHI 4.375 08/06/23"/>
    <s v="XS1856799421"/>
    <n v="2500000"/>
    <n v="107.748"/>
    <n v="2491500"/>
    <n v="19557527.550000001"/>
    <n v="1321610.52"/>
    <n v="129521.42"/>
    <n v="20879138.07"/>
    <n v="4.7000000000000002E-3"/>
    <m/>
    <s v="Investments"/>
    <s v="BBG00LJTWWM9"/>
    <s v="BOND"/>
    <s v="Corp"/>
    <s v="#N/A Field Not Applicable"/>
    <n v="0.3"/>
    <n v="4.836E-3"/>
    <s v="High"/>
    <n v="2"/>
    <n v="1.3247999999999999E-2"/>
    <s v="High"/>
    <n v="2710410.0695385174"/>
    <s v=""/>
    <s v=""/>
    <s v="BBB"/>
    <s v="Baa1"/>
    <s v=""/>
    <n v="13"/>
    <n v="14"/>
    <n v="0"/>
    <n v="13"/>
    <s v="CN"/>
    <s v="Consumer, Non-cyclical"/>
    <s v="Commercial Services"/>
    <s v="Whsing&amp;Harbor Trans Serv"/>
    <s v="N"/>
    <s v=" "/>
    <s v="ACTV"/>
    <s v="Corporate"/>
    <s v="Non-Financial"/>
    <s v="Investment Grade"/>
    <x v="4"/>
    <s v="High"/>
    <s v="High"/>
    <s v="#N/A Field Not Applicable"/>
    <s v="SPECIAL PURPOSE"/>
    <s v="#N/A Field Not Applicable"/>
    <n v="6.9478352039456195E-2"/>
    <s v="8/6/2023"/>
    <n v="3.3506849315068492"/>
    <s v="3 - 5 yrs"/>
    <n v="1.7907697480348771E-2"/>
    <n v="3.1027531034492379"/>
    <n v="1.6582628647150877E-2"/>
    <n v="1.611409343635537"/>
    <n v="8.6121588966752965E-3"/>
    <s v="XS1856799421"/>
    <s v="-"/>
    <n v="-1.36"/>
    <n v="2710410.0695385174"/>
    <n v="4.9542052596626132E-3"/>
    <s v="3 - 5 yrs"/>
    <s v="China"/>
    <n v="6.1712636667978988E-3"/>
  </r>
  <r>
    <s v="Investments"/>
    <s v="Investments Long"/>
    <s v="Avaliable for Trading"/>
    <s v="United States Dollar"/>
    <m/>
    <s v="CMHI 5 08/06/28"/>
    <s v="XS1856800450"/>
    <n v="10000000"/>
    <n v="116.711"/>
    <n v="10083086.67"/>
    <n v="79149947.319999993"/>
    <n v="11313915.880000001"/>
    <n v="592097.91"/>
    <n v="90463863.200000003"/>
    <n v="2.0199999999999999E-2"/>
    <m/>
    <s v="Investments"/>
    <s v="BBG00LLFHRL5"/>
    <s v="BOND"/>
    <s v="Corp"/>
    <s v="#N/A Field Not Applicable"/>
    <n v="4.2"/>
    <n v="1.7419E-2"/>
    <s v="Medium"/>
    <n v="17"/>
    <n v="4.6475000000000002E-2"/>
    <s v="Illiquid"/>
    <n v="11747488.886738656"/>
    <s v=""/>
    <s v=""/>
    <s v="BBB"/>
    <s v="Baa1"/>
    <s v=""/>
    <n v="13"/>
    <n v="14"/>
    <n v="0"/>
    <n v="13"/>
    <s v="CN"/>
    <s v="Consumer, Non-cyclical"/>
    <s v="Commercial Services"/>
    <s v="Whsing&amp;Harbor Trans Serv"/>
    <s v="N"/>
    <s v=" "/>
    <s v="ACTV"/>
    <s v="Corporate"/>
    <s v="Non-Financial"/>
    <s v="Investment Grade"/>
    <x v="4"/>
    <s v="Medium"/>
    <s v="Illiquid"/>
    <s v="#N/A Field Not Applicable"/>
    <s v="SPECIAL PURPOSE"/>
    <s v="#N/A Field Not Applicable"/>
    <n v="0.3011338312329232"/>
    <s v="8/6/2028"/>
    <n v="8.3561643835616444"/>
    <s v="7 - 10 yrs"/>
    <n v="0.19356336886415507"/>
    <n v="6.938236922631801"/>
    <n v="0.16071829742414165"/>
    <n v="2.2931545193041583"/>
    <n v="5.311895430824258E-2"/>
    <s v="XS1856800450"/>
    <s v="-"/>
    <n v="-3.42"/>
    <n v="11747488.886738656"/>
    <n v="2.1472570473595517E-2"/>
    <s v="5 - 7 yrs"/>
    <s v="China"/>
    <n v="5.9811686710697372E-2"/>
  </r>
  <r>
    <s v="Investments"/>
    <s v="Investments Long"/>
    <s v="Avaliable for Trading"/>
    <s v="United States Dollar"/>
    <m/>
    <s v="CNPFP 6 01/22/49"/>
    <s v="FR0013101599"/>
    <n v="3000000"/>
    <n v="105.25"/>
    <n v="2946990"/>
    <n v="22971787.050000001"/>
    <n v="1502311.2"/>
    <n v="267412.95"/>
    <n v="24474098.25"/>
    <n v="5.4999999999999997E-3"/>
    <m/>
    <s v="Investments"/>
    <s v="BBG00BWQ0R57"/>
    <s v="BOND"/>
    <s v="Corp"/>
    <s v="#N/A Field Not Applicable"/>
    <n v="1.9"/>
    <n v="2.9694000000000002E-2"/>
    <s v="High"/>
    <n v="2.8"/>
    <n v="7.0019999999999999E-2"/>
    <s v="High"/>
    <n v="3192000"/>
    <s v=""/>
    <s v=""/>
    <s v="BBB+"/>
    <s v="A3"/>
    <s v=""/>
    <n v="14"/>
    <n v="15"/>
    <n v="0"/>
    <n v="14"/>
    <s v="FR"/>
    <s v="Financial"/>
    <s v="Insurance"/>
    <s v="Multi-line Insurance"/>
    <s v="N"/>
    <s v=" "/>
    <s v="ACTV"/>
    <s v="Corporate"/>
    <s v="Financial"/>
    <s v="Investment Grade"/>
    <x v="6"/>
    <s v="High"/>
    <s v="High"/>
    <s v="Financials"/>
    <s v="FINANCIAL"/>
    <s v="#N/A Field Not Applicable"/>
    <n v="8.8117480843260196E-2"/>
    <s v="1/22/2049"/>
    <n v="28.832876712328765"/>
    <s v="10 yrs or Above"/>
    <n v="0.18147717581105094"/>
    <n v="6.7597091577171353"/>
    <n v="4.2546324443653583E-2"/>
    <n v="5.6211722548667717"/>
    <n v="3.5380252748920607E-2"/>
    <s v="FR0013101599"/>
    <s v="-"/>
    <n v="-7.8"/>
    <n v="3192000"/>
    <n v="5.834476253822201E-3"/>
    <s v="5 - 7 yrs"/>
    <s v="France"/>
    <n v="1.5833713205657952E-2"/>
  </r>
  <r>
    <s v="Investments"/>
    <s v="Investments Long"/>
    <s v="Avaliable for Trading"/>
    <s v="United States Dollar"/>
    <m/>
    <s v="COGARD 5.125 01/14/27"/>
    <s v="XS2100725949"/>
    <n v="1300000"/>
    <n v="93.319000000000003"/>
    <n v="1203000"/>
    <n v="9324774.9000000004"/>
    <n v="78448.81"/>
    <n v="25489.82"/>
    <n v="9403223.7100000009"/>
    <n v="2.0999999999999999E-3"/>
    <m/>
    <s v="Investments"/>
    <s v="BBG00R9SN7F2"/>
    <s v="BOND"/>
    <s v="Corp"/>
    <s v="#N/A Field Not Applicable"/>
    <n v="0.6"/>
    <n v="6.7521999999999999E-2"/>
    <s v="High"/>
    <n v="2"/>
    <n v="0.18667700000000001"/>
    <s v="High"/>
    <n v="1216435.542052096"/>
    <s v=""/>
    <s v=""/>
    <s v=""/>
    <s v=""/>
    <s v="BBB-"/>
    <n v="0"/>
    <n v="0"/>
    <n v="12"/>
    <n v="12"/>
    <s v="CN"/>
    <s v="Financial"/>
    <s v="Real Estate"/>
    <s v="Real Estate Oper/Develop"/>
    <s v="N"/>
    <s v=" "/>
    <s v="ACTV"/>
    <s v="Corporate"/>
    <s v="Financial"/>
    <s v="Investment Grade"/>
    <x v="4"/>
    <s v="High"/>
    <s v="High"/>
    <s v="Real Estate"/>
    <s v="FINANCIAL"/>
    <s v="#N/A Field Not Applicable"/>
    <n v="2.8783360787818582E-2"/>
    <s v="1/14/2027"/>
    <n v="6.7945205479452051"/>
    <s v="5 - 7 yrs"/>
    <n v="1.6297428025979471E-2"/>
    <n v="5.5151935826783918"/>
    <n v="1.3228817225407825E-2"/>
    <n v="6.4478047268893208"/>
    <n v="1.5465790811954781E-2"/>
    <s v="XS2100725949"/>
    <s v="-"/>
    <n v="-7.18"/>
    <n v="1216435.542052096"/>
    <n v="2.2234537231855551E-3"/>
    <s v="5 - 7 yrs"/>
    <s v="China"/>
    <n v="4.9231349766670502E-3"/>
  </r>
  <r>
    <s v="Investments"/>
    <s v="Investments Long"/>
    <s v="Avaliable for Trading"/>
    <s v="United States Dollar"/>
    <m/>
    <s v="COGARD 5.625 01/14/30"/>
    <s v="XS2100726160"/>
    <n v="800000"/>
    <n v="93.872"/>
    <n v="765944.93"/>
    <n v="5950303.9400000004"/>
    <n v="-129413.94"/>
    <n v="74604.36"/>
    <n v="5820890"/>
    <n v="1.2999999999999999E-3"/>
    <m/>
    <s v="Investments"/>
    <s v="BBG00R9SNB81"/>
    <s v="BOND"/>
    <s v="Corp"/>
    <s v="#N/A Field Not Applicable"/>
    <n v="0.5"/>
    <n v="6.4968999999999999E-2"/>
    <s v="High"/>
    <n v="1.9"/>
    <n v="0.180035"/>
    <s v="High"/>
    <n v="760600.9934073874"/>
    <s v=""/>
    <s v=""/>
    <s v=""/>
    <s v=""/>
    <s v="BBB-"/>
    <n v="0"/>
    <n v="0"/>
    <n v="12"/>
    <n v="12"/>
    <s v="CN"/>
    <s v="Financial"/>
    <s v="Real Estate"/>
    <s v="Real Estate Oper/Develop"/>
    <s v="N"/>
    <s v=" "/>
    <s v="ACTV"/>
    <s v="Corporate"/>
    <s v="Financial"/>
    <s v="Investment Grade"/>
    <x v="4"/>
    <s v="High"/>
    <s v="High"/>
    <s v="Real Estate"/>
    <s v="FINANCIAL"/>
    <s v="#N/A Field Not Applicable"/>
    <n v="1.7997380092894772E-2"/>
    <s v="1/14/2030"/>
    <n v="9.7972602739726025"/>
    <s v="7 - 10 yrs"/>
    <n v="1.4693751418308608E-2"/>
    <n v="7.2246534981084425"/>
    <n v="1.0835402920409956E-2"/>
    <n v="6.557135915219507"/>
    <n v="9.8342722822480737E-3"/>
    <s v="XS2100726160"/>
    <s v="-"/>
    <n v="-8.7899999999999991"/>
    <n v="760600.9934073874"/>
    <n v="1.3902595346707326E-3"/>
    <s v="7 - 10 yrs"/>
    <s v="China"/>
    <n v="4.0324202984145501E-3"/>
  </r>
  <r>
    <s v="Investments"/>
    <s v="Investments Long"/>
    <s v="Avaliable for Trading"/>
    <s v="United States Dollar"/>
    <m/>
    <s v="COGARD 7.25 04/04/21 REGS"/>
    <s v="USG24524AH67"/>
    <n v="2950000"/>
    <n v="100.598"/>
    <n v="2880125"/>
    <n v="22328745.09"/>
    <n v="673737.07"/>
    <n v="815068.54"/>
    <n v="23002482.16"/>
    <n v="5.1000000000000004E-3"/>
    <m/>
    <s v="Investments"/>
    <s v="BBG005BTJ9P5"/>
    <s v="BOND"/>
    <s v="Corp"/>
    <s v="#N/A Field Not Applicable"/>
    <n v="1"/>
    <n v="1.3039E-2"/>
    <s v="High"/>
    <n v="2"/>
    <n v="3.2820000000000002E-2"/>
    <s v="High"/>
    <n v="3072796.2095702542"/>
    <s v=""/>
    <s v=""/>
    <s v="BB"/>
    <s v="Ba2"/>
    <s v=""/>
    <n v="10"/>
    <n v="10"/>
    <n v="0"/>
    <n v="10"/>
    <s v="CN"/>
    <s v="Financial"/>
    <s v="Real Estate"/>
    <s v="Real Estate Oper/Develop"/>
    <s v="N"/>
    <s v=" "/>
    <s v="ACTV"/>
    <s v="Corporate"/>
    <s v="Financial"/>
    <s v="Non-Investment Grade"/>
    <x v="4"/>
    <s v="High"/>
    <s v="High"/>
    <s v="Real Estate"/>
    <s v="FINANCIAL"/>
    <s v="#N/A Field Not Applicable"/>
    <n v="6.0590552526863906E-2"/>
    <s v="4/4/2021"/>
    <n v="1.010958904109589"/>
    <s v="1 - 2 yrs"/>
    <n v="6.1254558581952823E-3"/>
    <n v="7.7908518754066389E-2"/>
    <n v="4.7205201978584211E-4"/>
    <n v="6.4763816935736465"/>
    <n v="3.9240754518849383E-2"/>
    <s v="USG24524AH67"/>
    <s v="-"/>
    <n v="-0.18"/>
    <n v="3072796.2095702542"/>
    <n v="5.6165903877106876E-3"/>
    <s v="0 - 1 yr"/>
    <s v="China"/>
    <n v="1.7567525273162591E-4"/>
  </r>
  <r>
    <s v="Investments"/>
    <s v="Investments Long"/>
    <s v="Avaliable for Trading"/>
    <s v="United States Dollar"/>
    <m/>
    <s v="COGO 4.875 06/01/21"/>
    <s v="XS1823212904"/>
    <n v="7100000"/>
    <n v="103.413"/>
    <n v="7072830"/>
    <n v="55498498.829999998"/>
    <n v="1412580.97"/>
    <n v="894283.18"/>
    <n v="56911079.799999997"/>
    <n v="1.2699999999999999E-2"/>
    <m/>
    <s v="Investments"/>
    <s v="BBG00L07ZBX8"/>
    <s v="BOND"/>
    <s v="Corp"/>
    <s v="#N/A Field Not Applicable"/>
    <n v="0.4"/>
    <n v="1.5150000000000001E-3"/>
    <s v="High"/>
    <n v="2"/>
    <n v="3.9750000000000002E-3"/>
    <s v="High"/>
    <n v="7457698.0015739696"/>
    <s v=""/>
    <s v=""/>
    <s v="BBB-"/>
    <s v="Baa2"/>
    <s v="BBB"/>
    <n v="12"/>
    <n v="13"/>
    <n v="13"/>
    <n v="13"/>
    <s v="CN"/>
    <s v="Financial"/>
    <s v="Real Estate"/>
    <s v="Real Estate Oper/Develop"/>
    <s v="N"/>
    <s v=" "/>
    <s v="ACTV"/>
    <s v="Corporate"/>
    <s v="Financial"/>
    <s v="Investment Grade"/>
    <x v="4"/>
    <s v="High"/>
    <s v="High"/>
    <s v="#N/A Field Not Applicable"/>
    <s v="SPECIAL PURPOSE"/>
    <s v="#N/A Field Not Applicable"/>
    <n v="0.19116980599379438"/>
    <s v="6/1/2021"/>
    <n v="1.1698630136986301"/>
    <s v="1 - 2 yrs"/>
    <n v="1.7203268105237132E-2"/>
    <n v="1.1081819925320553"/>
    <n v="1.6296225886013038E-2"/>
    <n v="1.810224498744671"/>
    <n v="2.6620020479248649E-2"/>
    <s v="XS1823212904"/>
    <s v="-"/>
    <n v="-0.65"/>
    <n v="7457698.0015739696"/>
    <n v="1.3631504354122997E-2"/>
    <s v="1 - 2 yrs"/>
    <s v="China"/>
    <n v="6.0646782157521614E-3"/>
  </r>
  <r>
    <s v="Investments"/>
    <s v="Investments Long"/>
    <s v="Avaliable for Trading"/>
    <s v="United States Dollar"/>
    <m/>
    <s v="DALWAN 6.875 07/23/23"/>
    <s v="XS2100658066"/>
    <n v="5500000"/>
    <n v="79.962000000000003"/>
    <n v="5202160"/>
    <n v="40406200.020000003"/>
    <n v="-6317559.8200000003"/>
    <n v="553611.55000000005"/>
    <n v="34088640.200000003"/>
    <n v="7.6E-3"/>
    <m/>
    <s v="Investments"/>
    <s v="BBG00RH7GJ34"/>
    <s v="BOND"/>
    <s v="Corp"/>
    <s v="#N/A Field Not Applicable"/>
    <n v="0.8"/>
    <n v="5.1964999999999997E-2"/>
    <s v="High"/>
    <n v="1.9"/>
    <n v="0.13653100000000001"/>
    <s v="High"/>
    <n v="4469333.610713318"/>
    <s v=""/>
    <s v=""/>
    <s v=""/>
    <s v="Ba3"/>
    <s v="BB+"/>
    <n v="0"/>
    <n v="9"/>
    <n v="11"/>
    <n v="9"/>
    <s v="CN"/>
    <s v="Financial"/>
    <s v="Real Estate"/>
    <s v="Real Estate Oper/Develop"/>
    <s v="N"/>
    <s v=" "/>
    <s v="ACTV"/>
    <s v="Corporate"/>
    <s v="Financial"/>
    <s v="Non-Investment Grade"/>
    <x v="4"/>
    <s v="High"/>
    <s v="High"/>
    <s v="#N/A Field Not Applicable"/>
    <s v="SPECIAL PURPOSE"/>
    <s v="#N/A Field Not Applicable"/>
    <n v="7.9315202502182408E-2"/>
    <s v="7/23/2023"/>
    <n v="3.3123287671232875"/>
    <s v="3 - 5 yrs"/>
    <n v="2.919089187979864E-2"/>
    <n v="2.7197501110821025"/>
    <n v="2.3968614535090006E-2"/>
    <n v="14.60868489489105"/>
    <n v="0.12874342230320635"/>
    <s v="XS2100658066"/>
    <s v="-"/>
    <n v="-8.41"/>
    <n v="4469333.610713318"/>
    <n v="8.1692421121918202E-3"/>
    <s v="2 - 3 yrs"/>
    <s v="China"/>
    <n v="8.9199754255667469E-3"/>
  </r>
  <r>
    <s v="Investments"/>
    <s v="Investments Long"/>
    <s v="Avaliable for Trading"/>
    <s v="United States Dollar"/>
    <m/>
    <s v="DALWAN 6.95 12/05/22"/>
    <s v="XS2078814147"/>
    <n v="3000000"/>
    <n v="84.75"/>
    <n v="2966250"/>
    <n v="23217432"/>
    <n v="-3510260.25"/>
    <n v="520744.74"/>
    <n v="19707171.75"/>
    <n v="4.4000000000000003E-3"/>
    <m/>
    <s v="Investments"/>
    <s v="BBG00QYPDPC6"/>
    <s v="BOND"/>
    <s v="Corp"/>
    <s v="#N/A Field Not Applicable"/>
    <n v="1.6"/>
    <n v="4.5976999999999997E-2"/>
    <s v="High"/>
    <n v="2"/>
    <n v="0.12231599999999999"/>
    <s v="High"/>
    <n v="2609683.3339784029"/>
    <s v=""/>
    <s v=""/>
    <s v=""/>
    <s v="Ba3"/>
    <s v="BB+"/>
    <n v="0"/>
    <n v="9"/>
    <n v="11"/>
    <n v="9"/>
    <s v="CN"/>
    <s v="Financial"/>
    <s v="Real Estate"/>
    <s v="Real Estate Oper/Develop"/>
    <s v="N"/>
    <s v=" "/>
    <s v="ACTV"/>
    <s v="Corporate"/>
    <s v="Financial"/>
    <s v="Non-Investment Grade"/>
    <x v="4"/>
    <s v="High"/>
    <s v="High"/>
    <s v="#N/A Field Not Applicable"/>
    <s v="SPECIAL PURPOSE"/>
    <s v="#N/A Field Not Applicable"/>
    <n v="4.6312846641142047E-2"/>
    <s v="12/5/2022"/>
    <n v="2.6821917808219178"/>
    <s v="2 - 3 yrs"/>
    <n v="1.3802215178593018E-2"/>
    <n v="2.2114582285654008"/>
    <n v="1.1379880643649008E-2"/>
    <n v="15.925900665987927"/>
    <n v="8.1952643907328981E-2"/>
    <s v="XS2078814147"/>
    <s v="-"/>
    <n v="-7.11"/>
    <n v="2609683.3339784029"/>
    <n v="4.7700925570465366E-3"/>
    <s v="2 - 3 yrs"/>
    <s v="China"/>
    <n v="4.2350489444696084E-3"/>
  </r>
  <r>
    <s v="Investments"/>
    <s v="Investments Long"/>
    <s v="Avaliable for Trading"/>
    <s v="United States Dollar"/>
    <m/>
    <s v="DBSSP V3.3 PERP GMTN"/>
    <s v="XS2122408854"/>
    <n v="7500000"/>
    <n v="90.555000000000007"/>
    <n v="7248992"/>
    <n v="56346568.990000002"/>
    <n v="-3704004.45"/>
    <n v="181181.96"/>
    <n v="52642564.539999999"/>
    <n v="1.17E-2"/>
    <m/>
    <s v="Investments"/>
    <s v="BBG00RTNXBH9"/>
    <s v="BOND"/>
    <s v="Corp"/>
    <s v="#N/A Field Not Applicable"/>
    <n v="0.6"/>
    <n v="2.9413999999999999E-2"/>
    <s v="High"/>
    <n v="2"/>
    <n v="7.9736000000000001E-2"/>
    <s v="High"/>
    <n v="6815000"/>
    <s v=""/>
    <s v=""/>
    <s v=""/>
    <s v="Baa1"/>
    <s v="BBB"/>
    <n v="0"/>
    <n v="14"/>
    <n v="13"/>
    <n v="13"/>
    <s v="SG"/>
    <s v="Financial"/>
    <s v="Banks"/>
    <s v="Commer Banks Non-US"/>
    <s v="N"/>
    <s v=" "/>
    <s v="ACTV"/>
    <s v="Corporate"/>
    <s v="Financial"/>
    <s v="Investment Grade"/>
    <x v="7"/>
    <s v="High"/>
    <s v="High"/>
    <s v="Financials"/>
    <s v="BANK"/>
    <s v="#N/A Field Not Applicable"/>
    <n v="0.17469495648291794"/>
    <s v="8/27/2168"/>
    <n v="148.50684931506851"/>
    <s v="10 yrs or Above"/>
    <n v="1.9956459675777802"/>
    <n v="4.3972899428086105"/>
    <n v="5.9091105784747917E-2"/>
    <n v="2.6695746408701124"/>
    <n v="3.5873940439592737E-2"/>
    <s v="XS2122408854"/>
    <s v="-"/>
    <n v="-6.14"/>
    <n v="6815000"/>
    <n v="1.2456753029385433E-2"/>
    <s v="3 - 5 yrs"/>
    <s v="Singapore"/>
    <n v="2.1990891909828825E-2"/>
  </r>
  <r>
    <s v="Investments"/>
    <s v="Investments Long"/>
    <s v="Avaliable for Trading"/>
    <s v="United States Dollar"/>
    <m/>
    <s v="FTHDGR 11.75 04/17/22"/>
    <s v="XS1982124239"/>
    <n v="500000"/>
    <n v="86.524000000000001"/>
    <n v="510000"/>
    <n v="3980550"/>
    <n v="-627269.12"/>
    <n v="207449.58"/>
    <n v="3353280.88"/>
    <n v="6.9999999999999999E-4"/>
    <m/>
    <s v="Investments"/>
    <s v="BBG00NV886P8"/>
    <s v="BOND"/>
    <s v="Corp"/>
    <s v="#N/A Field Not Applicable"/>
    <n v="1.1000000000000001"/>
    <n v="4.6413999999999997E-2"/>
    <s v="High"/>
    <n v="2"/>
    <n v="0.122974"/>
    <s v="High"/>
    <n v="459383.8887383726"/>
    <s v=""/>
    <s v=""/>
    <s v="B"/>
    <s v="B3"/>
    <s v=""/>
    <n v="7"/>
    <n v="6"/>
    <n v="0"/>
    <n v="6"/>
    <s v="CN"/>
    <s v="Financial"/>
    <s v="Real Estate"/>
    <s v="Real Estate Oper/Develop"/>
    <s v="N"/>
    <s v=" "/>
    <s v="ACTV"/>
    <s v="Corporate"/>
    <s v="Financial"/>
    <s v="Non-Investment Grade"/>
    <x v="4"/>
    <s v="High"/>
    <s v="High"/>
    <s v="Real Estate"/>
    <s v="FINANCIAL"/>
    <s v="#N/A Field Not Applicable"/>
    <n v="5.4349826820093879E-3"/>
    <s v="4/17/2022"/>
    <n v="2.0465753424657533"/>
    <s v="2 - 3 yrs"/>
    <n v="1.8538502572881335E-3"/>
    <n v="1.6315426963038526"/>
    <n v="1.4779010498950568E-3"/>
    <n v="15.340149977120719"/>
    <n v="1.3895574910846302E-2"/>
    <s v="XS1982124239"/>
    <s v="-"/>
    <n v="-6.68"/>
    <n v="459383.8887383726"/>
    <n v="8.3968182651395201E-4"/>
    <s v="1 - 2 yrs"/>
    <s v="China"/>
    <n v="5.5000429946351495E-4"/>
  </r>
  <r>
    <s v="Investments"/>
    <s v="Investments Long"/>
    <s v="Avaliable for Trading"/>
    <s v="United States Dollar"/>
    <m/>
    <s v="FTHDGR 12.25 10/18/22"/>
    <s v="XS2030329358"/>
    <n v="2000000"/>
    <n v="84.617999999999995"/>
    <n v="2035000"/>
    <n v="15927741.5"/>
    <n v="-2810089.9"/>
    <n v="1334588.7"/>
    <n v="13117651.6"/>
    <n v="2.8999999999999998E-3"/>
    <m/>
    <s v="Investments"/>
    <s v="BBG00PQ3QH67"/>
    <s v="BOND"/>
    <s v="Corp"/>
    <s v="#N/A Field Not Applicable"/>
    <n v="1.4"/>
    <n v="5.1857E-2"/>
    <s v="High"/>
    <n v="2"/>
    <n v="0.13752900000000001"/>
    <s v="High"/>
    <n v="1864540.5555340531"/>
    <s v=""/>
    <s v=""/>
    <s v=""/>
    <s v="B3"/>
    <s v="B+"/>
    <n v="0"/>
    <n v="6"/>
    <n v="8"/>
    <n v="6"/>
    <s v="CN"/>
    <s v="Financial"/>
    <s v="Real Estate"/>
    <s v="Real Estate Oper/Develop"/>
    <s v="N"/>
    <s v=" "/>
    <s v="ACTV"/>
    <s v="Corporate"/>
    <s v="Financial"/>
    <s v="Non-Investment Grade"/>
    <x v="4"/>
    <s v="High"/>
    <s v="High"/>
    <s v="Real Estate"/>
    <s v="FINANCIAL"/>
    <s v="#N/A Field Not Applicable"/>
    <n v="2.2059427589118372E-2"/>
    <s v="10/18/2022"/>
    <n v="2.5506849315068494"/>
    <s v="2 - 3 yrs"/>
    <n v="9.3777749248717835E-3"/>
    <n v="1.930078350393845"/>
    <n v="7.0960706019730108E-3"/>
    <n v="13.801316538749594"/>
    <n v="5.0741523803508083E-2"/>
    <s v="XS2030329358"/>
    <s v="-"/>
    <n v="-7.76"/>
    <n v="1864540.5555340531"/>
    <n v="3.4080882191578595E-3"/>
    <s v="1 - 2 yrs"/>
    <s v="China"/>
    <n v="2.6408191134710572E-3"/>
  </r>
  <r>
    <s v="Investments"/>
    <s v="Investments Long"/>
    <s v="Avaliable for Trading"/>
    <s v="United States Dollar"/>
    <m/>
    <s v="FTHDGR 15 12/18/21"/>
    <s v="XS1924249680"/>
    <n v="1100000"/>
    <n v="93.507000000000005"/>
    <n v="1193500"/>
    <n v="9341405.1500000004"/>
    <n v="-1368801.97"/>
    <n v="365916.51"/>
    <n v="7972603.1799999997"/>
    <n v="1.8E-3"/>
    <m/>
    <s v="Investments"/>
    <s v="BBG00MSJ57C5"/>
    <s v="BOND"/>
    <s v="Corp"/>
    <s v="#N/A Field Not Applicable"/>
    <n v="1"/>
    <n v="3.6399000000000001E-2"/>
    <s v="High"/>
    <n v="2"/>
    <n v="9.2325000000000004E-2"/>
    <s v="High"/>
    <n v="1075785.3324044328"/>
    <s v=""/>
    <s v=""/>
    <s v=""/>
    <s v="B3"/>
    <s v=""/>
    <n v="0"/>
    <n v="6"/>
    <n v="0"/>
    <n v="6"/>
    <s v="CN"/>
    <s v="Financial"/>
    <s v="Real Estate"/>
    <s v="Real Estate Oper/Develop"/>
    <s v="N"/>
    <s v=" "/>
    <s v="ACTV"/>
    <s v="Corporate"/>
    <s v="Financial"/>
    <s v="Non-Investment Grade"/>
    <x v="4"/>
    <s v="High"/>
    <s v="High"/>
    <s v="Real Estate"/>
    <s v="FINANCIAL"/>
    <s v="#N/A Field Not Applicable"/>
    <n v="1.2727644121859279E-2"/>
    <s v="12/18/2021"/>
    <n v="1.7178082191780821"/>
    <s v="1 - 2 yrs"/>
    <n v="3.6439419472172451E-3"/>
    <n v="1.4129507477566956"/>
    <n v="2.9972557131936967E-3"/>
    <n v="12.901201128749955"/>
    <n v="2.7366982785209777E-2"/>
    <s v="XS1924249680"/>
    <s v="-"/>
    <n v="-2.92"/>
    <n v="1075785.3324044328"/>
    <n v="1.9663671604398139E-3"/>
    <s v="1 - 2 yrs"/>
    <s v="China"/>
    <n v="1.1154356571877219E-3"/>
  </r>
  <r>
    <s v="Investments"/>
    <s v="Investments Long"/>
    <s v="Avaliable for Trading"/>
    <s v="United States Dollar"/>
    <m/>
    <s v="FTHDGR 8.375 03/08/21"/>
    <s v="XS1784286327"/>
    <n v="3000000"/>
    <n v="90.652000000000001"/>
    <n v="3007750"/>
    <n v="23498659.75"/>
    <n v="-2419078.2400000002"/>
    <n v="124421.31"/>
    <n v="21079581.510000002"/>
    <n v="4.7000000000000002E-3"/>
    <m/>
    <s v="Investments"/>
    <s v="BBG00K7D75S0"/>
    <s v="BOND"/>
    <s v="Corp"/>
    <s v="#N/A Field Not Applicable"/>
    <n v="1.2"/>
    <n v="3.5542999999999998E-2"/>
    <s v="High"/>
    <n v="2"/>
    <n v="9.1550999999999993E-2"/>
    <s v="High"/>
    <n v="2735612.0834462205"/>
    <s v=""/>
    <s v=""/>
    <s v="B"/>
    <s v="B3"/>
    <s v=""/>
    <n v="7"/>
    <n v="6"/>
    <n v="0"/>
    <n v="6"/>
    <s v="CN"/>
    <s v="Financial"/>
    <s v="Real Estate"/>
    <s v="Real Estate Oper/Develop"/>
    <s v="N"/>
    <s v=" "/>
    <s v="ACTV"/>
    <s v="Corporate"/>
    <s v="Financial"/>
    <s v="Non-Investment Grade"/>
    <x v="4"/>
    <s v="High"/>
    <s v="High"/>
    <s v="Real Estate"/>
    <s v="FINANCIAL"/>
    <s v="#N/A Field Not Applicable"/>
    <n v="3.2365097389589613E-2"/>
    <s v="3/8/2021"/>
    <n v="0.93698630136986305"/>
    <s v="0 - 1 yr"/>
    <n v="5.0542754827578298E-3"/>
    <n v="0.85889387531382089"/>
    <n v="4.6330306536423085E-3"/>
    <n v="10.031298239645555"/>
    <n v="5.4110657411691208E-2"/>
    <s v="XS1784286327"/>
    <s v="-"/>
    <n v="-3.6"/>
    <n v="2735612.0834462205"/>
    <n v="5.0002705954060311E-3"/>
    <s v="0 - 1 yr"/>
    <s v="China"/>
    <n v="1.7241930907556165E-3"/>
  </r>
  <r>
    <s v="Investments"/>
    <s v="Investments Long"/>
    <s v="Avaliable for Trading"/>
    <s v="United States Dollar"/>
    <m/>
    <s v="GEMDAL 5.6 06/14/22"/>
    <s v="XS2009869897"/>
    <n v="800000"/>
    <n v="95.067999999999998"/>
    <n v="736000"/>
    <n v="5712096"/>
    <n v="182956.6"/>
    <n v="103210.2"/>
    <n v="5895052.5999999996"/>
    <n v="1.2999999999999999E-3"/>
    <m/>
    <s v="Investments"/>
    <s v="BBG00PCCVDV7"/>
    <s v="BOND"/>
    <s v="Corp"/>
    <s v="#N/A Field Not Applicable"/>
    <n v="1.1000000000000001"/>
    <n v="3.2548000000000001E-2"/>
    <s v="High"/>
    <n v="2"/>
    <n v="8.6221999999999993E-2"/>
    <s v="High"/>
    <n v="773859.5554179406"/>
    <s v=""/>
    <s v=""/>
    <s v=""/>
    <s v="Ba3"/>
    <s v=""/>
    <n v="0"/>
    <n v="9"/>
    <n v="0"/>
    <n v="9"/>
    <s v="CN"/>
    <s v="Financial"/>
    <s v="Real Estate"/>
    <s v="Real Estate Oper/Develop"/>
    <s v="N"/>
    <s v=" "/>
    <s v="ACTV"/>
    <s v="Corporate"/>
    <s v="Financial"/>
    <s v="Non-Investment Grade"/>
    <x v="4"/>
    <s v="High"/>
    <s v="High"/>
    <s v="#N/A Field Not Applicable"/>
    <s v="SPECIAL PURPOSE"/>
    <s v="#N/A Field Not Applicable"/>
    <n v="1.3733328655326444E-2"/>
    <s v="6/14/2022"/>
    <n v="2.2054794520547945"/>
    <s v="2 - 3 yrs"/>
    <n v="3.365397128626419E-3"/>
    <n v="1.972626330203068"/>
    <n v="3.0100806340921374E-3"/>
    <n v="8.0436733618382465"/>
    <n v="1.2274045541579908E-2"/>
    <s v="XS2009869897"/>
    <s v="-"/>
    <n v="-3.56"/>
    <n v="773859.5554179406"/>
    <n v="1.4144941102379009E-3"/>
    <s v="1 - 2 yrs"/>
    <s v="China"/>
    <n v="1.1202084812106312E-3"/>
  </r>
  <r>
    <s v="Investments"/>
    <s v="Investments Long"/>
    <s v="Avaliable for Trading"/>
    <s v="United States Dollar"/>
    <m/>
    <s v="GEMDAL 6 09/06/21"/>
    <s v="XS1820761556"/>
    <n v="2000000"/>
    <n v="97.942999999999998"/>
    <n v="1940000"/>
    <n v="15040238"/>
    <n v="143081.75"/>
    <n v="64592.5"/>
    <n v="15183319.75"/>
    <n v="3.3999999999999998E-3"/>
    <m/>
    <s v="Investments"/>
    <s v="BBG00LVCGFZ3"/>
    <s v="BOND"/>
    <s v="Corp"/>
    <s v="#N/A Field Not Applicable"/>
    <n v="1.4"/>
    <n v="1.4744E-2"/>
    <s v="High"/>
    <n v="2"/>
    <n v="3.6436999999999997E-2"/>
    <s v="High"/>
    <n v="1967193.3338493891"/>
    <s v=""/>
    <s v=""/>
    <s v="BB-"/>
    <s v="Ba3"/>
    <s v=""/>
    <n v="9"/>
    <n v="9"/>
    <n v="0"/>
    <n v="9"/>
    <s v="CN"/>
    <s v="Financial"/>
    <s v="Real Estate"/>
    <s v="Real Estate Oper/Develop"/>
    <s v="N"/>
    <s v=" "/>
    <s v="ACTV"/>
    <s v="Corporate"/>
    <s v="Financial"/>
    <s v="Non-Investment Grade"/>
    <x v="4"/>
    <s v="High"/>
    <s v="High"/>
    <s v="#N/A Field Not Applicable"/>
    <s v="SPECIAL PURPOSE"/>
    <s v="#N/A Field Not Applicable"/>
    <n v="3.4910872900871921E-2"/>
    <s v="9/6/2021"/>
    <n v="1.4356164383561645"/>
    <s v="1 - 2 yrs"/>
    <n v="5.5687358904282763E-3"/>
    <n v="1.340061153976573"/>
    <n v="5.198078291763544E-3"/>
    <n v="5.0243959760323156"/>
    <n v="1.9489561035879607E-2"/>
    <s v="XS1820761556"/>
    <s v="-"/>
    <n v="-2.27"/>
    <n v="1967193.3338493891"/>
    <n v="3.5957214263852098E-3"/>
    <s v="1 - 2 yrs"/>
    <s v="China"/>
    <n v="1.9344768782868938E-3"/>
  </r>
  <r>
    <s v="Investments"/>
    <s v="Investments Long"/>
    <s v="Avaliable for Trading"/>
    <s v="United States Dollar"/>
    <m/>
    <s v="GRENKO 4.875 08/16/23 REGS"/>
    <s v="USV3854PAA94"/>
    <n v="1000000"/>
    <n v="83.929000000000002"/>
    <n v="800200"/>
    <n v="6203390.46"/>
    <n v="302030.26"/>
    <n v="47233.27"/>
    <n v="6505420.7199999997"/>
    <n v="1.5E-3"/>
    <m/>
    <s v="Investments"/>
    <s v="BBG00DKQ0MQ4"/>
    <s v="BOND"/>
    <s v="Corp"/>
    <s v="#N/A Field Not Applicable"/>
    <n v="1.1000000000000001"/>
    <n v="4.9725999999999999E-2"/>
    <s v="High"/>
    <n v="2"/>
    <n v="0.132101"/>
    <s v="High"/>
    <n v="845383.75069344987"/>
    <s v=""/>
    <s v=""/>
    <s v="B+"/>
    <s v=""/>
    <s v="BB-"/>
    <n v="8"/>
    <n v="0"/>
    <n v="9"/>
    <n v="8"/>
    <s v="IN"/>
    <s v="Utilities"/>
    <s v="Electric"/>
    <s v="Electric-Generation"/>
    <s v="N"/>
    <s v=" "/>
    <s v="ACTV"/>
    <s v="Corporate"/>
    <s v="Non-Financial"/>
    <s v="Non-Investment Grade"/>
    <x v="5"/>
    <s v="High"/>
    <s v="High"/>
    <s v="#N/A Field Not Applicable"/>
    <s v="SPECIAL PURPOSE"/>
    <s v="#N/A Field Not Applicable"/>
    <n v="1.3335676057453191E-2"/>
    <s v="8/16/2023"/>
    <n v="3.3780821917808219"/>
    <s v="3 - 5 yrs"/>
    <n v="5.6311262256300626E-3"/>
    <n v="2.9521893006865199"/>
    <n v="4.9211800217793368E-3"/>
    <n v="9.8369032147160471"/>
    <n v="1.639771933499664E-2"/>
    <s v="USV3854PAA94"/>
    <s v="-"/>
    <n v="-4.01"/>
    <n v="845383.75069344987"/>
    <n v="1.5452291412243362E-3"/>
    <s v="2 - 3 yrs"/>
    <s v="India"/>
    <n v="1.8314285456423388E-3"/>
  </r>
  <r>
    <s v="Investments"/>
    <s v="Investments Long"/>
    <s v="Avaliable for Trading"/>
    <s v="United States Dollar"/>
    <m/>
    <s v="GRNCH V8.125 PERP"/>
    <s v="XS1940394502"/>
    <n v="8900000"/>
    <n v="96.403000000000006"/>
    <n v="9280169.7400000002"/>
    <n v="72756364.530000001"/>
    <n v="-6252957.5"/>
    <n v="825182.64"/>
    <n v="66503407.030000001"/>
    <n v="1.4800000000000001E-2"/>
    <m/>
    <s v="Investments"/>
    <s v="BBG00N6M20C8"/>
    <s v="BOND"/>
    <s v="Corp"/>
    <s v="#N/A Field Not Applicable"/>
    <n v="4.9000000000000004"/>
    <n v="2.0197E-2"/>
    <s v="Medium"/>
    <n v="9.6999999999999993"/>
    <n v="4.9523999999999999E-2"/>
    <s v="Low"/>
    <n v="8686327.059385119"/>
    <s v=""/>
    <s v=""/>
    <s v=""/>
    <s v="Ba3"/>
    <s v=""/>
    <n v="0"/>
    <n v="9"/>
    <n v="0"/>
    <n v="9"/>
    <s v="CN"/>
    <s v="Financial"/>
    <s v="Real Estate"/>
    <s v="Real Estate Oper/Develop"/>
    <s v="N"/>
    <s v=" "/>
    <s v="ACTV"/>
    <s v="Corporate"/>
    <s v="Financial"/>
    <s v="Non-Investment Grade"/>
    <x v="4"/>
    <s v="Medium"/>
    <s v="Low"/>
    <s v="#N/A Field Not Applicable"/>
    <s v="SPECIAL PURPOSE"/>
    <s v="#N/A Field Not Applicable"/>
    <n v="0.15415224051832591"/>
    <s v="8/8/2168"/>
    <n v="148.45479452054795"/>
    <s v="10 yrs or Above"/>
    <n v="2.5427376878922399"/>
    <n v="1.6357756410626969"/>
    <n v="2.8017608895012844E-2"/>
    <n v="10.802740213686675"/>
    <n v="0.18502962307524665"/>
    <s v="XS1940394502"/>
    <s v="-"/>
    <n v="-5.47"/>
    <n v="8686327.059385119"/>
    <n v="1.5877245915073841E-2"/>
    <s v="1 - 2 yrs"/>
    <s v="China"/>
    <n v="1.0426818056620575E-2"/>
  </r>
  <r>
    <s v="Investments"/>
    <s v="Investments Long"/>
    <s v="Avaliable for Trading"/>
    <s v="United States Dollar"/>
    <m/>
    <s v="GRNKEN 5.25 07/24/24 REGS"/>
    <s v="USN3700LAB10"/>
    <n v="400000"/>
    <n v="81.543999999999997"/>
    <n v="304000"/>
    <n v="2356699.2000000002"/>
    <n v="171523.59"/>
    <n v="30293.88"/>
    <n v="2528222.79"/>
    <n v="5.9999999999999995E-4"/>
    <m/>
    <s v="Investments"/>
    <s v="BBG00H5KNJZ7"/>
    <s v="BOND"/>
    <s v="Corp"/>
    <s v="#N/A Field Not Applicable"/>
    <n v="0.8"/>
    <n v="5.0354000000000003E-2"/>
    <s v="High"/>
    <n v="2"/>
    <n v="0.13664299999999999"/>
    <s v="High"/>
    <n v="330084.33254634822"/>
    <s v=""/>
    <s v=""/>
    <s v=""/>
    <s v="Ba1"/>
    <s v="BB"/>
    <n v="0"/>
    <n v="11"/>
    <n v="10"/>
    <n v="10"/>
    <s v="IN"/>
    <s v="Energy"/>
    <s v="Energy-Alternate Sources"/>
    <s v="Energy-Alternate Sources"/>
    <s v="N"/>
    <s v=" "/>
    <s v="ACTV"/>
    <s v="Corporate"/>
    <s v="Non-Financial"/>
    <s v="Non-Investment Grade"/>
    <x v="5"/>
    <s v="High"/>
    <s v="High"/>
    <s v="#N/A Field Not Applicable"/>
    <s v="SPECIAL PURPOSE"/>
    <s v="#N/A Field Not Applicable"/>
    <n v="6.5087271414726918E-3"/>
    <s v="7/24/2024"/>
    <n v="4.3178082191780822"/>
    <s v="3 - 5 yrs"/>
    <n v="2.8103435547838255E-3"/>
    <n v="3.6346408627984181"/>
    <n v="2.3656885633201786E-3"/>
    <n v="4.5"/>
    <n v="2.9289272136627117E-3"/>
    <s v="USN3700LAB10"/>
    <s v="-"/>
    <n v="-4.8600000000000003"/>
    <n v="330084.33254634822"/>
    <n v="6.0334248120313895E-4"/>
    <s v="3 - 5 yrs"/>
    <s v="India"/>
    <n v="8.8039647925695398E-4"/>
  </r>
  <r>
    <s v="Investments"/>
    <s v="Investments Long"/>
    <s v="Avaliable for Trading"/>
    <s v="United States Dollar"/>
    <m/>
    <s v="GRNKEN 5.95 07/29/26 REGS"/>
    <s v="USV3855GAB69"/>
    <n v="300000"/>
    <n v="82.132000000000005"/>
    <n v="210000"/>
    <n v="1627983"/>
    <n v="281857.03999999998"/>
    <n v="23828.17"/>
    <n v="1909840.04"/>
    <n v="4.0000000000000002E-4"/>
    <m/>
    <s v="Investments"/>
    <s v="BBG00PSJPXV8"/>
    <s v="BOND"/>
    <s v="Corp"/>
    <s v="#N/A Field Not Applicable"/>
    <n v="0.7"/>
    <n v="7.2057999999999997E-2"/>
    <s v="High"/>
    <n v="2"/>
    <n v="0.19609099999999999"/>
    <s v="High"/>
    <n v="249470.16681503269"/>
    <s v=""/>
    <s v=""/>
    <s v=""/>
    <s v="Ba1"/>
    <s v="BB-"/>
    <n v="0"/>
    <n v="11"/>
    <n v="9"/>
    <n v="9"/>
    <s v="IN"/>
    <s v="Energy"/>
    <s v="Energy-Alternate Sources"/>
    <s v="Energy-Alternate Sources"/>
    <s v="N"/>
    <s v=" "/>
    <s v="ACTV"/>
    <s v="Corporate"/>
    <s v="Non-Financial"/>
    <s v="Non-Investment Grade"/>
    <x v="5"/>
    <s v="High"/>
    <s v="High"/>
    <s v="#N/A Field Not Applicable"/>
    <s v="UTILITY - ELEC"/>
    <s v="#N/A Field Not Applicable"/>
    <n v="4.427232004287439E-3"/>
    <s v="7/29/2026"/>
    <n v="6.3315068493150681"/>
    <s v="5 - 7 yrs"/>
    <n v="3.1145610842947561E-3"/>
    <n v="4.9414451070522123"/>
    <n v="2.4307693250412367E-3"/>
    <n v="6"/>
    <n v="2.951488002858293E-3"/>
    <s v="USV3855GAB69"/>
    <s v="-"/>
    <n v="-6"/>
    <n v="249470.16681503269"/>
    <n v="4.5599240736822418E-4"/>
    <s v="3 - 5 yrs"/>
    <s v="India"/>
    <n v="9.0461643549927771E-4"/>
  </r>
  <r>
    <s v="Investments"/>
    <s v="Investments Long"/>
    <s v="Avaliable for Trading"/>
    <s v="United States Dollar"/>
    <m/>
    <s v="GRWALL 4.375 05/25/23 EMTN"/>
    <s v="XS1819966687"/>
    <n v="8000000"/>
    <n v="106.64400000000001"/>
    <n v="7964160"/>
    <n v="62517063.170000002"/>
    <n v="3611601.5"/>
    <n v="949509.75"/>
    <n v="66128664.670000002"/>
    <n v="1.47E-2"/>
    <m/>
    <s v="Investments"/>
    <s v="BBG00KVGG4W4"/>
    <s v="BOND"/>
    <s v="Corp"/>
    <s v="#N/A Field Not Applicable"/>
    <n v="5.7"/>
    <n v="9.7590000000000003E-3"/>
    <s v="Medium"/>
    <n v="13.8"/>
    <n v="2.5384E-2"/>
    <s v="Illiquid"/>
    <n v="8654019.9997419715"/>
    <s v=""/>
    <s v=""/>
    <s v="BBB+"/>
    <s v="Baa1"/>
    <s v="A"/>
    <n v="14"/>
    <n v="14"/>
    <n v="16"/>
    <n v="14"/>
    <s v="CN"/>
    <s v="Financial"/>
    <s v="Diversified Finan Serv"/>
    <s v="Invest Mgmnt/Advis Serv"/>
    <s v="N"/>
    <s v=" "/>
    <s v="ACTV"/>
    <s v="Corporate"/>
    <s v="Financial"/>
    <s v="Investment Grade"/>
    <x v="4"/>
    <s v="Medium"/>
    <s v="Illiquid"/>
    <s v="#N/A Field Not Applicable"/>
    <s v="SPECIAL PURPOSE"/>
    <s v="#N/A Field Not Applicable"/>
    <n v="0.23890051426831257"/>
    <s v="5/25/2023"/>
    <n v="3.1506849315068495"/>
    <s v="3 - 5 yrs"/>
    <n v="5.3764303602457826E-2"/>
    <n v="2.8983294678638587"/>
    <n v="4.9458028599405755E-2"/>
    <n v="2.089087211872672"/>
    <n v="3.5648857804838327E-2"/>
    <s v="XS1819966687"/>
    <s v="-"/>
    <n v="-1.71"/>
    <n v="8654019.9997419715"/>
    <n v="1.5818193668106811E-2"/>
    <s v="2 - 3 yrs"/>
    <s v="China"/>
    <n v="1.8405919919059686E-2"/>
  </r>
  <r>
    <s v="Investments"/>
    <s v="Investments Long"/>
    <s v="Avaliable for Trading"/>
    <s v="United States Dollar"/>
    <m/>
    <s v="HONGQI 7.125 07/22/22"/>
    <s v="XS2024786035"/>
    <n v="7450000"/>
    <n v="78.495999999999995"/>
    <n v="7161337.5"/>
    <n v="56088377.890000001"/>
    <n v="-10760317.119999999"/>
    <n v="788589.66"/>
    <n v="45328060.770000003"/>
    <n v="1.01E-2"/>
    <m/>
    <s v="Investments"/>
    <s v="BBG00PQ3PWZ3"/>
    <s v="BOND"/>
    <s v="Corp"/>
    <s v="#N/A Field Not Applicable"/>
    <n v="4.7"/>
    <n v="5.8004E-2"/>
    <s v="Medium"/>
    <n v="7"/>
    <n v="0.17289199999999999"/>
    <s v="Medium"/>
    <n v="5949691.067074351"/>
    <s v=""/>
    <s v=""/>
    <s v=""/>
    <s v="B2"/>
    <s v="BB-"/>
    <n v="0"/>
    <n v="7"/>
    <n v="9"/>
    <n v="7"/>
    <s v="CN"/>
    <s v="Basic Materials"/>
    <s v="Mining"/>
    <s v="Diversified Minerals"/>
    <s v="N"/>
    <s v=" "/>
    <s v="ACTV"/>
    <s v="Corporate"/>
    <s v="Non-Financial"/>
    <s v="Non-Investment Grade"/>
    <x v="4"/>
    <s v="Medium"/>
    <s v="Medium"/>
    <s v="Materials"/>
    <s v="INDUSTRIAL"/>
    <s v="#N/A Field Not Applicable"/>
    <n v="8.2122773907619115E-2"/>
    <s v="7/22/2022"/>
    <n v="2.3095890410958906"/>
    <s v="2 - 3 yrs"/>
    <n v="2.7095694091633236E-2"/>
    <n v="1.9836231667753181"/>
    <n v="2.32715195490007E-2"/>
    <n v="13.217554246014783"/>
    <n v="0.15506603127959473"/>
    <s v="XS2024786035"/>
    <s v="-"/>
    <n v="-5.23"/>
    <n v="5949691.067074351"/>
    <n v="1.0875103774568726E-2"/>
    <s v="1 - 2 yrs"/>
    <s v="China"/>
    <n v="8.6605499115847365E-3"/>
  </r>
  <r>
    <s v="Investments"/>
    <s v="Investments Long"/>
    <s v="Avaliable for Trading"/>
    <s v="United States Dollar"/>
    <m/>
    <s v="HONGSL 9.875 08/27/22"/>
    <s v="XS2125118971"/>
    <n v="3000000"/>
    <n v="94.96"/>
    <n v="2935830"/>
    <n v="22879216.77"/>
    <n v="-797883.09"/>
    <n v="216869.32"/>
    <n v="22081333.68"/>
    <n v="4.8999999999999998E-3"/>
    <m/>
    <s v="Investments"/>
    <s v="BBG00RYDWX24"/>
    <s v="BOND"/>
    <s v="Corp"/>
    <s v="#N/A Field Not Applicable"/>
    <n v="0.5"/>
    <n v="7.5519999999999997E-3"/>
    <s v="High"/>
    <n v="1.8"/>
    <n v="1.9120999999999999E-2"/>
    <s v="High"/>
    <n v="2876779.1668279339"/>
    <s v=""/>
    <s v=""/>
    <s v=""/>
    <s v=""/>
    <s v="B+"/>
    <n v="0"/>
    <n v="0"/>
    <n v="8"/>
    <n v="8"/>
    <s v="CN"/>
    <s v="Financial"/>
    <s v="Real Estate"/>
    <s v="Real Estate Oper/Develop"/>
    <s v="N"/>
    <s v=" "/>
    <s v="ACTV"/>
    <s v="Corporate"/>
    <s v="Financial"/>
    <s v="Non-Investment Grade"/>
    <x v="4"/>
    <s v="High"/>
    <s v="High"/>
    <s v="#N/A Field Not Applicable"/>
    <s v="SPECIAL PURPOSE"/>
    <s v="#N/A Field Not Applicable"/>
    <n v="4.5380331744226725E-2"/>
    <s v="8/27/2022"/>
    <n v="2.408219178082192"/>
    <s v="2 - 3 yrs"/>
    <n v="1.366072315177236E-2"/>
    <n v="2.0332380718807195"/>
    <n v="1.153362727711737E-2"/>
    <n v="12.464555332528002"/>
    <n v="7.0705707004298873E-2"/>
    <s v="XS2125118971"/>
    <s v="-"/>
    <n v="-5.39"/>
    <n v="2876779.1668279339"/>
    <n v="5.258301922414786E-3"/>
    <s v="2 - 3 yrs"/>
    <s v="China"/>
    <n v="4.2922661102884193E-3"/>
  </r>
  <r>
    <s v="Investments"/>
    <s v="Investments Long"/>
    <s v="Avaliable for Trading"/>
    <s v="United States Dollar"/>
    <m/>
    <s v="HONHUA 6.375 08/01/22"/>
    <s v="XS2034868047"/>
    <n v="5000000"/>
    <n v="98.878"/>
    <n v="5022160.71"/>
    <n v="39354455.350000001"/>
    <n v="-1033791.98"/>
    <n v="411777.18"/>
    <n v="38320663.369999997"/>
    <n v="8.5000000000000006E-3"/>
    <m/>
    <s v="Investments"/>
    <s v="BBG00PV1L0V9"/>
    <s v="BOND"/>
    <s v="Corp"/>
    <s v="#N/A Field Not Applicable"/>
    <n v="2.6"/>
    <n v="2.4809000000000001E-2"/>
    <s v="High"/>
    <n v="3.9"/>
    <n v="5.7981999999999999E-2"/>
    <s v="Medium"/>
    <n v="4997025.009353511"/>
    <s v=""/>
    <s v=""/>
    <s v=""/>
    <s v="B1"/>
    <s v="B"/>
    <n v="0"/>
    <n v="8"/>
    <n v="7"/>
    <n v="7"/>
    <s v="CN"/>
    <s v="Energy"/>
    <s v="Oil&amp;Gas Services"/>
    <s v="Oil-Field Services"/>
    <s v="N"/>
    <s v=" "/>
    <s v="ACTV"/>
    <s v="Corporate"/>
    <s v="Non-Financial"/>
    <s v="Non-Investment Grade"/>
    <x v="4"/>
    <s v="High"/>
    <s v="Medium"/>
    <s v="Energy"/>
    <s v="INDUSTRIAL"/>
    <s v="#N/A Field Not Applicable"/>
    <n v="6.8973254313126578E-2"/>
    <s v="8/1/2022"/>
    <n v="2.3369863013698629"/>
    <s v="2 - 3 yrs"/>
    <n v="2.3027078641525232E-2"/>
    <n v="2.0974829251174012"/>
    <n v="2.0667174744509024E-2"/>
    <n v="6.8039401382338838"/>
    <n v="6.7041413355099333E-2"/>
    <s v="XS2034868047"/>
    <s v="-"/>
    <n v="-2.37"/>
    <n v="4997025.009353511"/>
    <n v="9.1337793724400752E-3"/>
    <s v="2 - 3 yrs"/>
    <s v="China"/>
    <n v="7.6913369592983829E-3"/>
  </r>
  <r>
    <s v="Investments"/>
    <s v="Investments Long"/>
    <s v="Avaliable for Trading"/>
    <s v="United States Dollar"/>
    <m/>
    <s v="HPDLF 7.5 06/27/22"/>
    <s v="XS1813551584"/>
    <n v="3000000"/>
    <n v="92.494"/>
    <n v="2998125"/>
    <n v="23441617.23"/>
    <n v="-1933709.93"/>
    <n v="455377.13"/>
    <n v="21507907.300000001"/>
    <n v="4.7999999999999996E-3"/>
    <m/>
    <s v="Investments"/>
    <s v="BBG00PGHK257"/>
    <s v="BOND"/>
    <s v="Corp"/>
    <s v="#N/A Field Not Applicable"/>
    <n v="1.5"/>
    <n v="4.0164999999999999E-2"/>
    <s v="High"/>
    <n v="2"/>
    <n v="0.104675"/>
    <s v="High"/>
    <n v="2833570.0003870418"/>
    <s v=""/>
    <s v=""/>
    <s v=""/>
    <s v=""/>
    <s v="B+"/>
    <n v="0"/>
    <n v="0"/>
    <n v="8"/>
    <n v="8"/>
    <s v="CN"/>
    <s v="Financial"/>
    <s v="Real Estate"/>
    <s v="Real Estate Oper/Develop"/>
    <s v="N"/>
    <s v=" "/>
    <s v="ACTV"/>
    <s v="Corporate"/>
    <s v="Financial"/>
    <s v="Non-Investment Grade"/>
    <x v="4"/>
    <s v="High"/>
    <s v="High"/>
    <s v="Real Estate"/>
    <s v="FINANCIAL"/>
    <s v="#N/A Field Not Applicable"/>
    <n v="4.4698720054984237E-2"/>
    <s v="6/27/2022"/>
    <n v="2.2410958904109588"/>
    <s v="2 - 3 yrs"/>
    <n v="1.2521764727731885E-2"/>
    <n v="1.0848955970726775"/>
    <n v="6.0616805728045727E-3"/>
    <n v="11.959565122821443"/>
    <n v="6.6822156675543601E-2"/>
    <s v="XS1813551584"/>
    <s v="-"/>
    <n v="-2.34"/>
    <n v="2833570.0003870418"/>
    <n v="5.1793223310780574E-3"/>
    <s v="1 - 2 yrs"/>
    <s v="China"/>
    <n v="2.2558684678204372E-3"/>
  </r>
  <r>
    <s v="Investments"/>
    <s v="Investments Long"/>
    <s v="Avaliable for Trading"/>
    <s v="United States Dollar"/>
    <m/>
    <s v="HUAFAI 4.4 03/16/21"/>
    <s v="XS2131434099"/>
    <n v="10000000"/>
    <n v="99.850999999999999"/>
    <n v="10002000"/>
    <n v="77790555"/>
    <n v="-395046.39"/>
    <n v="132629.93"/>
    <n v="77395508.609999999"/>
    <n v="1.7299999999999999E-2"/>
    <m/>
    <s v="Investments"/>
    <s v="BBG00SBW5S62"/>
    <s v="BOND"/>
    <s v="Corp"/>
    <s v="#N/A Field Not Applicable"/>
    <n v="1.9"/>
    <n v="1.4009000000000001E-2"/>
    <s v="High"/>
    <n v="2.6"/>
    <n v="3.7116999999999997E-2"/>
    <s v="High"/>
    <n v="10002211.110681064"/>
    <s v=""/>
    <s v=""/>
    <s v=""/>
    <s v=""/>
    <s v=""/>
    <n v="0"/>
    <n v="0"/>
    <n v="0"/>
    <n v="0"/>
    <s v="CN"/>
    <s v="Financial"/>
    <s v="Real Estate"/>
    <s v="Real Estate Oper/Develop"/>
    <s v="N"/>
    <s v=" "/>
    <s v="ACTV"/>
    <s v="Corporate"/>
    <s v="Financial"/>
    <s v="Non-Investment Grade"/>
    <x v="4"/>
    <s v="High"/>
    <s v="High"/>
    <s v="#N/A Field Not Applicable"/>
    <s v="FINANCIAL"/>
    <s v="#N/A Field Not Applicable"/>
    <n v="0"/>
    <s v="3/16/2021"/>
    <n v="0.95890410958904104"/>
    <s v="0 - 1 yr"/>
    <n v="1.8912213022618252E-2"/>
    <n v="0.91278736873621558"/>
    <n v="1.8002664697404268E-2"/>
    <n v="4.5890311135574606"/>
    <n v="9.0508251157894112E-2"/>
    <s v="XS2131434099"/>
    <s v="-"/>
    <n v="-1"/>
    <n v="10002211.110681064"/>
    <n v="1.8282475943291118E-2"/>
    <s v="0 - 1 yr"/>
    <s v="China"/>
    <n v="6.6997333725931632E-3"/>
  </r>
  <r>
    <s v="Investments"/>
    <s v="Investments Long"/>
    <s v="Avaliable for Trading"/>
    <s v="United States Dollar"/>
    <m/>
    <s v="HYSAN V4.1 PERP"/>
    <s v="XS2123115029"/>
    <n v="1500000"/>
    <n v="94.36"/>
    <n v="1500000"/>
    <n v="11686650.01"/>
    <n v="-715743.15"/>
    <n v="37076.1"/>
    <n v="10970906.859999999"/>
    <n v="2.3999999999999998E-3"/>
    <m/>
    <s v="Investments"/>
    <s v="BBG00RYDYKF6"/>
    <s v="BOND"/>
    <s v="Corp"/>
    <s v="#N/A Field Not Applicable"/>
    <n v="0.3"/>
    <n v="3.4416000000000002E-2"/>
    <s v="High"/>
    <n v="1.8"/>
    <n v="9.4814999999999997E-2"/>
    <s v="High"/>
    <n v="1420183.3236572873"/>
    <s v=""/>
    <s v=""/>
    <s v=""/>
    <s v="Baa2"/>
    <s v="BBB"/>
    <n v="0"/>
    <n v="13"/>
    <n v="13"/>
    <n v="13"/>
    <s v="HK"/>
    <s v="Financial"/>
    <s v="Real Estate"/>
    <s v="Real Estate Oper/Develop"/>
    <s v="N"/>
    <s v=" "/>
    <s v="ACTV"/>
    <s v="Corporate"/>
    <s v="Financial"/>
    <s v="Investment Grade"/>
    <x v="1"/>
    <s v="High"/>
    <s v="High"/>
    <s v="#N/A Field Not Applicable"/>
    <s v="SPECIAL PURPOSE"/>
    <s v="#N/A Field Not Applicable"/>
    <n v="3.6404822292600968E-2"/>
    <s v="9/3/2168"/>
    <n v="148.52602739726026"/>
    <s v="10 yrs or Above"/>
    <n v="0.41592797178640323"/>
    <n v="4.7360549210396705"/>
    <n v="1.3262710597572884E-2"/>
    <n v="3.6422060084081784"/>
    <n v="1.0199527883780249E-2"/>
    <s v="XS2123115029"/>
    <s v="-"/>
    <n v="-5.98"/>
    <n v="1420183.3236572873"/>
    <n v="2.5958727687821841E-3"/>
    <s v="3 - 5 yrs"/>
    <s v="Hong Kong"/>
    <n v="4.9357484736365694E-3"/>
  </r>
  <r>
    <s v="Investments"/>
    <s v="Investments Long"/>
    <s v="Avaliable for Trading"/>
    <s v="United States Dollar"/>
    <m/>
    <s v="ICBCAS 1.77 05/20/20 FXCD"/>
    <s v="XS2122176113"/>
    <n v="5000000"/>
    <n v="99.972899999999996"/>
    <n v="4997512.25"/>
    <n v="38832669.189999998"/>
    <n v="-87668.13"/>
    <n v="0"/>
    <n v="38745001.060000002"/>
    <n v="8.6E-3"/>
    <m/>
    <s v="Investments"/>
    <s v="BBG00RPXTZN6"/>
    <s v="BOND"/>
    <s v="Corp"/>
    <s v="#N/A Field Not Applicable"/>
    <n v="1.8"/>
    <n v="4.6900000000000002E-4"/>
    <s v="High"/>
    <n v="3.5"/>
    <n v="1.1689999999999999E-3"/>
    <s v="Medium"/>
    <n v="4998645.4903175039"/>
    <s v=""/>
    <s v=""/>
    <s v=""/>
    <s v=""/>
    <s v=""/>
    <n v="0"/>
    <n v="0"/>
    <n v="0"/>
    <n v="0"/>
    <s v="MO"/>
    <s v="Financial"/>
    <s v="Banks"/>
    <s v="Commer Banks Non-US"/>
    <s v="N"/>
    <s v=" "/>
    <s v="ACTV"/>
    <s v="Corporate"/>
    <s v="Financial"/>
    <s v="Non-Investment Grade"/>
    <x v="8"/>
    <s v="High"/>
    <s v="Medium"/>
    <s v="#N/A Field Not Applicable"/>
    <s v="BANK"/>
    <s v="#N/A Field Not Applicable"/>
    <n v="0"/>
    <s v="5/20/2020"/>
    <n v="0.13698630136986301"/>
    <s v="0 - 1 yr"/>
    <n v="1.3502078589186443E-3"/>
    <n v="0.12184398851806778"/>
    <n v="1.200957389271344E-3"/>
    <n v="2.5398376985454685"/>
    <n v="2.5033954392963725E-2"/>
    <s v="XS2122176113"/>
    <s v="-"/>
    <n v="-0.08"/>
    <n v="4998645.4903175039"/>
    <n v="9.1367413579363753E-3"/>
    <s v="0 - 1 yr"/>
    <s v="Macau"/>
    <n v="4.4693907458731461E-4"/>
  </r>
  <r>
    <s v="Investments"/>
    <s v="Investments Long"/>
    <s v="Avaliable for Trading"/>
    <s v="United States Dollar"/>
    <m/>
    <s v="JFCPM V3.9 PERP"/>
    <s v="XS2099563228"/>
    <n v="0"/>
    <s v="NA"/>
    <n v="0"/>
    <n v="0"/>
    <n v="-0.08"/>
    <n v="456798.16"/>
    <n v="-0.08"/>
    <n v="0"/>
    <m/>
    <s v="Investments"/>
    <s v="BBG00RDLNDQ7"/>
    <s v="BOND"/>
    <s v="Corp"/>
    <s v="#N/A Field Not Applicable"/>
    <n v="0.1"/>
    <n v="3.6658999999999997E-2"/>
    <s v="High"/>
    <n v="0.1"/>
    <n v="0.103697"/>
    <s v="High"/>
    <n v="58933.323012217617"/>
    <s v=""/>
    <s v=""/>
    <s v=""/>
    <s v=""/>
    <s v=""/>
    <n v="0"/>
    <n v="0"/>
    <n v="0"/>
    <n v="0"/>
    <s v="PH"/>
    <s v="Consumer, Cyclical"/>
    <s v="Retail"/>
    <s v="Retail-Restaurants"/>
    <s v="N"/>
    <s v=" "/>
    <s v="ACTV"/>
    <s v="Corporate"/>
    <s v="Non-Financial"/>
    <s v="Non-Investment Grade"/>
    <x v="3"/>
    <s v="High"/>
    <s v="High"/>
    <s v="#N/A Field Not Applicable"/>
    <s v="INDUSTRIAL"/>
    <s v="#N/A Field Not Applicable"/>
    <n v="0"/>
    <s v="7/23/2168"/>
    <n v="148.41095890410958"/>
    <s v="10 yrs or Above"/>
    <n v="1.7246384150054535E-2"/>
    <n v="4.1323656875047412"/>
    <n v="4.802095924820382E-4"/>
    <n v="6.083409452555367"/>
    <n v="7.0693442812825604E-4"/>
    <s v="XS2099563228"/>
    <s v="-"/>
    <s v="-"/>
    <n v="58933.323012217617"/>
    <n v="1.0772088774236126E-4"/>
    <s v="3 - 5 yrs"/>
    <s v="Philippines"/>
    <n v="1.7871111230856622E-4"/>
  </r>
  <r>
    <s v="Investments"/>
    <s v="Investments Long"/>
    <s v="Avaliable for Trading"/>
    <s v="United States Dollar"/>
    <m/>
    <s v="JIAPRO 4.85 02/21/22"/>
    <s v="XS1917106061"/>
    <n v="1000000"/>
    <n v="99.475999999999999"/>
    <n v="1000000"/>
    <n v="7847200"/>
    <n v="-136715.76"/>
    <n v="41769.82"/>
    <n v="7710484.2400000002"/>
    <n v="1.6999999999999999E-3"/>
    <m/>
    <s v="Investments"/>
    <s v="BBG00NBG3YQ5"/>
    <s v="BOND"/>
    <s v="Corp"/>
    <s v="#N/A Field Not Applicable"/>
    <n v="0.8"/>
    <n v="5.9959999999999996E-3"/>
    <s v="High"/>
    <n v="2"/>
    <n v="1.4433E-2"/>
    <s v="High"/>
    <n v="1000148.8898349912"/>
    <s v=""/>
    <s v=""/>
    <s v=""/>
    <s v=""/>
    <s v="A-"/>
    <n v="0"/>
    <n v="0"/>
    <n v="15"/>
    <n v="15"/>
    <s v="CN"/>
    <s v="Industrial"/>
    <s v="Metal Fabricate/Hardware"/>
    <s v="Metal Products-Distrib"/>
    <s v="N"/>
    <s v=" "/>
    <s v="ACTV"/>
    <s v="Corporate"/>
    <s v="Non-Financial"/>
    <s v="Investment Grade"/>
    <x v="4"/>
    <s v="High"/>
    <s v="High"/>
    <s v="#N/A Field Not Applicable"/>
    <s v="INDUSTRIAL"/>
    <s v="Chengtou Bond"/>
    <n v="2.9581968528612643E-2"/>
    <s v="2/21/2022"/>
    <n v="1.8958904109589041"/>
    <s v="1 - 2 yrs"/>
    <n v="3.7389446980456531E-3"/>
    <n v="1.7575156432094741"/>
    <n v="3.4660514963978043E-3"/>
    <n v="5.3689176473707318"/>
    <n v="1.0588210191815602E-2"/>
    <s v="XS1917106061"/>
    <s v="-"/>
    <n v="-1.61"/>
    <n v="1000148.8898349912"/>
    <n v="1.8281155852220841E-3"/>
    <s v="1 - 2 yrs"/>
    <s v="China"/>
    <n v="1.2898990939319707E-3"/>
  </r>
  <r>
    <s v="Investments"/>
    <s v="Investments Long"/>
    <s v="Avaliable for Trading"/>
    <s v="United States Dollar"/>
    <m/>
    <s v="JINKE 8.375 06/20/21"/>
    <s v="XS2010988074"/>
    <n v="12000000"/>
    <n v="94.885999999999996"/>
    <n v="11911104.279999999"/>
    <n v="93226207.200000003"/>
    <n v="-4969702.4000000004"/>
    <n v="2185487.2400000002"/>
    <n v="88256504.799999997"/>
    <n v="1.9699999999999999E-2"/>
    <m/>
    <s v="Investments"/>
    <s v="BBG00PDL9DC2"/>
    <s v="BOND"/>
    <s v="Corp"/>
    <s v="#N/A Field Not Applicable"/>
    <n v="3"/>
    <n v="1.3257E-2"/>
    <s v="High"/>
    <n v="10.4"/>
    <n v="3.1556000000000001E-2"/>
    <s v="Illiquid"/>
    <n v="11668278.314045748"/>
    <s v=""/>
    <s v=""/>
    <s v="B"/>
    <s v="B2"/>
    <s v=""/>
    <n v="7"/>
    <n v="7"/>
    <n v="0"/>
    <n v="7"/>
    <s v="CN"/>
    <s v="Financial"/>
    <s v="Real Estate"/>
    <s v="Real Estate Oper/Develop"/>
    <s v="N"/>
    <s v=" "/>
    <s v="ACTV"/>
    <s v="Corporate"/>
    <s v="Financial"/>
    <s v="Non-Investment Grade"/>
    <x v="4"/>
    <s v="High"/>
    <s v="Illiquid"/>
    <s v="Real Estate"/>
    <s v="INDUSTRIAL"/>
    <s v="#N/A Field Not Applicable"/>
    <n v="0.16105565332264327"/>
    <s v="6/20/2021"/>
    <n v="1.2219178082191782"/>
    <s v="1 - 2 yrs"/>
    <n v="2.8113824415616006E-2"/>
    <n v="1.0743485523991192"/>
    <n v="2.4718558286125167E-2"/>
    <n v="12.970070608653057"/>
    <n v="0.29841474221677589"/>
    <s v="XS2010988074"/>
    <s v="-"/>
    <n v="-3.03"/>
    <n v="11668278.314045748"/>
    <n v="2.1327785948085359E-2"/>
    <s v="1 - 2 yrs"/>
    <s v="China"/>
    <n v="9.1990687298542182E-3"/>
  </r>
  <r>
    <s v="Investments"/>
    <s v="Investments Long"/>
    <s v="Avaliable for Trading"/>
    <s v="United States Dollar"/>
    <m/>
    <s v="KIJAIJ 6.5 10/05/23 REGS"/>
    <s v="USN4717BAD84"/>
    <n v="3000000"/>
    <n v="66.06"/>
    <n v="2804148.64"/>
    <n v="21789537.59"/>
    <n v="-6428407.6100000003"/>
    <n v="738938.2"/>
    <n v="15361129.98"/>
    <n v="3.3999999999999998E-3"/>
    <m/>
    <s v="Investments"/>
    <s v="BBG00DXBXRD0"/>
    <s v="BOND"/>
    <s v="Corp"/>
    <s v="#N/A Field Not Applicable"/>
    <n v="1.6"/>
    <n v="8.3823999999999996E-2"/>
    <s v="High"/>
    <n v="2"/>
    <n v="0.21872"/>
    <s v="High"/>
    <n v="2077133.3333333333"/>
    <s v=""/>
    <s v=""/>
    <s v="B"/>
    <s v=""/>
    <s v="B"/>
    <n v="7"/>
    <n v="0"/>
    <n v="7"/>
    <n v="7"/>
    <s v="ID"/>
    <s v="Financial"/>
    <s v="Real Estate"/>
    <s v="Real Estate Oper/Develop"/>
    <s v="N"/>
    <s v=" "/>
    <s v="ACTV"/>
    <s v="Corporate"/>
    <s v="Financial"/>
    <s v="Non-Investment Grade"/>
    <x v="3"/>
    <s v="High"/>
    <s v="High"/>
    <s v="#N/A Field Not Applicable"/>
    <s v="SPECIAL PURPOSE"/>
    <s v="#N/A Field Not Applicable"/>
    <n v="2.8670387955654318E-2"/>
    <s v="10/5/2023"/>
    <n v="3.515068493150685"/>
    <s v="3 - 5 yrs"/>
    <n v="1.4396911055618198E-2"/>
    <n v="2.8920919745104938"/>
    <n v="1.184534270180717E-2"/>
    <n v="16.101766172402002"/>
    <n v="6.5949126133428071E-2"/>
    <s v="USN4717BAD84"/>
    <s v="-"/>
    <n v="-10.15"/>
    <n v="2077133.3333333333"/>
    <n v="3.7966745330062306E-3"/>
    <s v="2 - 3 yrs"/>
    <s v="Indonesia"/>
    <n v="4.4082717277150116E-3"/>
  </r>
  <r>
    <s v="Investments"/>
    <s v="Investments Long"/>
    <s v="Avaliable for Trading"/>
    <s v="United States Dollar"/>
    <m/>
    <s v="KWGPRO 6 01/11/22"/>
    <s v="XS1545506401"/>
    <n v="3000000"/>
    <n v="94.521000000000001"/>
    <n v="3022950"/>
    <n v="23485964.989999998"/>
    <n v="-1506713.3"/>
    <n v="310044"/>
    <n v="21979251.690000001"/>
    <n v="4.8999999999999998E-3"/>
    <m/>
    <s v="Investments"/>
    <s v="BBG00FP0FP88"/>
    <s v="BOND"/>
    <s v="Corp"/>
    <s v="#N/A Field Not Applicable"/>
    <n v="2.4"/>
    <n v="3.6274000000000001E-2"/>
    <s v="High"/>
    <n v="3.8"/>
    <n v="9.4210000000000002E-2"/>
    <s v="Medium"/>
    <n v="2875629.9996129582"/>
    <s v=""/>
    <s v=""/>
    <s v="B"/>
    <s v=""/>
    <s v="BB-"/>
    <n v="7"/>
    <n v="0"/>
    <n v="9"/>
    <n v="7"/>
    <s v="CN"/>
    <s v="Financial"/>
    <s v="Real Estate"/>
    <s v="Real Estate Oper/Develop"/>
    <s v="N"/>
    <s v=" "/>
    <s v="ACTV"/>
    <s v="Corporate"/>
    <s v="Financial"/>
    <s v="Non-Investment Grade"/>
    <x v="4"/>
    <s v="High"/>
    <s v="Medium"/>
    <s v="Real Estate"/>
    <s v="FINANCIAL"/>
    <s v="#N/A Field Not Applicable"/>
    <n v="3.9691928477944734E-2"/>
    <s v="1/11/2022"/>
    <n v="1.7835616438356163"/>
    <s v="1 - 2 yrs"/>
    <n v="1.011328588616126E-2"/>
    <n v="1.5765979514898567"/>
    <n v="8.9397447327156532E-3"/>
    <n v="12.165972516860531"/>
    <n v="6.898441585769563E-2"/>
    <s v="XS1545506401"/>
    <s v="-"/>
    <n v="-3.33"/>
    <n v="2875629.9996129582"/>
    <n v="5.2562014246618259E-3"/>
    <s v="1 - 2 yrs"/>
    <s v="China"/>
    <n v="3.3269467123316957E-3"/>
  </r>
  <r>
    <s v="Investments"/>
    <s v="Investments Long"/>
    <s v="Avaliable for Trading"/>
    <s v="United States Dollar"/>
    <m/>
    <s v="KWGPRO 7.4 03/05/24 EMTN"/>
    <s v="XS2034561584"/>
    <n v="3300000"/>
    <n v="91.045000000000002"/>
    <n v="3224150"/>
    <n v="25034459.23"/>
    <n v="-1746395.55"/>
    <n v="82850.649999999994"/>
    <n v="23288063.68"/>
    <n v="5.1999999999999998E-3"/>
    <m/>
    <s v="Investments"/>
    <s v="BBG00PSJ40G0"/>
    <s v="BOND"/>
    <s v="Corp"/>
    <s v="#N/A Field Not Applicable"/>
    <n v="1.6"/>
    <n v="5.4465E-2"/>
    <s v="High"/>
    <n v="2"/>
    <n v="0.14591999999999999"/>
    <s v="High"/>
    <n v="3015173.8888673862"/>
    <s v=""/>
    <s v=""/>
    <s v=""/>
    <s v=""/>
    <s v="BB-"/>
    <n v="0"/>
    <n v="0"/>
    <n v="9"/>
    <n v="9"/>
    <s v="CN"/>
    <s v="Financial"/>
    <s v="Real Estate"/>
    <s v="Real Estate Oper/Develop"/>
    <s v="N"/>
    <s v=" "/>
    <s v="ACTV"/>
    <s v="Corporate"/>
    <s v="Financial"/>
    <s v="Non-Investment Grade"/>
    <x v="4"/>
    <s v="High"/>
    <s v="High"/>
    <s v="Real Estate"/>
    <s v="FINANCIAL"/>
    <s v="#N/A Field Not Applicable"/>
    <n v="5.35089005218925E-2"/>
    <s v="3/5/2024"/>
    <n v="3.9315068493150687"/>
    <s v="3 - 5 yrs"/>
    <n v="2.3374512100126556E-2"/>
    <n v="3.2266398223194255"/>
    <n v="1.9183772141385225E-2"/>
    <n v="11.375637711877388"/>
    <n v="6.763309629977067E-2"/>
    <s v="XS2034561584"/>
    <s v="-"/>
    <n v="-7.08"/>
    <n v="3015173.8888673862"/>
    <n v="5.5112658069365614E-3"/>
    <s v="3 - 5 yrs"/>
    <s v="China"/>
    <n v="7.1392852440557465E-3"/>
  </r>
  <r>
    <s v="Investments"/>
    <s v="Investments Long"/>
    <s v="Avaliable for Trading"/>
    <s v="United States Dollar"/>
    <m/>
    <s v="LGUANG 9 03/04/21"/>
    <s v="XS2127887169"/>
    <n v="3500000"/>
    <n v="98.441000000000003"/>
    <n v="3500000"/>
    <n v="27277600"/>
    <n v="-571688.77"/>
    <n v="176337.52"/>
    <n v="26705911.23"/>
    <n v="6.0000000000000001E-3"/>
    <m/>
    <s v="Investments"/>
    <s v="BBG00S0GV953"/>
    <s v="BOND"/>
    <s v="Corp"/>
    <s v="#N/A Field Not Applicable"/>
    <n v="0.5"/>
    <n v="5.4980000000000003E-3"/>
    <s v="High"/>
    <n v="2"/>
    <n v="1.218E-2"/>
    <s v="High"/>
    <n v="3468184.999548451"/>
    <s v=""/>
    <s v=""/>
    <s v=""/>
    <s v=""/>
    <s v=""/>
    <n v="0"/>
    <n v="0"/>
    <n v="0"/>
    <n v="0"/>
    <s v="CN"/>
    <s v="Financial"/>
    <s v="Real Estate"/>
    <s v="Real Estate Oper/Develop"/>
    <s v="N"/>
    <s v=" "/>
    <s v="ACTV"/>
    <s v="Corporate"/>
    <s v="Financial"/>
    <s v="Non-Investment Grade"/>
    <x v="4"/>
    <s v="High"/>
    <s v="High"/>
    <s v="#N/A Field Not Applicable"/>
    <s v="SPECIAL PURPOSE"/>
    <s v="#N/A Field Not Applicable"/>
    <n v="0"/>
    <s v="3/4/2021"/>
    <n v="0.92602739726027394"/>
    <s v="0 - 1 yr"/>
    <n v="6.3328214823632238E-3"/>
    <n v="0.84396455112656876"/>
    <n v="5.7716184807706811E-3"/>
    <n v="10.796685025350671"/>
    <n v="7.3835265640237499E-2"/>
    <s v="XS2127887169"/>
    <s v="-"/>
    <n v="-1.72"/>
    <n v="3468184.999548451"/>
    <n v="6.3392991928971796E-3"/>
    <s v="0 - 1 yr"/>
    <s v="China"/>
    <n v="2.1479211883044299E-3"/>
  </r>
  <r>
    <s v="Investments"/>
    <s v="Investments Long"/>
    <s v="Avaliable for Trading"/>
    <s v="United States Dollar"/>
    <m/>
    <s v="LOGPH 5.25 02/23/23"/>
    <s v="XS1618597535"/>
    <n v="2000000"/>
    <n v="92.837999999999994"/>
    <n v="1996877.5"/>
    <n v="15520730.369999999"/>
    <n v="-1128797.93"/>
    <n v="289374.40000000002"/>
    <n v="14391932.439999999"/>
    <n v="3.2000000000000002E-3"/>
    <m/>
    <s v="Investments"/>
    <s v="BBG00GQ752P3"/>
    <s v="BOND"/>
    <s v="Corp"/>
    <s v="#N/A Field Not Applicable"/>
    <n v="1.4"/>
    <n v="4.8210000000000003E-2"/>
    <s v="High"/>
    <n v="2"/>
    <n v="0.12983"/>
    <s v="High"/>
    <n v="1894093.3338493891"/>
    <s v=""/>
    <s v=""/>
    <s v=""/>
    <s v="B1"/>
    <s v="BB"/>
    <n v="0"/>
    <n v="8"/>
    <n v="10"/>
    <n v="8"/>
    <s v="CN"/>
    <s v="Financial"/>
    <s v="Real Estate"/>
    <s v="Real Estate Oper/Develop"/>
    <s v="N"/>
    <s v=" "/>
    <s v="ACTV"/>
    <s v="Corporate"/>
    <s v="Financial"/>
    <s v="Non-Investment Grade"/>
    <x v="4"/>
    <s v="High"/>
    <s v="High"/>
    <s v="Real Estate"/>
    <s v="FINANCIAL"/>
    <s v="#N/A Field Not Applicable"/>
    <n v="2.9878756366061649E-2"/>
    <s v="2/23/2023"/>
    <n v="2.9013698630136986"/>
    <s v="2 - 3 yrs"/>
    <n v="1.0836165408102495E-2"/>
    <n v="2.5453651523941603"/>
    <n v="9.5065431563810636E-3"/>
    <n v="8.069573080128281"/>
    <n v="3.0138601004910323E-2"/>
    <s v="XS1618597535"/>
    <s v="-"/>
    <n v="-4.53"/>
    <n v="1894093.3338493891"/>
    <n v="3.4621060710736803E-3"/>
    <s v="2 - 3 yrs"/>
    <s v="China"/>
    <n v="3.5378820587591542E-3"/>
  </r>
  <r>
    <s v="Investments"/>
    <s v="Investments Long"/>
    <s v="Avaliable for Trading"/>
    <s v="United States Dollar"/>
    <m/>
    <s v="LOGPH 5.75 01/14/25"/>
    <s v="XS2099677747"/>
    <n v="800000"/>
    <n v="88.882000000000005"/>
    <n v="680000"/>
    <n v="5271836"/>
    <n v="239630.16"/>
    <n v="76262.210000000006"/>
    <n v="5511466.1600000001"/>
    <n v="1.1999999999999999E-3"/>
    <m/>
    <s v="Investments"/>
    <s v="BBG00RB0MG61"/>
    <s v="BOND"/>
    <s v="Corp"/>
    <s v="#N/A Field Not Applicable"/>
    <n v="0.7"/>
    <n v="7.0760000000000003E-2"/>
    <s v="High"/>
    <n v="2"/>
    <n v="0.19515199999999999"/>
    <s v="High"/>
    <n v="720894.88846744329"/>
    <s v=""/>
    <s v=""/>
    <s v=""/>
    <s v=""/>
    <s v="BB"/>
    <n v="0"/>
    <n v="0"/>
    <n v="10"/>
    <n v="10"/>
    <s v="CN"/>
    <s v="Financial"/>
    <s v="Real Estate"/>
    <s v="Real Estate Oper/Develop"/>
    <s v="N"/>
    <s v=" "/>
    <s v="ACTV"/>
    <s v="Corporate"/>
    <s v="Financial"/>
    <s v="Non-Investment Grade"/>
    <x v="4"/>
    <s v="High"/>
    <s v="High"/>
    <s v="Real Estate"/>
    <s v="FINANCIAL"/>
    <s v="#N/A Field Not Applicable"/>
    <n v="1.4214876818057226E-2"/>
    <s v="1/14/2025"/>
    <n v="4.7945205479452051"/>
    <s v="3 - 5 yrs"/>
    <n v="6.8153518990685322E-3"/>
    <n v="3.84411914235536"/>
    <n v="5.4643680082517229E-3"/>
    <n v="12.371930808483592"/>
    <n v="1.7586547244412141E-2"/>
    <s v="XS2099677747"/>
    <s v="-"/>
    <n v="-7.18"/>
    <n v="720894.88846744329"/>
    <n v="1.3176829913111221E-3"/>
    <s v="3 - 5 yrs"/>
    <s v="China"/>
    <n v="2.0335772131718434E-3"/>
  </r>
  <r>
    <s v="Investments"/>
    <s v="Investments Long"/>
    <s v="Avaliable for Trading"/>
    <s v="United States Dollar"/>
    <m/>
    <s v="LOGPH 6.375 03/07/21"/>
    <s v="XS1772325210"/>
    <n v="2000000"/>
    <n v="98.751000000000005"/>
    <n v="2025000"/>
    <n v="15886732.5"/>
    <n v="-578154.98"/>
    <n v="65884.350000000006"/>
    <n v="15308577.52"/>
    <n v="3.3999999999999998E-3"/>
    <m/>
    <s v="Investments"/>
    <s v="BBG00K6FDF25"/>
    <s v="BOND"/>
    <s v="Corp"/>
    <s v="#N/A Field Not Applicable"/>
    <n v="1.5"/>
    <n v="2.7715E-2"/>
    <s v="High"/>
    <n v="2"/>
    <n v="7.1066000000000004E-2"/>
    <s v="High"/>
    <n v="1983519.999741972"/>
    <s v=""/>
    <s v=""/>
    <s v=""/>
    <s v=""/>
    <s v="BB"/>
    <n v="0"/>
    <n v="0"/>
    <n v="10"/>
    <n v="10"/>
    <s v="CN"/>
    <s v="Financial"/>
    <s v="Real Estate"/>
    <s v="Real Estate Oper/Develop"/>
    <s v="N"/>
    <s v=" "/>
    <s v="ACTV"/>
    <s v="Corporate"/>
    <s v="Financial"/>
    <s v="Non-Investment Grade"/>
    <x v="4"/>
    <s v="High"/>
    <s v="High"/>
    <s v="Real Estate"/>
    <s v="FINANCIAL"/>
    <s v="#N/A Field Not Applicable"/>
    <n v="3.9111794123587243E-2"/>
    <s v="3/7/2021"/>
    <n v="0.9342465753424658"/>
    <s v="0 - 1 yr"/>
    <n v="3.6540059715460958E-3"/>
    <n v="0.842043506707019"/>
    <n v="3.2933832277428385E-3"/>
    <n v="14.574493536665617"/>
    <n v="5.700345906616186E-2"/>
    <s v="XS1772325210"/>
    <s v="-"/>
    <n v="-1.55"/>
    <n v="1983519.999741972"/>
    <n v="3.6255640154999854E-3"/>
    <s v="0 - 1 yr"/>
    <s v="China"/>
    <n v="1.2256401977440994E-3"/>
  </r>
  <r>
    <s v="Investments"/>
    <s v="Investments Long"/>
    <s v="Avaliable for Trading"/>
    <s v="United States Dollar"/>
    <m/>
    <s v="LOGPH 6.875 04/24/21"/>
    <s v="XS1808311424"/>
    <n v="1000000"/>
    <n v="98.558999999999997"/>
    <n v="955000"/>
    <n v="7414524.5"/>
    <n v="224882.15"/>
    <n v="232398.43"/>
    <n v="7639406.6500000004"/>
    <n v="1.6999999999999999E-3"/>
    <m/>
    <s v="Investments"/>
    <s v="BBG00KNCMN62"/>
    <s v="BOND"/>
    <s v="Corp"/>
    <s v="#N/A Field Not Applicable"/>
    <n v="0.8"/>
    <n v="2.3413E-2"/>
    <s v="High"/>
    <n v="2"/>
    <n v="6.1996999999999997E-2"/>
    <s v="High"/>
    <n v="1015572.6387222458"/>
    <s v=""/>
    <s v=""/>
    <s v=""/>
    <s v=""/>
    <s v="BB"/>
    <n v="0"/>
    <n v="0"/>
    <n v="10"/>
    <n v="10"/>
    <s v="CN"/>
    <s v="Financial"/>
    <s v="Real Estate"/>
    <s v="Real Estate Oper/Develop"/>
    <s v="N"/>
    <s v=" "/>
    <s v="ACTV"/>
    <s v="Corporate"/>
    <s v="Financial"/>
    <s v="Non-Investment Grade"/>
    <x v="4"/>
    <s v="High"/>
    <s v="High"/>
    <s v="Real Estate"/>
    <s v="FINANCIAL"/>
    <s v="#N/A Field Not Applicable"/>
    <n v="2.0025443639801892E-2"/>
    <s v="4/24/2021"/>
    <n v="1.0657534246575342"/>
    <s v="1 - 2 yrs"/>
    <n v="2.1342185139405306E-3"/>
    <n v="0.94183840816124176"/>
    <n v="1.8860731960433678E-3"/>
    <n v="12.081685871033622"/>
    <n v="2.4194111948417463E-2"/>
    <s v="XS1808311424"/>
    <s v="-"/>
    <n v="-1.81"/>
    <n v="1015572.6387222458"/>
    <n v="1.8563077834136894E-3"/>
    <s v="0 - 1 yr"/>
    <s v="China"/>
    <n v="7.0190650923511119E-4"/>
  </r>
  <r>
    <s v="Investments"/>
    <s v="Investments Long"/>
    <s v="Avaliable for Trading"/>
    <s v="United States Dollar"/>
    <m/>
    <s v="LOGPH 7.5 08/25/22"/>
    <s v="XS1954961295"/>
    <n v="5000000"/>
    <n v="97.905000000000001"/>
    <n v="4991125"/>
    <n v="39175468.350000001"/>
    <n v="-1231896.07"/>
    <n v="290666.25"/>
    <n v="37943572.280000001"/>
    <n v="8.5000000000000006E-3"/>
    <m/>
    <s v="Investments"/>
    <s v="BBG00NDM7WZ0"/>
    <s v="BOND"/>
    <s v="Corp"/>
    <s v="#N/A Field Not Applicable"/>
    <n v="3.6"/>
    <n v="4.0744000000000002E-2"/>
    <s v="Medium"/>
    <n v="7.7"/>
    <n v="0.105405"/>
    <s v="Low"/>
    <n v="4932750.0006450694"/>
    <s v=""/>
    <s v=""/>
    <s v="BB-"/>
    <s v=""/>
    <s v="BB"/>
    <n v="9"/>
    <n v="0"/>
    <n v="10"/>
    <n v="9"/>
    <s v="CN"/>
    <s v="Financial"/>
    <s v="Real Estate"/>
    <s v="Real Estate Oper/Develop"/>
    <s v="N"/>
    <s v=" "/>
    <s v="ACTV"/>
    <s v="Corporate"/>
    <s v="Financial"/>
    <s v="Non-Investment Grade"/>
    <x v="4"/>
    <s v="Medium"/>
    <s v="Low"/>
    <s v="Real Estate"/>
    <s v="FINANCIAL"/>
    <s v="#N/A Field Not Applicable"/>
    <n v="8.7539239464238777E-2"/>
    <s v="8/25/2022"/>
    <n v="2.4027397260273973"/>
    <s v="2 - 3 yrs"/>
    <n v="2.3370445360772422E-2"/>
    <n v="2.0729197075438344"/>
    <n v="2.016242385209106E-2"/>
    <n v="12.327363185990903"/>
    <n v="0.1199031108778999"/>
    <s v="XS1954961295"/>
    <s v="-"/>
    <n v="-3.87"/>
    <n v="4932750.0006450694"/>
    <n v="9.0162947195504706E-3"/>
    <s v="2 - 3 yrs"/>
    <s v="China"/>
    <n v="7.5034927453656308E-3"/>
  </r>
  <r>
    <s v="Investments"/>
    <s v="Investments Long"/>
    <s v="Avaliable for Trading"/>
    <s v="United States Dollar"/>
    <m/>
    <s v="LOGPH 7.5 08/27/21"/>
    <s v="XS1870205819"/>
    <n v="5000000"/>
    <n v="98.965999999999994"/>
    <n v="5062500"/>
    <n v="39724118.990000002"/>
    <n v="-1369350.86"/>
    <n v="274518.13"/>
    <n v="38354768.130000003"/>
    <n v="8.6E-3"/>
    <m/>
    <s v="Investments"/>
    <s v="BBG00LSRS878"/>
    <s v="BOND"/>
    <s v="Corp"/>
    <s v="#N/A Field Not Applicable"/>
    <n v="1.6"/>
    <n v="3.1309999999999998E-2"/>
    <s v="High"/>
    <n v="2"/>
    <n v="8.0893999999999994E-2"/>
    <s v="High"/>
    <n v="4983716.6673117373"/>
    <s v=""/>
    <s v=""/>
    <s v="BB-"/>
    <s v=""/>
    <s v="BB"/>
    <n v="9"/>
    <n v="0"/>
    <n v="10"/>
    <n v="9"/>
    <s v="CN"/>
    <s v="Financial"/>
    <s v="Real Estate"/>
    <s v="Real Estate Oper/Develop"/>
    <s v="N"/>
    <s v=" "/>
    <s v="ACTV"/>
    <s v="Corporate"/>
    <s v="Financial"/>
    <s v="Non-Investment Grade"/>
    <x v="4"/>
    <s v="High"/>
    <s v="High"/>
    <s v="Real Estate"/>
    <s v="FINANCIAL"/>
    <s v="#N/A Field Not Applicable"/>
    <n v="8.8443721393678551E-2"/>
    <s v="8/27/2021"/>
    <n v="1.4082191780821918"/>
    <s v="1 - 2 yrs"/>
    <n v="1.3838682738615151E-2"/>
    <n v="1.2517161824711338"/>
    <n v="1.2300715256270651E-2"/>
    <n v="13.417094284794583"/>
    <n v="0.13185086098189877"/>
    <s v="XS1870205819"/>
    <s v="-"/>
    <n v="-2.38"/>
    <n v="4983716.6673117373"/>
    <n v="9.1094538067695019E-3"/>
    <s v="1 - 2 yrs"/>
    <s v="China"/>
    <n v="4.5777396787868262E-3"/>
  </r>
  <r>
    <s v="Investments"/>
    <s v="Investments Long"/>
    <s v="Avaliable for Trading"/>
    <s v="United States Dollar"/>
    <m/>
    <s v="LPKRIJ 6.75 10/31/26"/>
    <s v="XS1506085114"/>
    <n v="1800000"/>
    <n v="67.594999999999999"/>
    <n v="1262125"/>
    <n v="9799361.5399999991"/>
    <n v="-368520.67"/>
    <n v="395015.44"/>
    <n v="9430840.8699999992"/>
    <n v="2.0999999999999999E-3"/>
    <m/>
    <s v="Investments"/>
    <s v="BBG00F2W1SP3"/>
    <s v="BOND"/>
    <s v="Corp"/>
    <s v="#N/A Field Not Applicable"/>
    <n v="1.1000000000000001"/>
    <n v="0.112164"/>
    <s v="High"/>
    <n v="2"/>
    <n v="0.296317"/>
    <s v="High"/>
    <n v="1267672.4993871835"/>
    <s v=""/>
    <s v=""/>
    <s v="B-"/>
    <s v="B3"/>
    <s v="B-"/>
    <n v="6"/>
    <n v="6"/>
    <n v="6"/>
    <n v="6"/>
    <s v="ID"/>
    <s v="Financial"/>
    <s v="Real Estate"/>
    <s v="Real Estate Oper/Develop"/>
    <s v="N"/>
    <s v=" "/>
    <s v="ACTV"/>
    <s v="Corporate"/>
    <s v="Financial"/>
    <s v="Non-Investment Grade"/>
    <x v="3"/>
    <s v="High"/>
    <s v="High"/>
    <s v="#N/A Field Not Applicable"/>
    <s v="FINANCIAL"/>
    <s v="#N/A Field Not Applicable"/>
    <n v="1.4997866162765564E-2"/>
    <s v="10/31/2026"/>
    <n v="6.5890410958904111"/>
    <s v="5 - 7 yrs"/>
    <n v="1.6470259416187752E-2"/>
    <n v="4.7306739333578474"/>
    <n v="1.1825002418697455E-2"/>
    <n v="12.13095063547328"/>
    <n v="3.0323062342990686E-2"/>
    <s v="XS1506085114"/>
    <s v="-"/>
    <n v="-12.29"/>
    <n v="1267672.4993871835"/>
    <n v="2.3171068594291856E-3"/>
    <s v="3 - 5 yrs"/>
    <s v="Indonesia"/>
    <n v="4.4007020442348877E-3"/>
  </r>
  <r>
    <s v="Investments"/>
    <s v="Investments Long"/>
    <s v="Avaliable for Trading"/>
    <s v="United States Dollar"/>
    <m/>
    <s v="LPKRIJ 8.125 01/22/25"/>
    <s v="XS2099273737"/>
    <n v="1500000"/>
    <n v="74.524000000000001"/>
    <n v="1515406.81"/>
    <n v="11772549.98"/>
    <n v="-3107905.25"/>
    <n v="181060.86"/>
    <n v="8664644.7300000004"/>
    <n v="1.9E-3"/>
    <m/>
    <s v="Investments"/>
    <s v="BBG00RD4VH41"/>
    <s v="BOND"/>
    <s v="Corp"/>
    <s v="#N/A Field Not Applicable"/>
    <n v="1.4"/>
    <n v="9.6068000000000001E-2"/>
    <s v="High"/>
    <n v="2"/>
    <n v="0.26145600000000002"/>
    <s v="High"/>
    <n v="1141219.3869257267"/>
    <s v=""/>
    <s v=""/>
    <s v="B-"/>
    <s v="B3"/>
    <s v="B-"/>
    <n v="6"/>
    <n v="6"/>
    <n v="6"/>
    <n v="6"/>
    <s v="ID"/>
    <s v="Financial"/>
    <s v="Real Estate"/>
    <s v="Real Estate Oper/Develop"/>
    <s v="N"/>
    <s v=" "/>
    <s v="ACTV"/>
    <s v="Corporate"/>
    <s v="Financial"/>
    <s v="Non-Investment Grade"/>
    <x v="3"/>
    <s v="High"/>
    <s v="High"/>
    <s v="#N/A Field Not Applicable"/>
    <s v="FINANCIAL"/>
    <s v="#N/A Field Not Applicable"/>
    <n v="1.350179611511612E-2"/>
    <s v="1/22/2025"/>
    <n v="4.816438356164384"/>
    <s v="3 - 5 yrs"/>
    <n v="1.0838428114326093E-2"/>
    <n v="3.4547917141941511"/>
    <n v="7.7743155575403251E-3"/>
    <n v="18.923020176779364"/>
    <n v="4.2582460051517258E-2"/>
    <s v="XS2099273737"/>
    <s v="-"/>
    <n v="-10.47"/>
    <n v="1141219.3869257267"/>
    <n v="2.0859703676126824E-3"/>
    <s v="3 - 5 yrs"/>
    <s v="Indonesia"/>
    <n v="2.8932295449258234E-3"/>
  </r>
  <r>
    <s v="Investments"/>
    <s v="Investments Long"/>
    <s v="Avaliable for Trading"/>
    <s v="United States Dollar"/>
    <m/>
    <s v="MDLNIJ 10.75 08/30/21"/>
    <s v="XS1871087133"/>
    <n v="3200000"/>
    <n v="85.695999999999998"/>
    <n v="3330000"/>
    <n v="25883937"/>
    <n v="-4628312.5"/>
    <n v="244418.02"/>
    <n v="21255624.5"/>
    <n v="4.7000000000000002E-3"/>
    <m/>
    <s v="Investments"/>
    <s v="BBG00LSR9049"/>
    <s v="BOND"/>
    <s v="Corp"/>
    <s v="#N/A Field Not Applicable"/>
    <n v="4.7"/>
    <n v="3.6759E-2"/>
    <s v="Medium"/>
    <n v="8.3000000000000007"/>
    <n v="9.1855000000000006E-2"/>
    <s v="Low"/>
    <n v="2773805.3334365445"/>
    <s v=""/>
    <s v=""/>
    <s v="B"/>
    <s v="B2"/>
    <s v="B"/>
    <n v="7"/>
    <n v="7"/>
    <n v="7"/>
    <n v="7"/>
    <s v="ID"/>
    <s v="Financial"/>
    <s v="Real Estate"/>
    <s v="Real Estate Oper/Develop"/>
    <s v="N"/>
    <s v=" "/>
    <s v="ACTV"/>
    <s v="Corporate"/>
    <s v="Financial"/>
    <s v="Non-Investment Grade"/>
    <x v="3"/>
    <s v="Medium"/>
    <s v="Low"/>
    <s v="#N/A Field Not Applicable"/>
    <s v="SPECIAL PURPOSE"/>
    <s v="#N/A Field Not Applicable"/>
    <n v="3.8286456505643433E-2"/>
    <s v="8/30/2021"/>
    <n v="1.4164383561643836"/>
    <s v="1 - 2 yrs"/>
    <n v="7.7472007880303936E-3"/>
    <n v="1.2435666041634517"/>
    <n v="6.8016798145963848E-3"/>
    <n v="12.795080038990919"/>
    <n v="6.9982610771293183E-2"/>
    <s v="XS1871087133"/>
    <s v="-"/>
    <n v="-5.1100000000000003"/>
    <n v="2773805.3334365445"/>
    <n v="5.0700818767734626E-3"/>
    <s v="1 - 2 yrs"/>
    <s v="Indonesia"/>
    <n v="2.53126089995528E-3"/>
  </r>
  <r>
    <s v="Investments"/>
    <s v="Investments Long"/>
    <s v="Avaliable for Trading"/>
    <s v="United States Dollar"/>
    <m/>
    <s v="MDLNIJ 6.95 04/13/24"/>
    <s v="XS1592893546"/>
    <n v="4653000"/>
    <n v="70.411000000000001"/>
    <n v="4218247.4000000004"/>
    <n v="33001027.699999999"/>
    <n v="-7606689.1699999999"/>
    <n v="1169736.3400000001"/>
    <n v="25394338.530000001"/>
    <n v="5.7000000000000002E-3"/>
    <m/>
    <s v="Investments"/>
    <s v="BBG00GDDS1Y1"/>
    <s v="BOND"/>
    <s v="Corp"/>
    <s v="#N/A Field Not Applicable"/>
    <n v="2.1"/>
    <n v="6.0650000000000003E-2"/>
    <s v="High"/>
    <n v="4.2"/>
    <n v="0.157254"/>
    <s v="Medium"/>
    <n v="3427136.1316458308"/>
    <s v=""/>
    <s v=""/>
    <s v="B"/>
    <s v="B2"/>
    <s v="B"/>
    <n v="7"/>
    <n v="7"/>
    <n v="7"/>
    <n v="7"/>
    <s v="ID"/>
    <s v="Financial"/>
    <s v="Real Estate"/>
    <s v="Real Estate Oper/Develop"/>
    <s v="N"/>
    <s v=" "/>
    <s v="ACTV"/>
    <s v="Corporate"/>
    <s v="Financial"/>
    <s v="Non-Investment Grade"/>
    <x v="3"/>
    <s v="High"/>
    <s v="Medium"/>
    <s v="#N/A Field Not Applicable"/>
    <s v="SPECIAL PURPOSE"/>
    <s v="#N/A Field Not Applicable"/>
    <n v="4.7304292360204628E-2"/>
    <s v="4/13/2024"/>
    <n v="4.0383561643835613"/>
    <s v="3 - 5 yrs"/>
    <n v="2.7290225807804939E-2"/>
    <n v="3.2184016260998445"/>
    <n v="2.1749173064797862E-2"/>
    <n v="11.395154453979236"/>
    <n v="7.7005673968674526E-2"/>
    <s v="XS1592893546"/>
    <s v="-"/>
    <n v="-9.8800000000000008"/>
    <n v="3427136.1316458308"/>
    <n v="6.2642682890675675E-3"/>
    <s v="3 - 5 yrs"/>
    <s v="Indonesia"/>
    <n v="8.094005140780099E-3"/>
  </r>
  <r>
    <s v="Investments"/>
    <s v="Investments Long"/>
    <s v="Avaliable for Trading"/>
    <s v="United States Dollar"/>
    <m/>
    <s v="MEDCIJ 6.75 01/30/25 REGS"/>
    <s v="USY59505AA82"/>
    <n v="3200000"/>
    <n v="60.015000000000001"/>
    <n v="3197000"/>
    <n v="24848682.5"/>
    <n v="-9962849.9700000007"/>
    <n v="283690.25"/>
    <n v="14885832.529999999"/>
    <n v="3.3E-3"/>
    <m/>
    <s v="Investments"/>
    <s v="BBG00JVKTCJ1"/>
    <s v="BOND"/>
    <s v="Corp"/>
    <s v="#N/A Field Not Applicable"/>
    <n v="2"/>
    <n v="0.109235"/>
    <s v="High"/>
    <n v="3.7"/>
    <n v="0.288188"/>
    <s v="Medium"/>
    <n v="1957079.9989678883"/>
    <s v=""/>
    <s v=""/>
    <s v="B+"/>
    <s v="B1"/>
    <s v="B+"/>
    <n v="8"/>
    <n v="8"/>
    <n v="8"/>
    <n v="8"/>
    <s v="ID"/>
    <s v="Energy"/>
    <s v="Oil&amp;Gas"/>
    <s v="Oil Comp-Explor&amp;Prodtn"/>
    <s v="N"/>
    <s v=" "/>
    <s v="ACTV"/>
    <s v="Corporate"/>
    <s v="Non-Financial"/>
    <s v="Non-Investment Grade"/>
    <x v="3"/>
    <s v="High"/>
    <s v="Medium"/>
    <s v="#N/A Field Not Applicable"/>
    <s v="INDUSTRIAL"/>
    <s v="#N/A Field Not Applicable"/>
    <n v="3.0872352187214569E-2"/>
    <s v="1/30/2025"/>
    <n v="4.838356164383562"/>
    <s v="3 - 5 yrs"/>
    <n v="1.8671429439253744E-2"/>
    <n v="3.5476696412221584"/>
    <n v="1.3690613325962452E-2"/>
    <n v="19.786868383579368"/>
    <n v="7.6358396177490406E-2"/>
    <s v="USY59505AA82"/>
    <s v="-"/>
    <n v="-8.4"/>
    <n v="1957079.9989678883"/>
    <n v="3.5772358335866296E-3"/>
    <s v="3 - 5 yrs"/>
    <s v="Indonesia"/>
    <n v="5.0949934652976432E-3"/>
  </r>
  <r>
    <s v="Investments"/>
    <s v="Investments Long"/>
    <s v="Avaliable for Trading"/>
    <s v="United States Dollar"/>
    <m/>
    <s v="MEDCIJ 8.5 08/17/22 REGS"/>
    <s v="USY59515AA72"/>
    <n v="1000000"/>
    <n v="96.950999999999993"/>
    <n v="977500"/>
    <n v="7589833.5"/>
    <n v="-75064.539999999994"/>
    <n v="80525.320000000007"/>
    <n v="7514768.96"/>
    <n v="1.6999999999999999E-3"/>
    <m/>
    <s v="Investments"/>
    <s v="BBG00HDTX5P9"/>
    <s v="BOND"/>
    <s v="Corp"/>
    <s v="#N/A Field Not Applicable"/>
    <n v="0.6"/>
    <n v="2.6932999999999999E-2"/>
    <s v="High"/>
    <n v="2"/>
    <n v="7.2162000000000004E-2"/>
    <s v="High"/>
    <n v="979898.88918992144"/>
    <s v=""/>
    <s v=""/>
    <s v="B+"/>
    <s v="B1"/>
    <s v="B+"/>
    <n v="8"/>
    <n v="8"/>
    <n v="8"/>
    <n v="8"/>
    <s v="ID"/>
    <s v="Energy"/>
    <s v="Oil&amp;Gas"/>
    <s v="Oil Comp-Explor&amp;Prodtn"/>
    <s v="N"/>
    <s v=" "/>
    <s v="ACTV"/>
    <s v="Corporate"/>
    <s v="Non-Financial"/>
    <s v="Non-Investment Grade"/>
    <x v="3"/>
    <s v="High"/>
    <s v="High"/>
    <s v="#N/A Field Not Applicable"/>
    <s v="INDUSTRIAL"/>
    <s v="#N/A Field Not Applicable"/>
    <n v="1.545761217266825E-2"/>
    <s v="8/17/2022"/>
    <n v="2.3808219178082193"/>
    <s v="2 - 3 yrs"/>
    <n v="4.6002277322084624E-3"/>
    <n v="2.0544082683689018"/>
    <n v="3.9695307820961801E-3"/>
    <n v="10.571607871297086"/>
    <n v="2.0426476814504668E-2"/>
    <s v="USY59515AA72"/>
    <s v="-"/>
    <n v="-2.72"/>
    <n v="979898.88918992144"/>
    <n v="1.7911017544252345E-3"/>
    <s v="2 - 3 yrs"/>
    <s v="Indonesia"/>
    <n v="1.4772700764781902E-3"/>
  </r>
  <r>
    <s v="Investments"/>
    <s v="Investments Long"/>
    <s v="Avaliable for Trading"/>
    <s v="United States Dollar"/>
    <m/>
    <s v="MGMCHI 5.875 05/15/26 REGS"/>
    <s v="USG60744AB87"/>
    <n v="5000000"/>
    <n v="83.442999999999998"/>
    <n v="4905000"/>
    <n v="38091347.100000001"/>
    <n v="-5752595.2400000002"/>
    <n v="550500.35"/>
    <n v="32338751.859999999"/>
    <n v="7.1999999999999998E-3"/>
    <m/>
    <s v="Investments"/>
    <s v="BBG00P1GZFC2"/>
    <s v="BOND"/>
    <s v="Corp"/>
    <s v="#N/A Field Not Applicable"/>
    <n v="1.7"/>
    <n v="6.2490999999999998E-2"/>
    <s v="High"/>
    <n v="2"/>
    <n v="0.16628000000000001"/>
    <s v="High"/>
    <n v="4243172.2220071992"/>
    <s v=""/>
    <s v=""/>
    <s v="BB- *-"/>
    <s v="Ba3 *-"/>
    <s v="BB-u"/>
    <n v="9"/>
    <n v="9"/>
    <e v="#N/A"/>
    <e v="#VALUE!"/>
    <s v="MO"/>
    <s v="Consumer, Cyclical"/>
    <s v="Lodging"/>
    <s v="Casino Hotels"/>
    <s v="N"/>
    <s v=" "/>
    <s v="ACTV"/>
    <s v="Corporate"/>
    <s v="Non-Financial"/>
    <e v="#VALUE!"/>
    <x v="8"/>
    <s v="High"/>
    <s v="High"/>
    <s v="Consumer Discretionary"/>
    <s v="INDUSTRIAL"/>
    <s v="#N/A Field Not Applicable"/>
    <e v="#VALUE!"/>
    <s v="5/15/2026"/>
    <n v="6.1260273972602741"/>
    <s v="5 - 7 yrs"/>
    <n v="5.1255532340131547E-2"/>
    <n v="4.7477391773240001"/>
    <n v="3.9723606044379037E-2"/>
    <n v="9.6656400138965601"/>
    <n v="8.0870928612220838E-2"/>
    <s v="USG60744AB87"/>
    <s v="-"/>
    <n v="-0.99"/>
    <n v="4243172.2220071992"/>
    <n v="7.7558545019357737E-3"/>
    <s v="3 - 5 yrs"/>
    <s v="Macau"/>
    <n v="1.4783232014183046E-2"/>
  </r>
  <r>
    <s v="Investments"/>
    <s v="Investments Long"/>
    <s v="Avaliable for Trading"/>
    <s v="United States Dollar"/>
    <m/>
    <s v="MINMET V3.375 PERP"/>
    <s v="XS2115053626"/>
    <n v="3000000"/>
    <n v="94.040999999999997"/>
    <n v="3000000"/>
    <n v="23373300"/>
    <n v="-1505664.15"/>
    <n v="61039.91"/>
    <n v="21867635.850000001"/>
    <n v="4.8999999999999998E-3"/>
    <m/>
    <s v="Investments"/>
    <s v="BBG00RZ2MZZ7"/>
    <s v="BOND"/>
    <s v="Corp"/>
    <s v="#N/A Field Not Applicable"/>
    <n v="0.5"/>
    <n v="2.342E-2"/>
    <s v="High"/>
    <n v="1.8"/>
    <n v="6.3235E-2"/>
    <s v="High"/>
    <n v="2829104.9992904235"/>
    <s v=""/>
    <s v=""/>
    <s v=""/>
    <s v="Baa1"/>
    <s v=""/>
    <n v="0"/>
    <n v="14"/>
    <n v="0"/>
    <n v="14"/>
    <s v="CN"/>
    <s v="Basic Materials"/>
    <s v="Mining"/>
    <s v="Metal-Diversified"/>
    <s v="N"/>
    <s v=" "/>
    <s v="ACTV"/>
    <s v="Corporate"/>
    <s v="Non-Financial"/>
    <s v="Investment Grade"/>
    <x v="4"/>
    <s v="High"/>
    <s v="High"/>
    <s v="#N/A Field Not Applicable"/>
    <s v="SPECIAL PURPOSE"/>
    <s v="#N/A Field Not Applicable"/>
    <n v="7.8099500494531821E-2"/>
    <s v="9/3/2168"/>
    <n v="148.52602739726026"/>
    <s v="10 yrs or Above"/>
    <n v="0.8285577535830837"/>
    <n v="4.0094997619706634"/>
    <n v="2.2367137760203784E-2"/>
    <n v="5.4537574632679906"/>
    <n v="3.0423980978539641E-2"/>
    <s v="XS2115053626"/>
    <s v="-"/>
    <n v="-3.2"/>
    <n v="2829104.9992904235"/>
    <n v="5.1711610081233246E-3"/>
    <s v="3 - 5 yrs"/>
    <s v="China"/>
    <n v="8.3239821337689427E-3"/>
  </r>
  <r>
    <s v="Investments"/>
    <s v="Investments Long"/>
    <s v="Avaliable for Trading"/>
    <s v="United States Dollar"/>
    <m/>
    <s v="MSINS V4.95 PERP REGS"/>
    <s v="USJ4517MAA74"/>
    <n v="7500000"/>
    <n v="103.239"/>
    <n v="7500000"/>
    <n v="58872750"/>
    <n v="1143435.97"/>
    <n v="199833.05"/>
    <n v="60016185.969999999"/>
    <n v="1.34E-2"/>
    <m/>
    <s v="Investments"/>
    <s v="BBG00NGF27D6"/>
    <s v="BOND"/>
    <s v="Corp"/>
    <s v="#N/A Field Not Applicable"/>
    <n v="1"/>
    <n v="3.1560999999999999E-2"/>
    <s v="High"/>
    <n v="2"/>
    <n v="8.4071000000000007E-2"/>
    <s v="High"/>
    <n v="7768706.2507257024"/>
    <s v=""/>
    <s v=""/>
    <s v="A-"/>
    <s v="A3"/>
    <s v=""/>
    <n v="15"/>
    <n v="15"/>
    <n v="0"/>
    <n v="15"/>
    <s v="JP"/>
    <s v="Financial"/>
    <s v="Insurance"/>
    <s v="Property/Casualty Ins"/>
    <s v="N"/>
    <s v=" "/>
    <s v="ACTV"/>
    <s v="Corporate"/>
    <s v="Financial"/>
    <s v="Investment Grade"/>
    <x v="9"/>
    <s v="High"/>
    <s v="High"/>
    <s v="Financials"/>
    <s v="FINANCIAL"/>
    <s v="#N/A Field Not Applicable"/>
    <n v="0.22977941199826726"/>
    <s v="9/6/2168"/>
    <n v="148.53424657534248"/>
    <s v="10 yrs or Above"/>
    <n v="2.2753407893125224"/>
    <n v="7.1988106830190768"/>
    <n v="0.11027589905539788"/>
    <n v="3.8696917878241672"/>
    <n v="5.927836690805071E-2"/>
    <s v="USJ4517MAA74"/>
    <s v="-"/>
    <n v="-9.25"/>
    <n v="7768706.2507257024"/>
    <n v="1.4199978741472184E-2"/>
    <s v="7 - 10 yrs"/>
    <s v="Japan"/>
    <n v="4.1039431301561229E-2"/>
  </r>
  <r>
    <s v="Investments"/>
    <s v="Investments Long"/>
    <s v="Avaliable for Trading"/>
    <s v="United States Dollar"/>
    <m/>
    <s v="MYLIFE V5.2 10/20/45 REGS"/>
    <s v="USJ41838AA14"/>
    <n v="1500000"/>
    <n v="105.11"/>
    <n v="1524750"/>
    <n v="11916836.1"/>
    <n v="303935.71000000002"/>
    <n v="270384.21000000002"/>
    <n v="12220771.810000001"/>
    <n v="2.7000000000000001E-3"/>
    <m/>
    <s v="Investments"/>
    <s v="BBG00B6SDBV4"/>
    <s v="BOND"/>
    <s v="Corp"/>
    <s v="#N/A Field Not Applicable"/>
    <n v="0.7"/>
    <n v="2.8060000000000002E-2"/>
    <s v="High"/>
    <n v="1.9"/>
    <n v="7.5756000000000004E-2"/>
    <s v="High"/>
    <n v="1611533.3333333335"/>
    <s v=""/>
    <s v=""/>
    <s v="A-"/>
    <s v="A3"/>
    <s v="A-u"/>
    <n v="15"/>
    <n v="15"/>
    <n v="15"/>
    <n v="15"/>
    <s v="JP"/>
    <s v="Financial"/>
    <s v="Insurance"/>
    <s v="Life/Health Insurance"/>
    <s v="N"/>
    <s v=" "/>
    <s v="ACTV"/>
    <s v="Corporate"/>
    <s v="Financial"/>
    <s v="Investment Grade"/>
    <x v="9"/>
    <s v="High"/>
    <s v="High"/>
    <s v="#N/A Field Not Applicable"/>
    <s v="FINANCIAL"/>
    <s v="#N/A Field Not Applicable"/>
    <n v="4.7665231481026873E-2"/>
    <s v="10/20/2045"/>
    <n v="25.572602739726026"/>
    <s v="10 yrs or Above"/>
    <n v="8.126160194409221E-2"/>
    <n v="4.6059958408332626"/>
    <n v="1.4636390530264299E-2"/>
    <n v="5.209187921377648"/>
    <n v="1.6553143206708986E-2"/>
    <s v="USJ41838AA14"/>
    <s v="-"/>
    <n v="-4.4000000000000004"/>
    <n v="1611533.3333333335"/>
    <n v="2.9456306283133682E-3"/>
    <s v="3 - 5 yrs"/>
    <s v="Japan"/>
    <n v="5.4469666428913228E-3"/>
  </r>
  <r>
    <s v="Investments"/>
    <s v="Investments Long"/>
    <s v="Avaliable for Trading"/>
    <s v="United States Dollar"/>
    <m/>
    <s v="NANYAN V5 PERP"/>
    <s v="XS1618163452"/>
    <n v="4500000"/>
    <n v="92.617000000000004"/>
    <n v="4518190"/>
    <n v="35308383.329999998"/>
    <n v="-3003620.04"/>
    <n v="576488.06999999995"/>
    <n v="32304763.289999999"/>
    <n v="7.1999999999999998E-3"/>
    <m/>
    <s v="Investments"/>
    <s v="BBG00GSCY4N6"/>
    <s v="BOND"/>
    <s v="Corp"/>
    <s v="#N/A Field Not Applicable"/>
    <n v="0.7"/>
    <n v="3.7399000000000002E-2"/>
    <s v="High"/>
    <n v="1.9"/>
    <n v="9.9318000000000004E-2"/>
    <s v="High"/>
    <n v="4242140.0007740837"/>
    <s v=""/>
    <s v=""/>
    <s v=""/>
    <s v="Ba2"/>
    <s v=""/>
    <n v="0"/>
    <n v="10"/>
    <n v="0"/>
    <n v="10"/>
    <s v="HK"/>
    <s v="Financial"/>
    <s v="Banks"/>
    <s v="Commer Banks Non-US"/>
    <s v="N"/>
    <s v=" "/>
    <s v="ACTV"/>
    <s v="Corporate"/>
    <s v="Financial"/>
    <s v="Non-Investment Grade"/>
    <x v="1"/>
    <s v="High"/>
    <s v="High"/>
    <s v="#N/A Field Not Applicable"/>
    <s v="BANK"/>
    <s v="#N/A Field Not Applicable"/>
    <n v="8.3648113644074054E-2"/>
    <s v="12/2/2168"/>
    <n v="148.77260273972604"/>
    <s v="10 yrs or Above"/>
    <n v="1.2444547581097287"/>
    <n v="1.9420522809034579"/>
    <n v="1.6244900989574568E-2"/>
    <n v="4.0039973898222527"/>
    <n v="3.3492682869442764E-2"/>
    <s v="XS1618163452"/>
    <s v="-"/>
    <n v="-5.33"/>
    <n v="4242140.0007740837"/>
    <n v="7.7539677631283475E-3"/>
    <s v="1 - 2 yrs"/>
    <s v="Hong Kong"/>
    <n v="6.0455775366419582E-3"/>
  </r>
  <r>
    <s v="Investments"/>
    <s v="Investments Long"/>
    <s v="Avaliable for Trading"/>
    <s v="United States Dollar"/>
    <m/>
    <s v="NIPLIF V3.4 01/23/50 REGS"/>
    <s v="USJ54675AZ63"/>
    <n v="1235000"/>
    <n v="97.194999999999993"/>
    <n v="1265287.5"/>
    <n v="9834947.1600000001"/>
    <n v="-530850.31999999995"/>
    <n v="61477.42"/>
    <n v="9304096.8399999999"/>
    <n v="2.0999999999999999E-3"/>
    <m/>
    <s v="Investments"/>
    <s v="BBG00RD35MV1"/>
    <s v="BOND"/>
    <s v="Corp"/>
    <s v="#N/A Field Not Applicable"/>
    <n v="0.5"/>
    <n v="3.1026000000000001E-2"/>
    <s v="High"/>
    <n v="1.9"/>
    <n v="8.4969000000000003E-2"/>
    <s v="High"/>
    <n v="1208289.6956561003"/>
    <s v=""/>
    <s v=""/>
    <s v="A-"/>
    <s v="A3"/>
    <s v=""/>
    <n v="15"/>
    <n v="15"/>
    <n v="0"/>
    <n v="15"/>
    <s v="JP"/>
    <s v="Financial"/>
    <s v="Insurance"/>
    <s v="Life/Health Insurance"/>
    <s v="N"/>
    <s v=" "/>
    <s v="ACTV"/>
    <s v="Corporate"/>
    <s v="Financial"/>
    <s v="Investment Grade"/>
    <x v="9"/>
    <s v="High"/>
    <s v="High"/>
    <s v="#N/A Field Not Applicable"/>
    <s v="FINANCIAL"/>
    <s v="#N/A Field Not Applicable"/>
    <n v="3.5738266685716003E-2"/>
    <s v="1/23/2050"/>
    <n v="29.835616438356166"/>
    <s v="10 yrs or Above"/>
    <n v="7.1084881133780309E-2"/>
    <n v="8.1357492579991337"/>
    <n v="1.9383838444699274E-2"/>
    <n v="3.4816113665097226"/>
    <n v="8.2951170341563057E-3"/>
    <s v="USJ54675AZ63"/>
    <s v="-"/>
    <n v="-8.57"/>
    <n v="1208289.6956561003"/>
    <n v="2.208564391304377E-3"/>
    <s v="7 - 10 yrs"/>
    <s v="Japan"/>
    <n v="7.2137403823130152E-3"/>
  </r>
  <r>
    <s v="Investments"/>
    <s v="Investments Long"/>
    <s v="Avaliable for Trading"/>
    <s v="United States Dollar"/>
    <m/>
    <s v="OCTOWN V4.3 PERP"/>
    <s v="XS1692254359"/>
    <n v="5000000"/>
    <n v="98.5"/>
    <n v="5022500"/>
    <n v="39073543.25"/>
    <n v="-899375.75"/>
    <n v="791581.09"/>
    <n v="38174167.5"/>
    <n v="8.5000000000000006E-3"/>
    <m/>
    <s v="Investments"/>
    <s v="BBG00HVHMY65"/>
    <s v="BOND"/>
    <s v="Corp"/>
    <s v="#N/A Field Not Applicable"/>
    <n v="1"/>
    <n v="6.7809999999999997E-3"/>
    <s v="High"/>
    <n v="2"/>
    <n v="1.5668999999999999E-2"/>
    <s v="High"/>
    <n v="5027125.0003225356"/>
    <s v=""/>
    <s v=""/>
    <s v=""/>
    <s v=""/>
    <s v=""/>
    <n v="0"/>
    <n v="0"/>
    <n v="0"/>
    <n v="0"/>
    <s v="CN"/>
    <s v="Financial"/>
    <s v="Real Estate"/>
    <s v="Real Estate Oper/Develop"/>
    <s v="N"/>
    <s v=" "/>
    <s v="ACTV"/>
    <s v="Corporate"/>
    <s v="Financial"/>
    <s v="Non-Investment Grade"/>
    <x v="4"/>
    <s v="High"/>
    <s v="High"/>
    <s v="Real Estate"/>
    <s v="INDUSTRIAL"/>
    <s v="#N/A Field Not Applicable"/>
    <n v="0"/>
    <s v="4/10/2168"/>
    <n v="148.12602739726029"/>
    <s v="10 yrs or Above"/>
    <n v="1.4683250708890858"/>
    <n v="0.48259122273595961"/>
    <n v="4.7837696303960602E-3"/>
    <n v="7.9650667854435202"/>
    <n v="7.895511314164208E-2"/>
    <s v="XS1692254359"/>
    <s v="-"/>
    <n v="-1.32"/>
    <n v="5027125.0003225356"/>
    <n v="9.1887974434140852E-3"/>
    <s v="0 - 1 yr"/>
    <s v="China"/>
    <n v="1.7802909501604674E-3"/>
  </r>
  <r>
    <s v="Investments"/>
    <s v="Investments Long"/>
    <s v="Avaliable for Trading"/>
    <s v="United States Dollar"/>
    <m/>
    <s v="ORCL 2.5 04/01/25"/>
    <s v="US68389XBT19"/>
    <n v="4000000"/>
    <n v="102.33499999999999"/>
    <n v="3998520"/>
    <n v="31007722.899999999"/>
    <n v="720629.84"/>
    <n v="0"/>
    <n v="31728352.739999998"/>
    <n v="7.1000000000000004E-3"/>
    <m/>
    <s v="Investments"/>
    <s v="BBG00SXGDG60"/>
    <s v="BOND"/>
    <s v="Corp"/>
    <s v="#N/A Field Not Applicable"/>
    <s v="N.A."/>
    <s v="N.A."/>
    <s v="Not Covered"/>
    <s v="N.A."/>
    <s v="N.A."/>
    <s v="Not Covered"/>
    <n v="4093399.9999999995"/>
    <n v="1.1428571428571429E-3"/>
    <n v="13.44558521560575"/>
    <s v="A+"/>
    <s v=""/>
    <s v=""/>
    <n v="17"/>
    <n v="0"/>
    <n v="0"/>
    <n v="17"/>
    <s v="US"/>
    <s v="Technology"/>
    <s v="Software"/>
    <s v="Enterprise Software/Serv"/>
    <s v="N"/>
    <s v=" "/>
    <s v="ACTV"/>
    <s v="Corporate"/>
    <s v="Non-Financial"/>
    <s v="Investment Grade"/>
    <x v="2"/>
    <s v="Medium"/>
    <s v="Medium"/>
    <s v="Information Technology"/>
    <s v="INDUSTRIAL"/>
    <s v="#N/A Field Not Applicable"/>
    <n v="0.13721584392733219"/>
    <s v="4/1/2025"/>
    <n v="5.0054794520547947"/>
    <s v="5 - 7 yrs"/>
    <n v="4.0401828663212881E-2"/>
    <n v="4.5979974179145549"/>
    <n v="3.7112829180872935E-2"/>
    <n v="2.0876189813357127"/>
    <n v="1.6850258842511609E-2"/>
    <s v="US68389XBT19"/>
    <s v="-"/>
    <n v="-4.8099999999999996"/>
    <n v="4093399.9999999995"/>
    <n v="7.4820943287580814E-3"/>
    <s v="3 - 5 yrs"/>
    <s v="United States of America"/>
    <n v="1.3811625356233795E-2"/>
  </r>
  <r>
    <s v="Investments"/>
    <s v="Investments Long"/>
    <s v="Avaliable for Trading"/>
    <s v="United States Dollar"/>
    <m/>
    <s v="ORCL 2.95 04/01/30"/>
    <s v="US68389XBV64"/>
    <n v="5000000"/>
    <n v="100.72"/>
    <n v="4994850"/>
    <n v="38734062.780000001"/>
    <n v="300476.82"/>
    <n v="0"/>
    <n v="39034539.600000001"/>
    <n v="8.6999999999999994E-3"/>
    <m/>
    <s v="Investments"/>
    <s v="BBG00SXGDGF0"/>
    <s v="BOND"/>
    <s v="Corp"/>
    <s v="#N/A Field Not Applicable"/>
    <s v="N.A."/>
    <s v="N.A."/>
    <s v="Not Covered"/>
    <s v="N.A."/>
    <s v="N.A."/>
    <s v="Not Covered"/>
    <n v="5036000"/>
    <n v="1.5384615384615385E-3"/>
    <n v="13.44558521560575"/>
    <s v="A+"/>
    <s v=""/>
    <s v="A-e"/>
    <n v="17"/>
    <n v="0"/>
    <n v="15"/>
    <n v="15"/>
    <s v="US"/>
    <s v="Technology"/>
    <s v="Software"/>
    <s v="Enterprise Software/Serv"/>
    <s v="N"/>
    <s v=" "/>
    <s v="ACTV"/>
    <s v="Corporate"/>
    <s v="Non-Financial"/>
    <s v="Investment Grade"/>
    <x v="2"/>
    <s v="Medium"/>
    <s v="Medium"/>
    <s v="Information Technology"/>
    <s v="INDUSTRIAL"/>
    <s v="#N/A Field Not Applicable"/>
    <n v="0.14895261597967854"/>
    <s v="4/1/2030"/>
    <n v="10.008219178082191"/>
    <s v="10 yrs or Above"/>
    <n v="9.9383361858222038E-2"/>
    <n v="8.4245309762394083"/>
    <n v="8.365706182084634E-2"/>
    <n v="2.7672204799485547"/>
    <n v="2.7478981965391922E-2"/>
    <s v="US68389XBV64"/>
    <s v="-"/>
    <s v="-"/>
    <n v="5036000"/>
    <n v="9.2050195533360298E-3"/>
    <s v="7 - 10 yrs"/>
    <s v="United States of America"/>
    <n v="3.1133169358813141E-2"/>
  </r>
  <r>
    <s v="Investments"/>
    <s v="Investments Long"/>
    <s v="Avaliable for Trading"/>
    <s v="United States Dollar"/>
    <m/>
    <s v="ORIEAS 4.5 03/20/29"/>
    <s v="XS1964673435"/>
    <n v="3000000"/>
    <n v="110.914"/>
    <n v="2972370"/>
    <n v="23332807.260000002"/>
    <n v="2458357.9"/>
    <n v="31973.29"/>
    <n v="25791165.16"/>
    <n v="5.7999999999999996E-3"/>
    <m/>
    <s v="Investments"/>
    <s v="BBG00NL43H88"/>
    <s v="BOND"/>
    <s v="Corp"/>
    <s v="#N/A Field Not Applicable"/>
    <n v="1.3"/>
    <n v="2.9197000000000001E-2"/>
    <s v="High"/>
    <n v="2"/>
    <n v="7.8677999999999998E-2"/>
    <s v="High"/>
    <n v="3331545.0000645067"/>
    <s v=""/>
    <s v=""/>
    <s v="BBB+"/>
    <s v=""/>
    <s v="A-"/>
    <n v="14"/>
    <n v="0"/>
    <n v="15"/>
    <n v="14"/>
    <s v="HK"/>
    <s v="Financial"/>
    <s v="Diversified Finan Serv"/>
    <s v="Invest Mgmnt/Advis Serv"/>
    <s v="N"/>
    <s v=" "/>
    <s v="ACTV"/>
    <s v="Corporate"/>
    <s v="Financial"/>
    <s v="Investment Grade"/>
    <x v="1"/>
    <s v="High"/>
    <s v="High"/>
    <s v="#N/A Field Not Applicable"/>
    <s v="FINANCIAL"/>
    <s v="#N/A Field Not Applicable"/>
    <n v="9.1969722030590048E-2"/>
    <s v="3/20/2029"/>
    <n v="8.9753424657534246"/>
    <s v="7 - 10 yrs"/>
    <n v="5.8961410836049513E-2"/>
    <n v="7.4357987731332775"/>
    <n v="4.8847739017176435E-2"/>
    <n v="3.0400591340565901"/>
    <n v="1.9970956679695777E-2"/>
    <s v="XS1964673435"/>
    <s v="-"/>
    <n v="-5.23"/>
    <n v="3331545.0000645067"/>
    <n v="6.0895426664838498E-3"/>
    <s v="7 - 10 yrs"/>
    <s v="Hong Kong"/>
    <n v="1.8178799237219889E-2"/>
  </r>
  <r>
    <s v="Investments"/>
    <s v="Investments Long"/>
    <s v="Avaliable for Trading"/>
    <s v="United States Dollar"/>
    <m/>
    <s v="PNSTTA 6.625 06/17/31 REGS"/>
    <s v="USG7150PAA87"/>
    <n v="5000000"/>
    <n v="102.3"/>
    <n v="5000000"/>
    <n v="38813000"/>
    <n v="833876.5"/>
    <n v="328076.07"/>
    <n v="39646876.5"/>
    <n v="8.8000000000000005E-3"/>
    <m/>
    <s v="Investments"/>
    <s v="BBG00D2WYB33"/>
    <s v="BOND"/>
    <s v="Corp"/>
    <s v="#N/A Field Not Applicable"/>
    <n v="3.3"/>
    <n v="3.1982999999999998E-2"/>
    <s v="Medium"/>
    <n v="6"/>
    <n v="7.5971999999999998E-2"/>
    <s v="Medium"/>
    <n v="5157326.3885125984"/>
    <s v=""/>
    <s v=""/>
    <s v="BBB"/>
    <s v="Baa3"/>
    <s v=""/>
    <n v="13"/>
    <n v="12"/>
    <n v="0"/>
    <n v="12"/>
    <s v="KY"/>
    <s v="Energy"/>
    <s v="Oil&amp;Gas Services"/>
    <s v="Oil-Field Services"/>
    <s v="N"/>
    <s v=" "/>
    <s v="ACTV"/>
    <s v="Corporate"/>
    <s v="Non-Financial"/>
    <s v="Investment Grade"/>
    <x v="10"/>
    <s v="Medium"/>
    <s v="Medium"/>
    <s v="#N/A Field Not Applicable"/>
    <s v="SPECIAL PURPOSE"/>
    <s v="#N/A Field Not Applicable"/>
    <n v="0.12203292407148206"/>
    <s v="6/17/2031"/>
    <n v="11.219178082191782"/>
    <s v="10 yrs or Above"/>
    <n v="0.11409242558737877"/>
    <n v="5.6790535109233398"/>
    <n v="5.7752625491365964E-2"/>
    <n v="6.7791132897313382"/>
    <n v="6.8939584779813268E-2"/>
    <s v="USG7150PAA87"/>
    <s v="-"/>
    <n v="-2.44"/>
    <n v="5157326.3885125984"/>
    <n v="9.4267851964246127E-3"/>
    <s v="5 - 7 yrs"/>
    <s v="Cayman Islands"/>
    <n v="2.1492773367887512E-2"/>
  </r>
  <r>
    <s v="Investments"/>
    <s v="Investments Long"/>
    <s v="Avaliable for Trading"/>
    <s v="United States Dollar"/>
    <m/>
    <s v="POSABK V4.5 PERP"/>
    <s v="XS1684793018 Perfshs"/>
    <n v="8300000"/>
    <n v="99.430999999999997"/>
    <n v="8602858.4399999995"/>
    <n v="67459236.579999998"/>
    <n v="-3491167.79"/>
    <n v="0"/>
    <n v="63968068.789999999"/>
    <n v="1.43E-2"/>
    <m/>
    <s v="Investments"/>
    <s v="BBG00HPPFXF4"/>
    <s v="BOND"/>
    <s v="Corp"/>
    <s v="#N/A Field Not Applicable"/>
    <n v="0.7"/>
    <n v="2.2934E-2"/>
    <s v="High"/>
    <n v="2"/>
    <n v="6.2914999999999999E-2"/>
    <s v="High"/>
    <n v="8252772.9986711564"/>
    <s v=""/>
    <s v=""/>
    <s v=""/>
    <s v="Ba2"/>
    <s v="BB+"/>
    <n v="0"/>
    <n v="10"/>
    <n v="11"/>
    <n v="10"/>
    <s v="CN"/>
    <s v="Financial"/>
    <s v="Banks"/>
    <s v="Money Center Banks"/>
    <s v="Y"/>
    <s v="Common Equity Tier 1 Ratio"/>
    <s v="ACTV"/>
    <s v="Corporate"/>
    <s v="Financial"/>
    <s v="Non-Investment Grade"/>
    <x v="4"/>
    <s v="High"/>
    <s v="High"/>
    <s v="Financials"/>
    <s v="BANK"/>
    <s v="#N/A Field Not Applicable"/>
    <n v="0.16273128504613779"/>
    <s v="9/27/2168"/>
    <n v="148.59178082191781"/>
    <s v="10 yrs or Above"/>
    <n v="2.4180531440444741"/>
    <n v="2.2406235043196525"/>
    <n v="3.6461954216251757E-2"/>
    <n v="3.1339213186808879"/>
    <n v="5.0998704342242761E-2"/>
    <s v="XS1684793018"/>
    <s v="-"/>
    <n v="-5.78"/>
    <n v="8252772.9986711564"/>
    <n v="1.508477697021676E-2"/>
    <s v="2 - 3 yrs"/>
    <s v="China"/>
    <n v="1.3569400730315685E-2"/>
  </r>
  <r>
    <s v="Investments"/>
    <s v="Investments Long"/>
    <s v="Avaliable for Trading"/>
    <s v="United States Dollar"/>
    <m/>
    <s v="PRUFIN 5.25 PERP EMTN"/>
    <s v="XS0873630742"/>
    <n v="0"/>
    <s v="NA"/>
    <n v="0"/>
    <n v="0"/>
    <n v="0.01"/>
    <n v="13564.43"/>
    <n v="0.01"/>
    <n v="0"/>
    <m/>
    <s v="Investments"/>
    <s v="BBG003T3TLJ7"/>
    <s v="BOND"/>
    <s v="Corp"/>
    <s v="#N/A Field Not Applicable"/>
    <n v="0.1"/>
    <n v="3.2030999999999997E-2"/>
    <s v="High"/>
    <n v="0.1"/>
    <n v="9.0606000000000006E-2"/>
    <s v="High"/>
    <n v="1750.0019352091961"/>
    <s v=""/>
    <s v=""/>
    <s v="BBB+"/>
    <s v="Baa1"/>
    <s v="BBB"/>
    <n v="14"/>
    <n v="14"/>
    <n v="13"/>
    <n v="14"/>
    <s v="GB"/>
    <s v="Financial"/>
    <s v="Insurance"/>
    <s v="Life/Health Insurance"/>
    <s v="N"/>
    <s v=" "/>
    <s v="ACTV"/>
    <s v="Corporate"/>
    <s v="Financial"/>
    <s v="Investment Grade"/>
    <x v="11"/>
    <s v="High"/>
    <s v="High"/>
    <s v="Financials"/>
    <s v="FINANCIAL"/>
    <s v="#N/A Field Not Applicable"/>
    <n v="4.8310075814995175E-5"/>
    <s v="3/23/2169"/>
    <n v="149.07671232876712"/>
    <s v="10 yrs or Above"/>
    <n v="5.1442194820378322E-4"/>
    <n v="17.271189687859763"/>
    <n v="5.9598034516833437E-5"/>
    <n v="5.7778164349904326"/>
    <n v="1.9937625001393781E-5"/>
    <s v="XS0873630742"/>
    <s v="-"/>
    <s v="-"/>
    <n v="1750.0019352091961"/>
    <n v="3.1987295536093211E-6"/>
    <s v="10 yrs or Above"/>
    <s v="United Kingdom"/>
    <n v="2.21795466118391E-5"/>
  </r>
  <r>
    <s v="Investments"/>
    <s v="Investments Long"/>
    <s v="Avaliable for Trading"/>
    <s v="United States Dollar"/>
    <m/>
    <s v="PWCNPG 4.5 12/06/21"/>
    <s v="XS1917764372"/>
    <n v="4000000"/>
    <n v="104.232"/>
    <n v="3977274.31"/>
    <n v="31100002.75"/>
    <n v="1216503.45"/>
    <n v="445688.25"/>
    <n v="32316506.199999999"/>
    <n v="7.1999999999999998E-3"/>
    <m/>
    <s v="Investments"/>
    <s v="BBG00MNS44N6"/>
    <s v="BOND"/>
    <s v="Corp"/>
    <s v="#N/A Field Not Applicable"/>
    <n v="2.6"/>
    <n v="4.1019999999999997E-3"/>
    <s v="High"/>
    <n v="8.5"/>
    <n v="1.0508999999999999E-2"/>
    <s v="Low"/>
    <n v="4226779.9989678878"/>
    <s v=""/>
    <s v=""/>
    <s v=""/>
    <s v="Baa1"/>
    <s v="BBB+"/>
    <n v="0"/>
    <n v="14"/>
    <n v="14"/>
    <n v="14"/>
    <s v="CN"/>
    <s v="Financial"/>
    <s v="Real Estate"/>
    <s v="Real Estate Oper/Develop"/>
    <s v="N"/>
    <s v=" "/>
    <s v="ACTV"/>
    <s v="Corporate"/>
    <s v="Financial"/>
    <s v="Investment Grade"/>
    <x v="4"/>
    <s v="High"/>
    <s v="Low"/>
    <s v="#N/A Field Not Applicable"/>
    <s v="FINANCIAL"/>
    <s v="#N/A Field Not Applicable"/>
    <n v="0.11668333508387475"/>
    <s v="12/6/2021"/>
    <n v="1.6849315068493151"/>
    <s v="1 - 2 yrs"/>
    <n v="1.4043101971934046E-2"/>
    <n v="1.5874088579040295"/>
    <n v="1.3230297120137628E-2"/>
    <n v="2.0092370941538547"/>
    <n v="1.6746034651436075E-2"/>
    <s v="XS1917764372"/>
    <s v="-"/>
    <n v="-0.96"/>
    <n v="4226779.9989678878"/>
    <n v="7.7258920846205413E-3"/>
    <s v="1 - 2 yrs"/>
    <s v="China"/>
    <n v="4.9236857229191106E-3"/>
  </r>
  <r>
    <s v="Investments"/>
    <s v="Investments Long"/>
    <s v="Avaliable for Trading"/>
    <s v="United States Dollar"/>
    <m/>
    <s v="PWRLNG 5.95 07/19/20"/>
    <s v="XS1645451565"/>
    <n v="1500000"/>
    <n v="98.509"/>
    <n v="1440000"/>
    <n v="11170944"/>
    <n v="282352.65000000002"/>
    <n v="138357.14000000001"/>
    <n v="11453296.65"/>
    <n v="2.5999999999999999E-3"/>
    <m/>
    <s v="Investments"/>
    <s v="BBG00H4BZMF0"/>
    <s v="BOND"/>
    <s v="Corp"/>
    <s v="#N/A Field Not Applicable"/>
    <n v="0.9"/>
    <n v="1.6150000000000001E-2"/>
    <s v="High"/>
    <n v="2"/>
    <n v="4.1737000000000003E-2"/>
    <s v="High"/>
    <n v="1495485.0008385908"/>
    <s v=""/>
    <s v=""/>
    <s v="B"/>
    <s v="B2"/>
    <s v=""/>
    <n v="7"/>
    <n v="7"/>
    <n v="0"/>
    <n v="7"/>
    <s v="CN"/>
    <s v="Financial"/>
    <s v="Real Estate"/>
    <s v="Real Estate Oper/Develop"/>
    <s v="N"/>
    <s v=" "/>
    <s v="ACTV"/>
    <s v="Corporate"/>
    <s v="Financial"/>
    <s v="Non-Investment Grade"/>
    <x v="4"/>
    <s v="High"/>
    <s v="High"/>
    <s v="Real Estate"/>
    <s v="FINANCIAL"/>
    <s v="#N/A Field Not Applicable"/>
    <n v="2.0641975393605495E-2"/>
    <s v="7/19/2020"/>
    <n v="0.30136986301369861"/>
    <s v="0 - 1 yr"/>
    <n v="8.8869561381471791E-4"/>
    <n v="0.27238177586432749"/>
    <n v="8.0321398786543073E-4"/>
    <n v="17.617194357748691"/>
    <n v="5.1950527491002006E-2"/>
    <s v="XS1645451565"/>
    <s v="-"/>
    <n v="-0.66"/>
    <n v="1495485.0008385908"/>
    <n v="2.733512445281965E-3"/>
    <s v="0 - 1 yr"/>
    <s v="China"/>
    <n v="2.9891794633111048E-4"/>
  </r>
  <r>
    <s v="Investments"/>
    <s v="Investments Long"/>
    <s v="Avaliable for Trading"/>
    <s v="United States Dollar"/>
    <m/>
    <s v="PWRLNG 7.125 11/08/22"/>
    <s v="XS2078556342"/>
    <n v="6000000"/>
    <n v="90.688000000000002"/>
    <n v="6037407.5"/>
    <n v="47253281.93"/>
    <n v="-5077376.54"/>
    <n v="1316233.67"/>
    <n v="42175905.390000001"/>
    <n v="9.4000000000000004E-3"/>
    <m/>
    <s v="Investments"/>
    <s v="BBG00QRVV8P5"/>
    <s v="BOND"/>
    <s v="Corp"/>
    <s v="#N/A Field Not Applicable"/>
    <n v="2"/>
    <n v="4.1144E-2"/>
    <s v="High"/>
    <n v="2"/>
    <n v="0.10750700000000001"/>
    <s v="High"/>
    <n v="5611092.4978390168"/>
    <s v=""/>
    <s v=""/>
    <s v=""/>
    <s v="B2"/>
    <s v=""/>
    <n v="0"/>
    <n v="7"/>
    <n v="0"/>
    <n v="7"/>
    <s v="CN"/>
    <s v="Financial"/>
    <s v="Real Estate"/>
    <s v="Real Estate Oper/Develop"/>
    <s v="N"/>
    <s v=" "/>
    <s v="ACTV"/>
    <s v="Corporate"/>
    <s v="Financial"/>
    <s v="Non-Investment Grade"/>
    <x v="4"/>
    <s v="High"/>
    <s v="High"/>
    <s v="Real Estate"/>
    <s v="FINANCIAL"/>
    <s v="#N/A Field Not Applicable"/>
    <n v="7.7449144061417688E-2"/>
    <s v="11/8/2022"/>
    <n v="2.6082191780821917"/>
    <s v="2 - 3 yrs"/>
    <n v="2.8857763266720016E-2"/>
    <n v="2.2037623023778719"/>
    <n v="2.4382786290569336E-2"/>
    <n v="11.150879162405609"/>
    <n v="0.12337514952294466"/>
    <s v="XS2078556342"/>
    <s v="-"/>
    <n v="-5.38"/>
    <n v="5611092.4978390168"/>
    <n v="1.0256198601704776E-2"/>
    <s v="2 - 3 yrs"/>
    <s v="China"/>
    <n v="9.0741104038497365E-3"/>
  </r>
  <r>
    <s v="Investments"/>
    <s v="Investments Long"/>
    <s v="Avaliable for Trading"/>
    <s v="United States Dollar"/>
    <m/>
    <s v="PWRLNG 9.125 01/14/21"/>
    <s v="XS1932406314"/>
    <n v="1000000"/>
    <n v="95.513000000000005"/>
    <n v="1037500"/>
    <n v="8118852.5"/>
    <n v="-715544.36"/>
    <n v="151281.01999999999"/>
    <n v="7403308.1399999997"/>
    <n v="1.6999999999999999E-3"/>
    <m/>
    <s v="Investments"/>
    <s v="BBG00N0J9QB8"/>
    <s v="BOND"/>
    <s v="Corp"/>
    <s v="#N/A Field Not Applicable"/>
    <n v="1"/>
    <n v="2.3612999999999999E-2"/>
    <s v="High"/>
    <n v="2"/>
    <n v="5.9926E-2"/>
    <s v="High"/>
    <n v="974647.36101972614"/>
    <s v=""/>
    <s v=""/>
    <s v="B"/>
    <s v="B2"/>
    <s v=""/>
    <n v="7"/>
    <n v="7"/>
    <n v="0"/>
    <n v="7"/>
    <s v="CN"/>
    <s v="Financial"/>
    <s v="Real Estate"/>
    <s v="Real Estate Oper/Develop"/>
    <s v="N"/>
    <s v=" "/>
    <s v="ACTV"/>
    <s v="Corporate"/>
    <s v="Financial"/>
    <s v="Non-Investment Grade"/>
    <x v="4"/>
    <s v="High"/>
    <s v="High"/>
    <s v="Real Estate"/>
    <s v="FINANCIAL"/>
    <s v="#N/A Field Not Applicable"/>
    <n v="1.3452924524371839E-2"/>
    <s v="1/14/2021"/>
    <n v="0.79178082191780819"/>
    <s v="0 - 1 yr"/>
    <n v="1.5216810910150533E-3"/>
    <n v="0.68665738152562894"/>
    <n v="1.3196499896810121E-3"/>
    <n v="18.301394197155599"/>
    <n v="3.5172467832158723E-2"/>
    <s v="XS1932406314"/>
    <s v="-"/>
    <n v="-2.31"/>
    <n v="974647.36101972614"/>
    <n v="1.7815027831203215E-3"/>
    <s v="0 - 1 yr"/>
    <s v="China"/>
    <n v="4.9111080079622274E-4"/>
  </r>
  <r>
    <s v="Investments"/>
    <s v="Investments Long"/>
    <s v="Avaliable for Trading"/>
    <s v="United States Dollar"/>
    <m/>
    <s v="REDSUN 11.5 03/04/21"/>
    <s v="XS1958110089"/>
    <n v="3700000"/>
    <n v="96.513999999999996"/>
    <n v="3812161"/>
    <n v="29691192.649999999"/>
    <n v="-2011874.96"/>
    <n v="247356.97"/>
    <n v="27679317.690000001"/>
    <n v="6.1999999999999998E-3"/>
    <m/>
    <s v="Investments"/>
    <s v="BBG00NG9L0S8"/>
    <s v="BOND"/>
    <s v="Corp"/>
    <s v="#N/A Field Not Applicable"/>
    <n v="0.9"/>
    <n v="1.4886999999999999E-2"/>
    <s v="High"/>
    <n v="2"/>
    <n v="3.7331999999999997E-2"/>
    <s v="High"/>
    <n v="3602930.5079279072"/>
    <s v=""/>
    <s v=""/>
    <s v=""/>
    <s v=""/>
    <s v="B+"/>
    <n v="0"/>
    <n v="0"/>
    <n v="8"/>
    <n v="8"/>
    <s v="CN"/>
    <s v="Financial"/>
    <s v="Real Estate"/>
    <s v="Real Estate Oper/Develop"/>
    <s v="N"/>
    <s v=" "/>
    <s v="ACTV"/>
    <s v="Corporate"/>
    <s v="Financial"/>
    <s v="Non-Investment Grade"/>
    <x v="4"/>
    <s v="High"/>
    <s v="High"/>
    <s v="Real Estate"/>
    <s v="FINANCIAL"/>
    <s v="#N/A Field Not Applicable"/>
    <n v="5.6835152168266213E-2"/>
    <s v="3/4/2021"/>
    <n v="0.92602739726027394"/>
    <s v="0 - 1 yr"/>
    <n v="6.5788635044088974E-3"/>
    <n v="0.83288264403675694"/>
    <n v="5.9171264765171226E-3"/>
    <n v="12.235184041583349"/>
    <n v="8.6923568351266509E-2"/>
    <s v="XS1958110089"/>
    <s v="-"/>
    <n v="-2.76"/>
    <n v="3602930.5079279072"/>
    <n v="6.5855928861769846E-3"/>
    <s v="0 - 1 yr"/>
    <s v="China"/>
    <n v="2.2020723260091795E-3"/>
  </r>
  <r>
    <s v="Investments"/>
    <s v="Investments Long"/>
    <s v="Avaliable for Trading"/>
    <s v="United States Dollar"/>
    <m/>
    <s v="REDSUN 13.5 12/03/20"/>
    <s v="XS1908223545"/>
    <n v="1100000"/>
    <n v="100.251"/>
    <n v="1155000"/>
    <n v="9014775"/>
    <n v="-467164.21"/>
    <n v="377284.79"/>
    <n v="8547610.7899999991"/>
    <n v="1.9E-3"/>
    <m/>
    <s v="Investments"/>
    <s v="BBG00MNWHQT8"/>
    <s v="BOND"/>
    <s v="Corp"/>
    <s v="#N/A Field Not Applicable"/>
    <n v="1"/>
    <n v="1.4616000000000001E-2"/>
    <s v="High"/>
    <n v="2"/>
    <n v="3.6872000000000002E-2"/>
    <s v="High"/>
    <n v="1151436.0000516053"/>
    <s v=""/>
    <s v=""/>
    <s v=""/>
    <s v=""/>
    <s v="B+"/>
    <n v="0"/>
    <n v="0"/>
    <n v="8"/>
    <n v="8"/>
    <s v="CN"/>
    <s v="Financial"/>
    <s v="Real Estate"/>
    <s v="Real Estate Oper/Develop"/>
    <s v="N"/>
    <s v=" "/>
    <s v="ACTV"/>
    <s v="Corporate"/>
    <s v="Financial"/>
    <s v="Non-Investment Grade"/>
    <x v="4"/>
    <s v="High"/>
    <s v="High"/>
    <s v="Real Estate"/>
    <s v="FINANCIAL"/>
    <s v="#N/A Field Not Applicable"/>
    <n v="1.8163558839381932E-2"/>
    <s v="12/3/2020"/>
    <n v="0.67671232876712328"/>
    <s v="0 - 1 yr"/>
    <n v="1.5364380251121016E-3"/>
    <n v="0.60252841049270678"/>
    <n v="1.3680075295479438E-3"/>
    <n v="8.270343525613324"/>
    <n v="1.8777358906172378E-2"/>
    <s v="XS1908223545"/>
    <s v="-"/>
    <n v="-1.69"/>
    <n v="1151436.0000516053"/>
    <n v="2.104644736872528E-3"/>
    <s v="0 - 1 yr"/>
    <s v="China"/>
    <n v="5.0910717128407066E-4"/>
  </r>
  <r>
    <s v="Investments"/>
    <s v="Investments Long"/>
    <s v="Avaliable for Trading"/>
    <s v="United States Dollar"/>
    <m/>
    <s v="REDSUN 9.95 04/11/22"/>
    <s v="XS1976473618"/>
    <n v="410000"/>
    <n v="84.558999999999997"/>
    <n v="415125"/>
    <n v="3224358.9"/>
    <n v="-537115.31000000006"/>
    <n v="149319.56"/>
    <n v="2687243.59"/>
    <n v="5.9999999999999995E-4"/>
    <m/>
    <s v="Investments"/>
    <s v="BBG00NTXM180"/>
    <s v="BOND"/>
    <s v="Corp"/>
    <s v="#N/A Field Not Applicable"/>
    <n v="0.5"/>
    <n v="2.1052000000000001E-2"/>
    <s v="High"/>
    <n v="1.9"/>
    <n v="5.6417000000000002E-2"/>
    <s v="High"/>
    <n v="365956.20621589193"/>
    <s v=""/>
    <s v=""/>
    <s v=""/>
    <s v="B3"/>
    <s v="B+"/>
    <n v="0"/>
    <n v="6"/>
    <n v="8"/>
    <n v="6"/>
    <s v="CN"/>
    <s v="Financial"/>
    <s v="Real Estate"/>
    <s v="Real Estate Oper/Develop"/>
    <s v="N"/>
    <s v=" "/>
    <s v="ACTV"/>
    <s v="Corporate"/>
    <s v="Financial"/>
    <s v="Non-Investment Grade"/>
    <x v="4"/>
    <s v="High"/>
    <s v="High"/>
    <s v="Real Estate"/>
    <s v="FINANCIAL"/>
    <s v="#N/A Field Not Applicable"/>
    <n v="4.3296373510608261E-3"/>
    <s v="4/11/2022"/>
    <n v="2.0301369863013701"/>
    <s v="2 - 3 yrs"/>
    <n v="1.4649594872767455E-3"/>
    <n v="1.655195821357043"/>
    <n v="1.1943996085778761E-3"/>
    <n v="14.479826583222676"/>
    <n v="1.0448733001934061E-2"/>
    <s v="XS1976473618"/>
    <s v="-"/>
    <n v="-6.59"/>
    <n v="365956.20621589193"/>
    <n v="6.6891065009570241E-4"/>
    <s v="1 - 2 yrs"/>
    <s v="China"/>
    <n v="4.4449858131031053E-4"/>
  </r>
  <r>
    <s v="Investments"/>
    <s v="Investments Long"/>
    <s v="Avaliable for Trading"/>
    <s v="United States Dollar"/>
    <m/>
    <s v="RIBL V3.174 02/25/30"/>
    <s v="XS2120069047"/>
    <n v="5000000"/>
    <n v="90.495999999999995"/>
    <n v="5000000"/>
    <n v="38838000"/>
    <n v="-3765822.72"/>
    <n v="123009.96"/>
    <n v="35072177.280000001"/>
    <n v="7.7999999999999996E-3"/>
    <m/>
    <s v="Investments"/>
    <s v="BBG00RPXTTD1"/>
    <s v="BOND"/>
    <s v="Corp"/>
    <s v="#N/A Field Not Applicable"/>
    <n v="0.5"/>
    <n v="2.3942000000000001E-2"/>
    <s v="High"/>
    <n v="1.8"/>
    <n v="6.6052E-2"/>
    <s v="High"/>
    <n v="4540670.0003870418"/>
    <s v=""/>
    <s v=""/>
    <s v=""/>
    <s v="Baa3"/>
    <s v="BBB-"/>
    <n v="0"/>
    <n v="12"/>
    <n v="12"/>
    <n v="12"/>
    <s v="SA"/>
    <s v="Financial"/>
    <s v="Banks"/>
    <s v="Commer Banks Non-US"/>
    <s v="N"/>
    <s v=" "/>
    <s v="ACTV"/>
    <s v="Corporate"/>
    <s v="Financial"/>
    <s v="Investment Grade"/>
    <x v="12"/>
    <s v="High"/>
    <s v="High"/>
    <s v="Financials"/>
    <s v="BANK"/>
    <s v="#N/A Field Not Applicable"/>
    <n v="0.10744156868277964"/>
    <s v="2/25/2030"/>
    <n v="9.912328767123288"/>
    <s v="7 - 10 yrs"/>
    <n v="8.8749679336597428E-2"/>
    <n v="4.4096199114395658"/>
    <n v="3.9481373381657234E-2"/>
    <n v="3.8429670378784562"/>
    <n v="3.44078672454897E-2"/>
    <s v="XS2120069047"/>
    <s v="-"/>
    <n v="-5.03"/>
    <n v="4540670.0003870418"/>
    <n v="8.2996338639414278E-3"/>
    <s v="3 - 5 yrs"/>
    <s v="Saudi Arabia"/>
    <n v="1.4693084567588468E-2"/>
  </r>
  <r>
    <s v="Investments"/>
    <s v="Investments Long"/>
    <s v="Avaliable for Trading"/>
    <s v="United States Dollar"/>
    <m/>
    <s v="ROADKG 6.7 09/30/24"/>
    <s v="XS2057076387"/>
    <n v="1400000"/>
    <n v="90.08"/>
    <n v="1448300"/>
    <n v="11256911.75"/>
    <n v="-1481844.52"/>
    <n v="2019.59"/>
    <n v="9775067.2300000004"/>
    <n v="2.2000000000000001E-3"/>
    <m/>
    <s v="Investments"/>
    <s v="BBG00QDN9PZ4"/>
    <s v="BOND"/>
    <s v="Corp"/>
    <s v="#N/A Field Not Applicable"/>
    <n v="0.7"/>
    <n v="1.9406E-2"/>
    <s v="High"/>
    <n v="2"/>
    <n v="5.1122000000000001E-2"/>
    <s v="High"/>
    <n v="1261380.5550179975"/>
    <s v=""/>
    <s v=""/>
    <s v="BB-"/>
    <s v="Ba3"/>
    <s v=""/>
    <n v="9"/>
    <n v="9"/>
    <n v="0"/>
    <n v="9"/>
    <s v="CN"/>
    <s v="Financial"/>
    <s v="Real Estate"/>
    <s v="Real Estate Oper/Develop"/>
    <s v="N"/>
    <s v=" "/>
    <s v="ACTV"/>
    <s v="Corporate"/>
    <s v="Financial"/>
    <s v="Non-Investment Grade"/>
    <x v="4"/>
    <s v="High"/>
    <s v="High"/>
    <s v="#N/A Field Not Applicable"/>
    <s v="SPECIAL PURPOSE"/>
    <s v="#N/A Field Not Applicable"/>
    <n v="2.2385139009034497E-2"/>
    <s v="9/30/2024"/>
    <n v="4.5041095890410956"/>
    <s v="3 - 5 yrs"/>
    <n v="1.1202791029178908E-2"/>
    <n v="3.7821820367533365"/>
    <n v="9.4071856277996302E-3"/>
    <n v="7.7539259085901957"/>
    <n v="1.9285856592171739E-2"/>
    <s v="XS2057076387"/>
    <s v="-"/>
    <n v="-4.91"/>
    <n v="1261380.5550179975"/>
    <n v="2.3056061702022477E-3"/>
    <s v="3 - 5 yrs"/>
    <s v="China"/>
    <n v="3.5009059243232676E-3"/>
  </r>
  <r>
    <s v="Investments"/>
    <s v="Investments Long"/>
    <s v="Avaliable for Trading"/>
    <s v="United States Dollar"/>
    <m/>
    <s v="RONXIN 10.5 03/01/22"/>
    <s v="XS1957481440"/>
    <n v="6000000"/>
    <n v="95.944000000000003"/>
    <n v="6165609.4400000004"/>
    <n v="48393696.890000001"/>
    <n v="-3773404.58"/>
    <n v="406932.76"/>
    <n v="44620292.310000002"/>
    <n v="9.9000000000000008E-3"/>
    <m/>
    <s v="Investments"/>
    <s v="BBG00NG9J699"/>
    <s v="BOND"/>
    <s v="Corp"/>
    <s v="#N/A Field Not Applicable"/>
    <n v="2.2999999999999998"/>
    <n v="4.3303000000000001E-2"/>
    <s v="High"/>
    <n v="3.3"/>
    <n v="0.11279699999999999"/>
    <s v="Medium"/>
    <n v="5809140.0020642234"/>
    <s v=""/>
    <s v=""/>
    <s v=""/>
    <s v=""/>
    <s v="BB-"/>
    <n v="0"/>
    <n v="0"/>
    <n v="9"/>
    <n v="9"/>
    <s v="CN"/>
    <s v="Financial"/>
    <s v="Real Estate"/>
    <s v="Real Estate Oper/Develop"/>
    <s v="N"/>
    <s v=" "/>
    <s v="ACTV"/>
    <s v="Corporate"/>
    <s v="Financial"/>
    <s v="Non-Investment Grade"/>
    <x v="4"/>
    <s v="High"/>
    <s v="Medium"/>
    <s v="Real Estate"/>
    <s v="FINANCIAL"/>
    <s v="#N/A Field Not Applicable"/>
    <n v="0.10309212866159587"/>
    <s v="3/1/2022"/>
    <n v="1.9178082191780821"/>
    <s v="1 - 2 yrs"/>
    <n v="2.1967881297752543E-2"/>
    <n v="1.6353906664847295"/>
    <n v="1.8732878333468529E-2"/>
    <n v="14.327318515738483"/>
    <n v="0.16411486264446407"/>
    <s v="XS1957481440"/>
    <s v="-"/>
    <n v="-4.5999999999999996"/>
    <n v="5809140.0020642234"/>
    <n v="1.0618198432698109E-2"/>
    <s v="1 - 2 yrs"/>
    <s v="China"/>
    <n v="6.9714840688869023E-3"/>
  </r>
  <r>
    <s v="Investments"/>
    <s v="Investments Long"/>
    <s v="Avaliable for Trading"/>
    <s v="United States Dollar"/>
    <m/>
    <s v="RONXIN 11.25 08/22/21"/>
    <s v="XS1950819729"/>
    <n v="4000000"/>
    <n v="98.454999999999998"/>
    <n v="4237681.24"/>
    <n v="33254139.190000001"/>
    <n v="-2728757.18"/>
    <n v="377866.14"/>
    <n v="30525382.010000002"/>
    <n v="6.7999999999999996E-3"/>
    <m/>
    <s v="Investments"/>
    <s v="BBG00NDFM319"/>
    <s v="BOND"/>
    <s v="Corp"/>
    <s v="#N/A Field Not Applicable"/>
    <n v="1.5"/>
    <n v="3.3452999999999997E-2"/>
    <s v="High"/>
    <n v="2"/>
    <n v="8.7932999999999997E-2"/>
    <s v="High"/>
    <n v="3986950.0006450699"/>
    <s v=""/>
    <s v=""/>
    <s v=""/>
    <s v=""/>
    <s v="BB-"/>
    <n v="0"/>
    <n v="0"/>
    <n v="9"/>
    <n v="9"/>
    <s v="CN"/>
    <s v="Financial"/>
    <s v="Real Estate"/>
    <s v="Real Estate Oper/Develop"/>
    <s v="N"/>
    <s v=" "/>
    <s v="ACTV"/>
    <s v="Corporate"/>
    <s v="Financial"/>
    <s v="Non-Investment Grade"/>
    <x v="4"/>
    <s v="High"/>
    <s v="High"/>
    <s v="Real Estate"/>
    <s v="FINANCIAL"/>
    <s v="#N/A Field Not Applicable"/>
    <n v="7.0754563031326156E-2"/>
    <s v="8/22/2021"/>
    <n v="1.3945205479452054"/>
    <s v="1 - 2 yrs"/>
    <n v="1.0963188000896504E-2"/>
    <n v="1.1731846849597467"/>
    <n v="9.2231299710412128E-3"/>
    <n v="20.591939764208764"/>
    <n v="0.16188596666488672"/>
    <s v="XS1950819729"/>
    <s v="-"/>
    <n v="-3.3"/>
    <n v="3986950.0006450699"/>
    <n v="7.2875203959711999E-3"/>
    <s v="1 - 2 yrs"/>
    <s v="China"/>
    <n v="3.432409185272369E-3"/>
  </r>
  <r>
    <s v="Investments"/>
    <s v="Investments Long"/>
    <s v="Avaliable for Trading"/>
    <s v="United States Dollar"/>
    <m/>
    <s v="RONXIN 8.75 10/25/22"/>
    <s v="XS1976760782"/>
    <n v="3100000"/>
    <n v="94.179000000000002"/>
    <n v="3269250"/>
    <n v="25442212.329999998"/>
    <n v="-2812496.07"/>
    <n v="911077.21"/>
    <n v="22629716.260000002"/>
    <n v="5.0000000000000001E-3"/>
    <m/>
    <s v="Investments"/>
    <s v="BBG00NWVJPB7"/>
    <s v="BOND"/>
    <s v="Corp"/>
    <s v="#N/A Field Not Applicable"/>
    <n v="1.2"/>
    <n v="2.5087999999999999E-2"/>
    <s v="High"/>
    <n v="2.2000000000000002"/>
    <n v="6.5967999999999999E-2"/>
    <s v="High"/>
    <n v="3037090.6671311171"/>
    <s v=""/>
    <s v=""/>
    <s v=""/>
    <s v="B2"/>
    <s v="BB-"/>
    <n v="0"/>
    <n v="7"/>
    <n v="9"/>
    <n v="7"/>
    <s v="CN"/>
    <s v="Financial"/>
    <s v="Real Estate"/>
    <s v="Real Estate Oper/Develop"/>
    <s v="N"/>
    <s v=" "/>
    <s v="ACTV"/>
    <s v="Corporate"/>
    <s v="Financial"/>
    <s v="Non-Investment Grade"/>
    <x v="4"/>
    <s v="High"/>
    <s v="High"/>
    <s v="Real Estate"/>
    <s v="FINANCIAL"/>
    <s v="#N/A Field Not Applicable"/>
    <n v="4.192054803887383E-2"/>
    <s v="10/25/2022"/>
    <n v="2.56986301369863"/>
    <s v="2 - 3 yrs"/>
    <n v="1.5390009417011213E-2"/>
    <n v="2.1274352366832887"/>
    <n v="1.2740464434139245E-2"/>
    <n v="11.054187969630458"/>
    <n v="6.61996596873764E-2"/>
    <s v="XS1976760782"/>
    <s v="-"/>
    <n v="-5.22"/>
    <n v="3037090.6671311171"/>
    <n v="5.5513262462661434E-3"/>
    <s v="2 - 3 yrs"/>
    <s v="China"/>
    <n v="4.7413933540653213E-3"/>
  </r>
  <r>
    <s v="Investments"/>
    <s v="Investments Long"/>
    <s v="Avaliable for Trading"/>
    <s v="United States Dollar"/>
    <m/>
    <s v="SHCMBK V5 01/17/29"/>
    <s v="XS1892105823"/>
    <n v="1500000"/>
    <n v="109.608"/>
    <n v="1495507.5"/>
    <n v="11723282.57"/>
    <n v="1020455.97"/>
    <n v="119496.12"/>
    <n v="12743738.539999999"/>
    <n v="2.8E-3"/>
    <m/>
    <s v="Investments"/>
    <s v="BBG00N14WRV0"/>
    <s v="BOND"/>
    <s v="Corp"/>
    <s v="#N/A Field Not Applicable"/>
    <n v="1.3"/>
    <n v="1.4227E-2"/>
    <s v="High"/>
    <n v="2"/>
    <n v="3.7482000000000001E-2"/>
    <s v="High"/>
    <n v="1659536.6670537083"/>
    <s v=""/>
    <s v=""/>
    <s v=""/>
    <s v="A3"/>
    <s v="BBB+"/>
    <n v="0"/>
    <n v="15"/>
    <n v="14"/>
    <n v="14"/>
    <s v="HK"/>
    <s v="Financial"/>
    <s v="Banks"/>
    <s v="Commer Banks Non-US"/>
    <s v="N"/>
    <s v=" "/>
    <s v="ACTV"/>
    <s v="Corporate"/>
    <s v="Financial"/>
    <s v="Investment Grade"/>
    <x v="1"/>
    <s v="High"/>
    <s v="High"/>
    <s v="#N/A Field Not Applicable"/>
    <s v="BANK"/>
    <s v="#N/A Field Not Applicable"/>
    <n v="4.5812716311965228E-2"/>
    <s v="1/17/2029"/>
    <n v="8.8054794520547937"/>
    <s v="7 - 10 yrs"/>
    <n v="2.8814495151987522E-2"/>
    <n v="3.431869368255994"/>
    <n v="1.1230232699116799E-2"/>
    <n v="2.6490437564971696"/>
    <n v="8.6685635795991107E-3"/>
    <s v="XS1892105823"/>
    <s v="-"/>
    <n v="-1.57"/>
    <n v="1659536.6670537083"/>
    <n v="3.0333732068521624E-3"/>
    <s v="3 - 5 yrs"/>
    <s v="Hong Kong"/>
    <n v="4.1793571152335188E-3"/>
  </r>
  <r>
    <s v="Investments"/>
    <s v="Investments Long"/>
    <s v="Avaliable for Trading"/>
    <s v="United States Dollar"/>
    <m/>
    <s v="SHIMAO 6.125 02/21/24"/>
    <s v="XS1953029284"/>
    <n v="1500000"/>
    <n v="99.846000000000004"/>
    <n v="1500750"/>
    <n v="11778403.57"/>
    <n v="-169658.61"/>
    <n v="79125.8"/>
    <n v="11608744.960000001"/>
    <n v="2.5999999999999999E-3"/>
    <m/>
    <s v="Investments"/>
    <s v="BBG00NB7HXS0"/>
    <s v="BOND"/>
    <s v="Corp"/>
    <s v="#N/A Field Not Applicable"/>
    <n v="1"/>
    <n v="3.7827E-2"/>
    <s v="High"/>
    <n v="2"/>
    <n v="0.102607"/>
    <s v="High"/>
    <n v="1507898.3318496731"/>
    <s v=""/>
    <s v=""/>
    <s v=""/>
    <s v=""/>
    <s v="BBB-"/>
    <n v="0"/>
    <n v="0"/>
    <n v="12"/>
    <n v="12"/>
    <s v="CN"/>
    <s v="Financial"/>
    <s v="Real Estate"/>
    <s v="Real Estate Oper/Develop"/>
    <s v="N"/>
    <s v=" "/>
    <s v="ACTV"/>
    <s v="Corporate"/>
    <s v="Financial"/>
    <s v="Investment Grade"/>
    <x v="4"/>
    <s v="High"/>
    <s v="High"/>
    <s v="Real Estate"/>
    <s v="FINANCIAL"/>
    <s v="#N/A Field Not Applicable"/>
    <n v="3.567996841309011E-2"/>
    <s v="2/21/2024"/>
    <n v="3.8958904109589043"/>
    <s v="3 - 5 yrs"/>
    <n v="1.158377056698953E-2"/>
    <n v="3.387462119266023"/>
    <n v="1.0072045117995915E-2"/>
    <n v="5.7909786228421005"/>
    <n v="1.7218494528657185E-2"/>
    <s v="XS1953029284"/>
    <s v="-"/>
    <n v="-4.07"/>
    <n v="1507898.3318496731"/>
    <n v="2.756202070913229E-3"/>
    <s v="3 - 5 yrs"/>
    <s v="China"/>
    <n v="3.7483349238310788E-3"/>
  </r>
  <r>
    <s v="Investments"/>
    <s v="Investments Long"/>
    <s v="Avaliable for Trading"/>
    <s v="United States Dollar"/>
    <m/>
    <s v="SHINFN V5.875 PERP"/>
    <s v="XS1856024432"/>
    <n v="5000000"/>
    <n v="104.727"/>
    <n v="4979900"/>
    <n v="38970386.649999999"/>
    <n v="1617085.83"/>
    <n v="303584.75"/>
    <n v="40587472.479999997"/>
    <n v="8.9999999999999993E-3"/>
    <m/>
    <s v="Investments"/>
    <s v="BBG00LNF6KZ5"/>
    <s v="BOND"/>
    <s v="Corp"/>
    <s v="#N/A Field Not Applicable"/>
    <n v="4.5999999999999996"/>
    <n v="1.7232000000000001E-2"/>
    <s v="Medium"/>
    <n v="8.6"/>
    <n v="3.9209000000000001E-2"/>
    <s v="Low"/>
    <n v="5275516.6660215966"/>
    <s v=""/>
    <s v=""/>
    <s v=""/>
    <s v="Baa3"/>
    <s v=""/>
    <n v="0"/>
    <n v="12"/>
    <n v="0"/>
    <n v="12"/>
    <s v="KR"/>
    <s v="Financial"/>
    <s v="Banks"/>
    <s v="Commer Banks Non-US"/>
    <s v="N"/>
    <s v=" "/>
    <s v="ACTV"/>
    <s v="Corporate"/>
    <s v="Financial"/>
    <s v="Investment Grade"/>
    <x v="13"/>
    <s v="Medium"/>
    <s v="Low"/>
    <s v="Financials"/>
    <s v="BANK"/>
    <s v="#N/A Field Not Applicable"/>
    <n v="0.12482954853825401"/>
    <s v="2/13/2169"/>
    <n v="148.97260273972603"/>
    <s v="10 yrs or Above"/>
    <n v="1.5496818953807219"/>
    <n v="3.0056853249890709"/>
    <n v="3.1266528513870087E-2"/>
    <n v="3.5495203467764029"/>
    <n v="3.6923751867953769E-2"/>
    <s v="XS1856024432"/>
    <s v="-"/>
    <n v="-2.42"/>
    <n v="5275516.6660215966"/>
    <n v="9.6428185195946963E-3"/>
    <s v="3 - 5 yrs"/>
    <s v="Korea"/>
    <n v="1.1635911019312316E-2"/>
  </r>
  <r>
    <s v="Investments"/>
    <s v="Investments Long"/>
    <s v="Avaliable for Trading"/>
    <s v="United States Dollar"/>
    <m/>
    <s v="SIB V5 PERP"/>
    <s v="XS2010323009"/>
    <n v="3000000"/>
    <n v="103.56"/>
    <n v="3000000"/>
    <n v="23431200"/>
    <n v="649917.48"/>
    <n v="287436.62"/>
    <n v="24081117.48"/>
    <n v="5.4000000000000003E-3"/>
    <m/>
    <s v="Investments"/>
    <s v="BBG00PKD4F69"/>
    <s v="BOND"/>
    <s v="Corp"/>
    <s v="#N/A Field Not Applicable"/>
    <n v="0.5"/>
    <n v="2.758E-3"/>
    <s v="High"/>
    <n v="1.5"/>
    <n v="8.6979999999999991E-3"/>
    <s v="High"/>
    <n v="3143883.3326882636"/>
    <s v=""/>
    <s v=""/>
    <s v=""/>
    <s v=""/>
    <s v=""/>
    <n v="0"/>
    <n v="0"/>
    <n v="0"/>
    <n v="0"/>
    <s v="AE"/>
    <s v="Financial"/>
    <s v="Banks"/>
    <s v="Commer Banks Non-US"/>
    <s v="N"/>
    <s v=" "/>
    <s v="ACTV"/>
    <s v="Corporate"/>
    <s v="Financial"/>
    <s v="Non-Investment Grade"/>
    <x v="14"/>
    <s v="High"/>
    <s v="High"/>
    <s v="#N/A Field Not Applicable"/>
    <s v="SPECIAL PURPOSE"/>
    <s v="#N/A Field Not Applicable"/>
    <n v="0"/>
    <s v="1/2/2169"/>
    <n v="148.85753424657534"/>
    <s v="10 yrs or Above"/>
    <n v="0.92280172262035465"/>
    <n v="4.5325232506707218"/>
    <n v="2.8098142863279212E-2"/>
    <n v="3.8578097873966568"/>
    <n v="2.3915440594725567E-2"/>
    <s v="XS2010323009"/>
    <s v="-"/>
    <n v="-4.82"/>
    <n v="3143883.3326882636"/>
    <n v="5.7465265192221419E-3"/>
    <s v="3 - 5 yrs"/>
    <s v="United Arab Emirates"/>
    <n v="1.0456788959478047E-2"/>
  </r>
  <r>
    <s v="Investments"/>
    <s v="Investments Long"/>
    <s v="Avaliable for Trading"/>
    <s v="United States Dollar"/>
    <m/>
    <s v="SMCGL V5.7 PERP"/>
    <s v="XS2098881654"/>
    <n v="3000000"/>
    <n v="79.17"/>
    <n v="3000000"/>
    <n v="23330999.989999998"/>
    <n v="-4921362.38"/>
    <n v="257724.08"/>
    <n v="18409637.609999999"/>
    <n v="4.1000000000000003E-3"/>
    <m/>
    <s v="Investments"/>
    <s v="BBG00R9SNYG2"/>
    <s v="BOND"/>
    <s v="Corp"/>
    <s v="#N/A Field Not Applicable"/>
    <n v="1.3"/>
    <n v="3.4928000000000001E-2"/>
    <s v="High"/>
    <n v="2"/>
    <n v="9.1260999999999995E-2"/>
    <s v="High"/>
    <n v="2408350.0006450694"/>
    <s v=""/>
    <s v=""/>
    <s v=""/>
    <s v=""/>
    <s v=""/>
    <n v="0"/>
    <n v="0"/>
    <n v="0"/>
    <n v="0"/>
    <s v="PH"/>
    <s v="Utilities"/>
    <s v="Electric"/>
    <s v="Independ Power Producer"/>
    <s v="N"/>
    <s v=" "/>
    <s v="ACTV"/>
    <s v="Corporate"/>
    <s v="Non-Financial"/>
    <s v="Non-Investment Grade"/>
    <x v="3"/>
    <s v="High"/>
    <s v="High"/>
    <s v="#N/A Field Not Applicable"/>
    <s v="INDUSTRIAL"/>
    <s v="#N/A Field Not Applicable"/>
    <n v="0"/>
    <s v="7/21/2168"/>
    <n v="148.40547945205481"/>
    <s v="10 yrs or Above"/>
    <n v="0.7047591012729898"/>
    <n v="4.5795330959163243"/>
    <n v="2.1747631157854892E-2"/>
    <n v="8.2014640607175515"/>
    <n v="3.8947729301473562E-2"/>
    <s v="XS2098881654"/>
    <s v="-"/>
    <n v="-12"/>
    <n v="2408350.0006450694"/>
    <n v="4.4020867448798058E-3"/>
    <s v="3 - 5 yrs"/>
    <s v="Philippines"/>
    <n v="8.0934313165392513E-3"/>
  </r>
  <r>
    <s v="Investments"/>
    <s v="Investments Long"/>
    <s v="Avaliable for Trading"/>
    <s v="United States Dollar"/>
    <m/>
    <s v="SRENVX V5 04/02/49 REGS"/>
    <s v="XS1973748707"/>
    <n v="2000000"/>
    <n v="102.453"/>
    <n v="2000000"/>
    <n v="15698800"/>
    <n v="183668.97"/>
    <n v="385401.92"/>
    <n v="15882468.970000001"/>
    <n v="3.5000000000000001E-3"/>
    <m/>
    <s v="Investments"/>
    <s v="BBG00NQCT2V4"/>
    <s v="BOND"/>
    <s v="Corp"/>
    <s v="#N/A Field Not Applicable"/>
    <n v="0.7"/>
    <n v="6.5252000000000004E-2"/>
    <s v="High"/>
    <n v="2"/>
    <n v="0.18116599999999999"/>
    <s v="High"/>
    <n v="2098782.2231683247"/>
    <s v=""/>
    <s v=""/>
    <s v="A"/>
    <s v="A2"/>
    <s v=""/>
    <n v="16"/>
    <n v="16"/>
    <n v="0"/>
    <n v="16"/>
    <s v="CH"/>
    <s v="Financial"/>
    <s v="Insurance"/>
    <s v="Reinsurance"/>
    <s v="N"/>
    <s v=" "/>
    <s v="ACTV"/>
    <s v="Corporate"/>
    <s v="Financial"/>
    <s v="Investment Grade"/>
    <x v="15"/>
    <s v="High"/>
    <s v="High"/>
    <s v="#N/A Field Not Applicable"/>
    <s v="FINANCIAL"/>
    <s v="#N/A Field Not Applicable"/>
    <n v="6.6215324863662689E-2"/>
    <s v="4/2/2049"/>
    <n v="29.024657534246575"/>
    <s v="10 yrs or Above"/>
    <n v="0.12011732048041823"/>
    <n v="7.1620209519019493"/>
    <n v="2.963972150065914E-2"/>
    <n v="4.4430959498542535"/>
    <n v="1.8387565107501461E-2"/>
    <s v="XS1973748707"/>
    <s v="-"/>
    <n v="-7.44"/>
    <n v="2098782.2231683247"/>
    <n v="3.8362453142292475E-3"/>
    <s v="7 - 10 yrs"/>
    <s v="Switzerland"/>
    <n v="1.1030491020641258E-2"/>
  </r>
  <r>
    <s v="Investments"/>
    <s v="Investments Long"/>
    <s v="Avaliable for Trading"/>
    <s v="United States Dollar"/>
    <m/>
    <s v="SRILAN 7.55 03/28/30 REGS"/>
    <s v="USY8137FAR92"/>
    <n v="2000000"/>
    <n v="56.728000000000002"/>
    <n v="1690000"/>
    <n v="13127360"/>
    <n v="-4333271.9800000004"/>
    <n v="9753.4599999999991"/>
    <n v="8794088.0199999996"/>
    <n v="2E-3"/>
    <m/>
    <s v="Investments"/>
    <s v="BBG00PK1ZYS6"/>
    <s v="BOND"/>
    <s v="Govt"/>
    <s v="#N/A Field Not Applicable"/>
    <n v="1.3"/>
    <n v="0.11730500000000001"/>
    <s v="High"/>
    <n v="2"/>
    <n v="0.32538"/>
    <s v="High"/>
    <n v="1135818.3328817845"/>
    <s v=""/>
    <s v=""/>
    <s v="B"/>
    <s v="B2"/>
    <s v="B"/>
    <n v="7"/>
    <n v="7"/>
    <n v="7"/>
    <n v="7"/>
    <s v="LK"/>
    <s v="Government"/>
    <s v="Sovereign"/>
    <s v="Sovereign"/>
    <s v="N"/>
    <s v=" "/>
    <s v="ACTV"/>
    <s v="Government"/>
    <s v="Non-Financial"/>
    <s v="Non-Investment Grade"/>
    <x v="16"/>
    <s v="High"/>
    <s v="High"/>
    <s v="#N/A Field Not Applicable"/>
    <s v="GOVT NATIONAL"/>
    <s v="#N/A Field Not Applicable"/>
    <n v="1.5677545455691475E-2"/>
    <s v="3/28/2030"/>
    <n v="9.9972602739726035"/>
    <s v="7 - 10 yrs"/>
    <n v="2.2390357482512013E-2"/>
    <n v="5.6574110777368096"/>
    <n v="1.2670617047535904E-2"/>
    <n v="16.532918997267142"/>
    <n v="3.7027941299274399E-2"/>
    <s v="USY8137FAR92"/>
    <s v="-"/>
    <n v="-15.76"/>
    <n v="1135818.3328817845"/>
    <n v="2.076098086420643E-3"/>
    <s v="5 - 7 yrs"/>
    <e v="#N/A"/>
    <n v="4.7153994873305651E-3"/>
  </r>
  <r>
    <s v="Investments"/>
    <s v="Investments Long"/>
    <s v="Avaliable for Trading"/>
    <s v="United States Dollar"/>
    <m/>
    <s v="SUNAC 6.5 01/10/25"/>
    <s v="XS2100444772"/>
    <n v="3700000"/>
    <n v="88.02"/>
    <n v="3464005.94"/>
    <n v="26897436.140000001"/>
    <n v="-1654118.72"/>
    <n v="419431.4"/>
    <n v="25243317.420000002"/>
    <n v="5.5999999999999999E-3"/>
    <m/>
    <s v="Investments"/>
    <s v="BBG00R9SLKK9"/>
    <s v="BOND"/>
    <s v="Corp"/>
    <s v="#N/A Field Not Applicable"/>
    <n v="1.2"/>
    <n v="8.4473000000000006E-2"/>
    <s v="High"/>
    <n v="2.6"/>
    <n v="0.232018"/>
    <s v="High"/>
    <n v="3310852.500935351"/>
    <s v=""/>
    <s v=""/>
    <s v="B+"/>
    <s v="B1"/>
    <s v="BB"/>
    <n v="8"/>
    <n v="8"/>
    <n v="10"/>
    <n v="8"/>
    <s v="CN"/>
    <s v="Financial"/>
    <s v="Real Estate"/>
    <s v="Real Estate Oper/Develop"/>
    <s v="N"/>
    <s v=" "/>
    <s v="ACTV"/>
    <s v="Corporate"/>
    <s v="Financial"/>
    <s v="Non-Investment Grade"/>
    <x v="4"/>
    <s v="High"/>
    <s v="High"/>
    <s v="Real Estate"/>
    <s v="FINANCIAL"/>
    <s v="#N/A Field Not Applicable"/>
    <n v="5.2227708884001238E-2"/>
    <s v="1/10/2025"/>
    <n v="4.7835616438356166"/>
    <s v="3 - 5 yrs"/>
    <n v="3.1229308120365125E-2"/>
    <n v="3.8653034507304351"/>
    <n v="2.5234492921634322E-2"/>
    <n v="9.7684489770457557"/>
    <n v="6.3772963677670672E-2"/>
    <s v="XS2100444772"/>
    <s v="-"/>
    <n v="-7.88"/>
    <n v="3310852.500935351"/>
    <n v="6.0517200177365761E-3"/>
    <s v="3 - 5 yrs"/>
    <s v="China"/>
    <n v="9.3910749996869141E-3"/>
  </r>
  <r>
    <s v="Investments"/>
    <s v="Investments Long"/>
    <s v="Avaliable for Trading"/>
    <s v="United States Dollar"/>
    <m/>
    <s v="SUNAC 7.5 02/01/24"/>
    <s v="XS2075937297"/>
    <n v="1000000"/>
    <n v="90.468000000000004"/>
    <n v="907500"/>
    <n v="7034123.25"/>
    <n v="-21858.1"/>
    <n v="0"/>
    <n v="7012265.1500000004"/>
    <n v="1.6000000000000001E-3"/>
    <m/>
    <s v="Investments"/>
    <s v="BBG00QQ1W050"/>
    <s v="BOND"/>
    <s v="Corp"/>
    <s v="#N/A Field Not Applicable"/>
    <n v="0.6"/>
    <n v="5.8994999999999999E-2"/>
    <s v="High"/>
    <n v="2"/>
    <n v="0.16311300000000001"/>
    <s v="High"/>
    <n v="904680.00025802793"/>
    <s v=""/>
    <s v=""/>
    <s v="B+"/>
    <s v="B1"/>
    <s v="BB"/>
    <n v="8"/>
    <n v="8"/>
    <n v="10"/>
    <n v="8"/>
    <s v="CN"/>
    <s v="Financial"/>
    <s v="Real Estate"/>
    <s v="Real Estate Oper/Develop"/>
    <s v="N"/>
    <s v=" "/>
    <s v="ACTV"/>
    <s v="Corporate"/>
    <s v="Financial"/>
    <s v="Non-Investment Grade"/>
    <x v="4"/>
    <s v="High"/>
    <s v="High"/>
    <s v="Real Estate"/>
    <s v="FINANCIAL"/>
    <s v="#N/A Field Not Applicable"/>
    <n v="1.4271056675978768E-2"/>
    <s v="2/1/2024"/>
    <n v="3.8410958904109589"/>
    <s v="3 - 5 yrs"/>
    <n v="6.8520621437404916E-3"/>
    <n v="2.9847806890415525"/>
    <n v="5.3244967973348697E-3"/>
    <n v="15.018649705861373"/>
    <n v="2.6791500143627443E-2"/>
    <s v="XS2075937297"/>
    <s v="-"/>
    <n v="-6.93"/>
    <n v="904680.00025802793"/>
    <n v="1.6536134018838742E-3"/>
    <s v="2 - 3 yrs"/>
    <s v="China"/>
    <n v="1.9815238179997515E-3"/>
  </r>
  <r>
    <s v="Investments"/>
    <s v="Investments Long"/>
    <s v="Avaliable for Trading"/>
    <s v="United States Dollar"/>
    <m/>
    <s v="SUNAC 7.875 02/15/22"/>
    <s v="XS1953150197"/>
    <n v="1500000"/>
    <n v="96.453000000000003"/>
    <n v="1501875"/>
    <n v="11769743.810000001"/>
    <n v="-555491.09"/>
    <n v="116993.17"/>
    <n v="11214252.720000001"/>
    <n v="2.5000000000000001E-3"/>
    <m/>
    <s v="Investments"/>
    <s v="BBG00NB0B2N4"/>
    <s v="BOND"/>
    <s v="Corp"/>
    <s v="#N/A Field Not Applicable"/>
    <n v="1.3"/>
    <n v="3.9448999999999998E-2"/>
    <s v="High"/>
    <n v="2"/>
    <n v="0.106324"/>
    <s v="High"/>
    <n v="1461888.7499838732"/>
    <s v=""/>
    <s v=""/>
    <s v="B+"/>
    <s v="B1"/>
    <s v="BB"/>
    <n v="8"/>
    <n v="8"/>
    <n v="10"/>
    <n v="8"/>
    <s v="CN"/>
    <s v="Financial"/>
    <s v="Real Estate"/>
    <s v="Real Estate Oper/Develop"/>
    <s v="N"/>
    <s v=" "/>
    <s v="ACTV"/>
    <s v="Corporate"/>
    <s v="Financial"/>
    <s v="Non-Investment Grade"/>
    <x v="4"/>
    <s v="High"/>
    <s v="High"/>
    <s v="Real Estate"/>
    <s v="FINANCIAL"/>
    <s v="#N/A Field Not Applicable"/>
    <n v="2.3060858202950507E-2"/>
    <s v="2/15/2022"/>
    <n v="1.8794520547945206"/>
    <s v="1 - 2 yrs"/>
    <n v="5.417722166857551E-3"/>
    <n v="1.6319511177392139"/>
    <n v="4.7042741650413257E-3"/>
    <n v="13.384530290353075"/>
    <n v="3.8582344392366026E-2"/>
    <s v="XS1953150197"/>
    <s v="-"/>
    <n v="-3.65"/>
    <n v="1461888.7499838732"/>
    <n v="2.6721037586186496E-3"/>
    <s v="1 - 2 yrs"/>
    <s v="China"/>
    <n v="1.7507065285673833E-3"/>
  </r>
  <r>
    <s v="Investments"/>
    <s v="Investments Long"/>
    <s v="Avaliable for Trading"/>
    <s v="United States Dollar"/>
    <m/>
    <s v="SUNAC 7.95 08/08/22"/>
    <s v="XS1594400449"/>
    <n v="3000000"/>
    <n v="95.35"/>
    <n v="3153750"/>
    <n v="24493914.75"/>
    <n v="-2321893.2000000002"/>
    <n v="272160.5"/>
    <n v="22172021.550000001"/>
    <n v="4.8999999999999998E-3"/>
    <m/>
    <s v="Investments"/>
    <s v="BBG00HC2ZDQ9"/>
    <s v="BOND"/>
    <s v="Corp"/>
    <s v="#N/A Field Not Applicable"/>
    <n v="1.7"/>
    <n v="4.8194000000000001E-2"/>
    <s v="High"/>
    <n v="2.2999999999999998"/>
    <n v="0.12929499999999999"/>
    <s v="High"/>
    <n v="2895612.5001612674"/>
    <s v=""/>
    <s v=""/>
    <s v="B+"/>
    <s v="B1"/>
    <s v="BB"/>
    <n v="8"/>
    <n v="8"/>
    <n v="10"/>
    <n v="8"/>
    <s v="CN"/>
    <s v="Financial"/>
    <s v="Real Estate"/>
    <s v="Real Estate Oper/Develop"/>
    <s v="N"/>
    <s v=" "/>
    <s v="ACTV"/>
    <s v="Corporate"/>
    <s v="Financial"/>
    <s v="Non-Investment Grade"/>
    <x v="4"/>
    <s v="High"/>
    <s v="High"/>
    <s v="Real Estate"/>
    <s v="FINANCIAL"/>
    <s v="#N/A Field Not Applicable"/>
    <n v="4.5677421949957969E-2"/>
    <s v="8/8/2022"/>
    <n v="2.3561643835616439"/>
    <s v="2 - 3 yrs"/>
    <n v="1.3452939341425978E-2"/>
    <n v="2.0537309803542256"/>
    <n v="1.1726142070167603E-2"/>
    <n v="9.4951139302214997"/>
    <n v="5.4214040681706405E-2"/>
    <s v="XS1594400449"/>
    <s v="-"/>
    <n v="-4.54"/>
    <n v="2895612.5001612674"/>
    <n v="5.2927263071621709E-3"/>
    <s v="2 - 3 yrs"/>
    <s v="China"/>
    <n v="4.3639109365069782E-3"/>
  </r>
  <r>
    <s v="Investments"/>
    <s v="Investments Long"/>
    <s v="Avaliable for Trading"/>
    <s v="United States Dollar"/>
    <m/>
    <s v="SUNAC 8.35 04/19/23"/>
    <s v="XS1810024338"/>
    <n v="263000"/>
    <n v="95.091999999999999"/>
    <n v="210400"/>
    <n v="1631168.08"/>
    <n v="307319.71000000002"/>
    <n v="76598.11"/>
    <n v="1938487.79"/>
    <n v="4.0000000000000002E-4"/>
    <m/>
    <s v="Investments"/>
    <s v="BBG00KMRGS75"/>
    <s v="BOND"/>
    <s v="Corp"/>
    <s v="#N/A Field Not Applicable"/>
    <n v="0.5"/>
    <n v="5.9076999999999998E-2"/>
    <s v="High"/>
    <n v="2"/>
    <n v="0.16355"/>
    <s v="High"/>
    <n v="259974.18430932384"/>
    <s v=""/>
    <s v=""/>
    <s v="B+"/>
    <s v="B1"/>
    <s v="BB"/>
    <n v="8"/>
    <n v="8"/>
    <n v="10"/>
    <n v="8"/>
    <s v="CN"/>
    <s v="Financial"/>
    <s v="Real Estate"/>
    <s v="Real Estate Oper/Develop"/>
    <s v="N"/>
    <s v=" "/>
    <s v="ACTV"/>
    <s v="Corporate"/>
    <s v="Financial"/>
    <s v="Non-Investment Grade"/>
    <x v="4"/>
    <s v="High"/>
    <s v="High"/>
    <s v="Real Estate"/>
    <s v="FINANCIAL"/>
    <s v="#N/A Field Not Applicable"/>
    <n v="4.1010150744036945E-3"/>
    <s v="4/19/2023"/>
    <n v="3.0520547945205481"/>
    <s v="3 - 5 yrs"/>
    <n v="1.5645653400293549E-3"/>
    <n v="2.4179142733196759"/>
    <n v="1.2394878604374807E-3"/>
    <n v="14.77397885438524"/>
    <n v="7.5735387488444113E-3"/>
    <s v="XS1810024338"/>
    <s v="-"/>
    <n v="-5.52"/>
    <n v="259974.18430932384"/>
    <n v="4.7519210681690042E-4"/>
    <s v="2 - 3 yrs"/>
    <s v="China"/>
    <n v="4.6127827869251158E-4"/>
  </r>
  <r>
    <s v="Investments"/>
    <s v="Investments Long"/>
    <s v="Avaliable for Trading"/>
    <s v="United States Dollar"/>
    <m/>
    <s v="SUNAC 8.375 01/15/21"/>
    <s v="XS1936202644"/>
    <n v="2000000"/>
    <n v="99.251000000000005"/>
    <n v="2018125"/>
    <n v="15825245.060000001"/>
    <n v="-439156.53"/>
    <n v="274087.51"/>
    <n v="15386088.529999999"/>
    <n v="3.3999999999999998E-3"/>
    <m/>
    <s v="Investments"/>
    <s v="BBG00N14RT60"/>
    <s v="BOND"/>
    <s v="Corp"/>
    <s v="#N/A Field Not Applicable"/>
    <n v="1"/>
    <n v="2.5072000000000001E-2"/>
    <s v="High"/>
    <n v="2"/>
    <n v="6.6365999999999994E-2"/>
    <s v="High"/>
    <n v="2020381.1123582458"/>
    <s v=""/>
    <s v=""/>
    <s v="B+"/>
    <s v="B1"/>
    <s v="BB"/>
    <n v="8"/>
    <n v="8"/>
    <n v="10"/>
    <n v="8"/>
    <s v="CN"/>
    <s v="Financial"/>
    <s v="Real Estate"/>
    <s v="Real Estate Oper/Develop"/>
    <s v="N"/>
    <s v=" "/>
    <s v="ACTV"/>
    <s v="Corporate"/>
    <s v="Financial"/>
    <s v="Non-Investment Grade"/>
    <x v="4"/>
    <s v="High"/>
    <s v="High"/>
    <s v="Real Estate"/>
    <s v="FINANCIAL"/>
    <s v="#N/A Field Not Applicable"/>
    <n v="3.187090833589553E-2"/>
    <s v="1/15/2021"/>
    <n v="0.79452054794520544"/>
    <s v="0 - 1 yr"/>
    <n v="3.1652614443183919E-3"/>
    <n v="0.71814983523451215"/>
    <n v="2.861010946274702E-3"/>
    <n v="10.189051186046255"/>
    <n v="4.0591789547528477E-2"/>
    <s v="XS1936202644"/>
    <s v="-"/>
    <n v="-1.52"/>
    <n v="2020381.1123582458"/>
    <n v="3.6929403583098588E-3"/>
    <s v="0 - 1 yr"/>
    <s v="China"/>
    <n v="1.0647318515505499E-3"/>
  </r>
  <r>
    <s v="Investments"/>
    <s v="Investments Long"/>
    <s v="Avaliable for Trading"/>
    <s v="United States Dollar"/>
    <m/>
    <s v="SUNAC 8.625 07/27/20"/>
    <s v="XS1861032628"/>
    <n v="2000000"/>
    <n v="99.504000000000005"/>
    <n v="2014440.44"/>
    <n v="15792156.630000001"/>
    <n v="-366847.45"/>
    <n v="237700.39"/>
    <n v="15425309.18"/>
    <n v="3.3999999999999998E-3"/>
    <m/>
    <s v="Investments"/>
    <s v="BBG00LJTVJR4"/>
    <s v="BOND"/>
    <s v="Corp"/>
    <s v="#N/A Field Not Applicable"/>
    <n v="0.8"/>
    <n v="1.7103E-2"/>
    <s v="High"/>
    <n v="2"/>
    <n v="4.4645999999999998E-2"/>
    <s v="High"/>
    <n v="2020746.6772458104"/>
    <s v=""/>
    <s v=""/>
    <s v="B+"/>
    <s v="B1"/>
    <s v="BB"/>
    <n v="8"/>
    <n v="8"/>
    <n v="10"/>
    <n v="8"/>
    <s v="CN"/>
    <s v="Financial"/>
    <s v="Real Estate"/>
    <s v="Real Estate Oper/Develop"/>
    <s v="N"/>
    <s v=" "/>
    <s v="ACTV"/>
    <s v="Corporate"/>
    <s v="Financial"/>
    <s v="Non-Investment Grade"/>
    <x v="4"/>
    <s v="High"/>
    <s v="High"/>
    <s v="Real Estate"/>
    <s v="FINANCIAL"/>
    <s v="#N/A Field Not Applicable"/>
    <n v="3.1876675012762153E-2"/>
    <s v="7/27/2020"/>
    <n v="0.32328767123287672"/>
    <s v="0 - 1 yr"/>
    <n v="1.2881670039403886E-3"/>
    <n v="0.30042233899794468"/>
    <n v="1.1970581583514179E-3"/>
    <n v="8.5404034590408706"/>
    <n v="3.4029958192714448E-2"/>
    <s v="XS1861032628"/>
    <s v="-"/>
    <n v="-0.66"/>
    <n v="2020746.6772458104"/>
    <n v="3.6936085536907258E-3"/>
    <s v="0 - 1 yr"/>
    <s v="China"/>
    <n v="4.4548796676740154E-4"/>
  </r>
  <r>
    <s v="Investments"/>
    <s v="Investments Long"/>
    <s v="Avaliable for Trading"/>
    <s v="United States Dollar"/>
    <m/>
    <s v="SUNSHI 10 02/12/23"/>
    <s v="XS2056435246"/>
    <n v="3700000"/>
    <n v="90.453000000000003"/>
    <n v="3708660"/>
    <n v="29026932.460000001"/>
    <n v="-3085853.27"/>
    <n v="1107330.77"/>
    <n v="25941079.190000001"/>
    <n v="5.7999999999999996E-3"/>
    <m/>
    <s v="Investments"/>
    <s v="BBG00QRVV6Z8"/>
    <s v="BOND"/>
    <s v="Corp"/>
    <s v="#N/A Field Not Applicable"/>
    <n v="1.6"/>
    <n v="5.4169000000000002E-2"/>
    <s v="High"/>
    <n v="2"/>
    <n v="0.14125399999999999"/>
    <s v="High"/>
    <n v="3489622.1129904143"/>
    <s v=""/>
    <s v=""/>
    <s v=""/>
    <s v=""/>
    <s v="B"/>
    <n v="0"/>
    <n v="0"/>
    <n v="7"/>
    <n v="7"/>
    <s v="CN"/>
    <s v="Financial"/>
    <s v="Real Estate"/>
    <s v="Real Estate Oper/Develop"/>
    <s v="N"/>
    <s v=" "/>
    <s v="ACTV"/>
    <s v="Corporate"/>
    <s v="Financial"/>
    <s v="Non-Investment Grade"/>
    <x v="4"/>
    <s v="High"/>
    <s v="High"/>
    <s v="#N/A Field Not Applicable"/>
    <s v="SPECIAL PURPOSE"/>
    <s v="#N/A Field Not Applicable"/>
    <n v="4.8166777833905078E-2"/>
    <s v="2/12/2023"/>
    <n v="2.871232876712329"/>
    <s v="2 - 3 yrs"/>
    <n v="1.975686229742956E-2"/>
    <n v="1.3390719117037946"/>
    <n v="9.2141113249513181E-3"/>
    <n v="13.548731632790641"/>
    <n v="9.3228392355404102E-2"/>
    <s v="XS2056435246"/>
    <s v="-"/>
    <n v="-5.13"/>
    <n v="3489622.1129904143"/>
    <n v="6.3784828800298957E-3"/>
    <s v="1 - 2 yrs"/>
    <s v="China"/>
    <n v="3.4290528752371784E-3"/>
  </r>
  <r>
    <s v="Investments"/>
    <s v="Investments Long"/>
    <s v="Avaliable for Trading"/>
    <s v="United States Dollar"/>
    <m/>
    <s v="SUNSHI 10.25 03/18/22"/>
    <s v="XS2008157856"/>
    <n v="1300000"/>
    <n v="89.474000000000004"/>
    <n v="1277250"/>
    <n v="9997929.8300000001"/>
    <n v="-982144.86"/>
    <n v="37296.79"/>
    <n v="9015784.9700000007"/>
    <n v="2E-3"/>
    <m/>
    <s v="Investments"/>
    <s v="BBG00PDYXN26"/>
    <s v="BOND"/>
    <s v="Corp"/>
    <s v="#N/A Field Not Applicable"/>
    <n v="1"/>
    <n v="3.3392999999999999E-2"/>
    <s v="High"/>
    <n v="2"/>
    <n v="8.7244000000000002E-2"/>
    <s v="High"/>
    <n v="1167973.8050083213"/>
    <s v=""/>
    <s v=""/>
    <s v=""/>
    <s v="B2"/>
    <s v=""/>
    <n v="0"/>
    <n v="7"/>
    <n v="0"/>
    <n v="7"/>
    <s v="CN"/>
    <s v="Financial"/>
    <s v="Real Estate"/>
    <s v="Real Estate Oper/Develop"/>
    <s v="N"/>
    <s v=" "/>
    <s v="ACTV"/>
    <s v="Corporate"/>
    <s v="Financial"/>
    <s v="Non-Investment Grade"/>
    <x v="4"/>
    <s v="High"/>
    <s v="High"/>
    <s v="#N/A Field Not Applicable"/>
    <s v="SPECIAL PURPOSE"/>
    <s v="#N/A Field Not Applicable"/>
    <n v="1.6121383049537981E-2"/>
    <s v="3/18/2022"/>
    <n v="1.9643835616438357"/>
    <s v="1 - 2 yrs"/>
    <n v="4.5240828362108545E-3"/>
    <n v="1.7248090805777188"/>
    <n v="3.9723296964735465E-3"/>
    <n v="9.774559105341039"/>
    <n v="2.2511344496793165E-2"/>
    <s v="XS2008157856"/>
    <s v="-"/>
    <n v="-5.9"/>
    <n v="1167973.8050083213"/>
    <n v="2.1348732551401666E-3"/>
    <s v="1 - 2 yrs"/>
    <s v="China"/>
    <n v="1.478311698947767E-3"/>
  </r>
  <r>
    <s v="Investments"/>
    <s v="Investments Long"/>
    <s v="Avaliable for Trading"/>
    <s v="United States Dollar"/>
    <m/>
    <s v="SUNSHI 12 07/02/20"/>
    <s v="XS1923588096"/>
    <n v="1000000"/>
    <n v="97.650999999999996"/>
    <n v="959500"/>
    <n v="7443417.2000000002"/>
    <n v="125609.46"/>
    <n v="229949.3"/>
    <n v="7569026.6600000001"/>
    <n v="1.6999999999999999E-3"/>
    <m/>
    <s v="Investments"/>
    <s v="BBG00MTS9QX5"/>
    <s v="BOND"/>
    <s v="Corp"/>
    <s v="#N/A Field Not Applicable"/>
    <n v="0.6"/>
    <n v="1.0507000000000001E-2"/>
    <s v="High"/>
    <n v="2"/>
    <n v="2.6352E-2"/>
    <s v="High"/>
    <n v="1006176.6665376527"/>
    <s v=""/>
    <s v=""/>
    <s v=""/>
    <s v="B2"/>
    <s v=""/>
    <n v="0"/>
    <n v="7"/>
    <n v="0"/>
    <n v="7"/>
    <s v="CN"/>
    <s v="Financial"/>
    <s v="Real Estate"/>
    <s v="Real Estate Oper/Develop"/>
    <s v="N"/>
    <s v=" "/>
    <s v="ACTV"/>
    <s v="Corporate"/>
    <s v="Financial"/>
    <s v="Non-Investment Grade"/>
    <x v="4"/>
    <s v="High"/>
    <s v="High"/>
    <s v="#N/A Field Not Applicable"/>
    <s v="SPECIAL PURPOSE"/>
    <s v="#N/A Field Not Applicable"/>
    <n v="1.3888119225966011E-2"/>
    <s v="7/2/2020"/>
    <n v="0.25479452054794521"/>
    <s v="0 - 1 yr"/>
    <n v="5.0551666849895857E-4"/>
    <n v="0.22592653750087491"/>
    <n v="4.4824209844597599E-4"/>
    <n v="24.017101716783134"/>
    <n v="4.7650338872119592E-2"/>
    <s v="XS1923588096"/>
    <s v="-"/>
    <n v="-1"/>
    <n v="1006176.6665376527"/>
    <n v="1.8391334173132564E-3"/>
    <s v="0 - 1 yr"/>
    <s v="China"/>
    <n v="1.6681433534629464E-4"/>
  </r>
  <r>
    <s v="Investments"/>
    <s v="Investments Long"/>
    <s v="Avaliable for Trading"/>
    <s v="United States Dollar"/>
    <m/>
    <s v="SUNSHI 6.8 03/11/21 EMTN"/>
    <s v="XS2133059480"/>
    <n v="14200000"/>
    <n v="99.856999999999999"/>
    <n v="14109120"/>
    <n v="109599644.16"/>
    <n v="308582"/>
    <n v="395013.28"/>
    <n v="109908226.16"/>
    <n v="2.4500000000000001E-2"/>
    <m/>
    <s v="Investments"/>
    <s v="BBG00S6SWBM6"/>
    <s v="BOND"/>
    <s v="Corp"/>
    <s v="#N/A Field Not Applicable"/>
    <n v="0.7"/>
    <n v="5.77E-3"/>
    <s v="High"/>
    <n v="1.8"/>
    <n v="1.3776E-2"/>
    <s v="High"/>
    <n v="14230656.221697565"/>
    <s v=""/>
    <s v=""/>
    <s v=""/>
    <s v=""/>
    <s v=""/>
    <n v="0"/>
    <n v="0"/>
    <n v="0"/>
    <n v="0"/>
    <s v="CN"/>
    <s v="Financial"/>
    <s v="Real Estate"/>
    <s v="Real Estate Oper/Develop"/>
    <s v="N"/>
    <s v=" "/>
    <s v="ACTV"/>
    <s v="Corporate"/>
    <s v="Financial"/>
    <s v="Non-Investment Grade"/>
    <x v="4"/>
    <s v="High"/>
    <s v="High"/>
    <s v="#N/A Field Not Applicable"/>
    <s v="SPECIAL PURPOSE"/>
    <s v="#N/A Field Not Applicable"/>
    <n v="0"/>
    <s v="3/11/2021"/>
    <n v="0.9452054794520548"/>
    <s v="0 - 1 yr"/>
    <n v="2.652297966453852E-2"/>
    <n v="0.85001570907225998"/>
    <n v="2.3851902952711806E-2"/>
    <n v="14.957566340053202"/>
    <n v="0.41971744397651939"/>
    <s v="XS2133059480"/>
    <s v="-"/>
    <n v="-1.49"/>
    <n v="14230656.221697565"/>
    <n v="2.6011411592043111E-2"/>
    <s v="0 - 1 yr"/>
    <s v="China"/>
    <n v="8.8765409398075291E-3"/>
  </r>
  <r>
    <s v="Investments"/>
    <s v="Investments Long"/>
    <s v="Avaliable for Trading"/>
    <s v="United States Dollar"/>
    <m/>
    <s v="SUNSHI 9.25 04/15/23"/>
    <s v="XS2100664544"/>
    <n v="3000000"/>
    <n v="83.588999999999999"/>
    <n v="2969655"/>
    <n v="23088134.489999998"/>
    <n v="-3650933.56"/>
    <n v="454085.27"/>
    <n v="19437200.93"/>
    <n v="4.3E-3"/>
    <m/>
    <s v="Investments"/>
    <s v="BBG00RB30509"/>
    <s v="BOND"/>
    <s v="Corp"/>
    <s v="#N/A Field Not Applicable"/>
    <n v="1"/>
    <n v="3.5355999999999999E-2"/>
    <s v="High"/>
    <n v="2"/>
    <n v="9.4119999999999995E-2"/>
    <s v="High"/>
    <n v="2566253.3317851657"/>
    <s v=""/>
    <s v=""/>
    <s v=""/>
    <s v=""/>
    <s v="B"/>
    <n v="0"/>
    <n v="0"/>
    <n v="7"/>
    <n v="7"/>
    <s v="CN"/>
    <s v="Financial"/>
    <s v="Real Estate"/>
    <s v="Real Estate Oper/Develop"/>
    <s v="N"/>
    <s v=" "/>
    <s v="ACTV"/>
    <s v="Corporate"/>
    <s v="Financial"/>
    <s v="Non-Investment Grade"/>
    <x v="4"/>
    <s v="High"/>
    <s v="High"/>
    <s v="#N/A Field Not Applicable"/>
    <s v="SPECIAL PURPOSE"/>
    <s v="#N/A Field Not Applicable"/>
    <n v="3.5421644549268799E-2"/>
    <s v="4/15/2023"/>
    <n v="3.0410958904109591"/>
    <s v="3 - 5 yrs"/>
    <n v="1.5388659667197012E-2"/>
    <n v="2.4124622060462531"/>
    <n v="1.2207625535873606E-2"/>
    <n v="16.350046780570931"/>
    <n v="8.2735077917900024E-2"/>
    <s v="XS2100664544"/>
    <s v="-"/>
    <n v="-8.25"/>
    <n v="2566253.3317851657"/>
    <n v="4.6907093125290273E-3"/>
    <s v="2 - 3 yrs"/>
    <s v="China"/>
    <n v="4.5430961236869313E-3"/>
  </r>
  <r>
    <s v="Investments"/>
    <s v="Investments Long"/>
    <s v="Avaliable for Trading"/>
    <s v="United States Dollar"/>
    <m/>
    <s v="SUNSHI 9.5 04/03/21"/>
    <s v="XS1973241125"/>
    <n v="2350000"/>
    <n v="91.674000000000007"/>
    <n v="2327637.5"/>
    <n v="18220048.07"/>
    <n v="-1521551.06"/>
    <n v="855603.03"/>
    <n v="16698497.01"/>
    <n v="3.7000000000000002E-3"/>
    <m/>
    <s v="Investments"/>
    <s v="BBG00NQF0SC2"/>
    <s v="BOND"/>
    <s v="Corp"/>
    <s v="#N/A Field Not Applicable"/>
    <n v="1.4"/>
    <n v="2.7016999999999999E-2"/>
    <s v="High"/>
    <n v="2.1"/>
    <n v="7.0386000000000004E-2"/>
    <s v="High"/>
    <n v="2264723.7217943259"/>
    <s v=""/>
    <s v=""/>
    <s v=""/>
    <s v=""/>
    <s v="B"/>
    <n v="0"/>
    <n v="0"/>
    <n v="7"/>
    <n v="7"/>
    <s v="CN"/>
    <s v="Financial"/>
    <s v="Real Estate"/>
    <s v="Real Estate Oper/Develop"/>
    <s v="N"/>
    <s v=" "/>
    <s v="ACTV"/>
    <s v="Corporate"/>
    <s v="Financial"/>
    <s v="Non-Investment Grade"/>
    <x v="4"/>
    <s v="High"/>
    <s v="High"/>
    <s v="#N/A Field Not Applicable"/>
    <s v="SPECIAL PURPOSE"/>
    <s v="#N/A Field Not Applicable"/>
    <n v="3.1259672489111601E-2"/>
    <s v="4/3/2021"/>
    <n v="1.0082191780821919"/>
    <s v="1 - 2 yrs"/>
    <n v="4.5023716148700852E-3"/>
    <n v="0.88820055419907729"/>
    <n v="3.9664083469872248E-3"/>
    <n v="17.995258373713622"/>
    <n v="8.0360840445604403E-2"/>
    <s v="XS1973241125"/>
    <s v="-"/>
    <n v="-3.4"/>
    <n v="2264723.7217943259"/>
    <n v="4.1395603935704354E-3"/>
    <s v="0 - 1 yr"/>
    <s v="China"/>
    <n v="1.4761080550188758E-3"/>
  </r>
  <r>
    <s v="Investments"/>
    <s v="Investments Long"/>
    <s v="Avaliable for Trading"/>
    <s v="United States Dollar"/>
    <m/>
    <s v="TPHL 6.75 07/16/23"/>
    <s v="XS2027426027"/>
    <n v="1500000"/>
    <n v="90.963999999999999"/>
    <n v="1200000"/>
    <n v="9303240"/>
    <n v="1272825.9099999999"/>
    <n v="163499.76999999999"/>
    <n v="10576065.91"/>
    <n v="2.3999999999999998E-3"/>
    <m/>
    <s v="Investments"/>
    <s v="BBG00PNSNLZ7"/>
    <s v="BOND"/>
    <s v="Corp"/>
    <s v="#N/A Field Not Applicable"/>
    <n v="0.8"/>
    <n v="5.8012000000000001E-2"/>
    <s v="High"/>
    <n v="1.9"/>
    <n v="0.15702199999999999"/>
    <s v="High"/>
    <n v="1385553.7510804918"/>
    <s v=""/>
    <s v=""/>
    <s v="B+"/>
    <s v="B1"/>
    <s v="BB-"/>
    <n v="8"/>
    <n v="8"/>
    <n v="9"/>
    <n v="8"/>
    <s v="CN"/>
    <s v="Financial"/>
    <s v="Real Estate"/>
    <s v="Real Estate Oper/Develop"/>
    <s v="N"/>
    <s v=" "/>
    <s v="ACTV"/>
    <s v="Corporate"/>
    <s v="Financial"/>
    <s v="Non-Investment Grade"/>
    <x v="4"/>
    <s v="High"/>
    <s v="High"/>
    <s v="Real Estate"/>
    <s v="FINANCIAL"/>
    <s v="#N/A Field Not Applicable"/>
    <n v="2.1856696404966441E-2"/>
    <s v="7/16/2023"/>
    <n v="3.2931506849315069"/>
    <s v="3 - 5 yrs"/>
    <n v="8.9971743420444034E-3"/>
    <n v="2.7920444509887377"/>
    <n v="7.6281084893040059E-3"/>
    <n v="10.089506738206317"/>
    <n v="2.7565410706604839E-2"/>
    <s v="XS2027426027"/>
    <s v="-"/>
    <n v="-6.01"/>
    <n v="1385553.7510804918"/>
    <n v="2.5325753317899141E-3"/>
    <s v="2 - 3 yrs"/>
    <s v="China"/>
    <n v="2.8388182457744758E-3"/>
  </r>
  <r>
    <s v="Investments"/>
    <s v="Investments Long"/>
    <s v="Avaliable for Trading"/>
    <s v="United States Dollar"/>
    <m/>
    <s v="TPHL 7.625 02/21/22"/>
    <s v="XS1945401674"/>
    <n v="5000000"/>
    <n v="96.466999999999999"/>
    <n v="4994791.66"/>
    <n v="39195129.159999996"/>
    <n v="-1808860.91"/>
    <n v="328345.21000000002"/>
    <n v="37386268.25"/>
    <n v="8.3000000000000001E-3"/>
    <m/>
    <s v="Investments"/>
    <s v="BBG00NB7K829"/>
    <s v="BOND"/>
    <s v="Corp"/>
    <s v="#N/A Field Not Applicable"/>
    <n v="1.5"/>
    <n v="3.8018000000000003E-2"/>
    <s v="High"/>
    <n v="2"/>
    <n v="9.9346000000000004E-2"/>
    <s v="High"/>
    <n v="4865711.1197120408"/>
    <s v=""/>
    <s v=""/>
    <s v=""/>
    <s v="B1"/>
    <s v="BB-"/>
    <n v="0"/>
    <n v="8"/>
    <n v="9"/>
    <n v="8"/>
    <s v="CN"/>
    <s v="Financial"/>
    <s v="Real Estate"/>
    <s v="Real Estate Oper/Develop"/>
    <s v="N"/>
    <s v=" "/>
    <s v="ACTV"/>
    <s v="Corporate"/>
    <s v="Financial"/>
    <s v="Non-Investment Grade"/>
    <x v="4"/>
    <s v="High"/>
    <s v="High"/>
    <s v="Real Estate"/>
    <s v="FINANCIAL"/>
    <s v="#N/A Field Not Applicable"/>
    <n v="7.6755138986764032E-2"/>
    <s v="2/21/2022"/>
    <n v="1.8958904109589041"/>
    <s v="1 - 2 yrs"/>
    <n v="1.8189916499602981E-2"/>
    <n v="1.6298584927757351"/>
    <n v="1.563750189271991E-2"/>
    <n v="15.758936062597934"/>
    <n v="0.15119741597102904"/>
    <s v="XS1945401674"/>
    <s v="-"/>
    <n v="-3.56"/>
    <n v="4865711.1197120408"/>
    <n v="8.8937581409519219E-3"/>
    <s v="1 - 2 yrs"/>
    <s v="China"/>
    <n v="5.8195325556305161E-3"/>
  </r>
  <r>
    <s v="Investments"/>
    <s v="Investments Long"/>
    <s v="Avaliable for Trading"/>
    <s v="United States Dollar"/>
    <m/>
    <s v="TPHL 7.85 06/04/21"/>
    <s v="XS1831884702"/>
    <n v="3000000"/>
    <n v="97.754000000000005"/>
    <n v="2769500"/>
    <n v="21481625.050000001"/>
    <n v="1249405.83"/>
    <n v="593249.81999999995"/>
    <n v="22731030.879999999"/>
    <n v="5.1000000000000004E-3"/>
    <m/>
    <s v="Investments"/>
    <s v="BBG00L1B1VB5"/>
    <s v="BOND"/>
    <s v="Corp"/>
    <s v="#N/A Field Not Applicable"/>
    <n v="1.1000000000000001"/>
    <n v="2.5853999999999999E-2"/>
    <s v="High"/>
    <n v="2"/>
    <n v="6.7622000000000002E-2"/>
    <s v="High"/>
    <n v="3009157.5002257745"/>
    <s v=""/>
    <s v=""/>
    <s v=""/>
    <s v="B1"/>
    <s v="BB-"/>
    <n v="0"/>
    <n v="8"/>
    <n v="9"/>
    <n v="8"/>
    <s v="CN"/>
    <s v="Financial"/>
    <s v="Real Estate"/>
    <s v="Real Estate Oper/Develop"/>
    <s v="N"/>
    <s v=" "/>
    <s v="ACTV"/>
    <s v="Corporate"/>
    <s v="Financial"/>
    <s v="Non-Investment Grade"/>
    <x v="4"/>
    <s v="High"/>
    <s v="High"/>
    <s v="Real Estate"/>
    <s v="FINANCIAL"/>
    <s v="#N/A Field Not Applicable"/>
    <n v="4.7468560397511177E-2"/>
    <s v="6/4/2021"/>
    <n v="1.178082191780822"/>
    <s v="1 - 2 yrs"/>
    <n v="6.9902332092225362E-3"/>
    <n v="1.0224552386322128"/>
    <n v="6.0668097810956112E-3"/>
    <n v="15.540432433909555"/>
    <n v="9.2210244449059647E-2"/>
    <s v="XS1831884702"/>
    <s v="-"/>
    <n v="-2.29"/>
    <n v="3009157.5002257745"/>
    <n v="5.5002687904380501E-3"/>
    <s v="1 - 2 yrs"/>
    <s v="China"/>
    <n v="2.2577773145684081E-3"/>
  </r>
  <r>
    <s v="Investments"/>
    <s v="Investments Long"/>
    <s v="Avaliable for Trading"/>
    <s v="United States Dollar"/>
    <m/>
    <s v="VNET 7.875 10/15/21"/>
    <s v="XS1976766045"/>
    <n v="5500000"/>
    <n v="85.475999999999999"/>
    <n v="5523862.5099999998"/>
    <n v="43293036.490000002"/>
    <n v="-6853720.0899999999"/>
    <n v="1548040.02"/>
    <n v="36439316.399999999"/>
    <n v="8.0999999999999996E-3"/>
    <m/>
    <s v="Investments"/>
    <s v="BBG00NV0G541"/>
    <s v="BOND"/>
    <s v="Corp"/>
    <s v="#N/A Field Not Applicable"/>
    <n v="1"/>
    <n v="2.2721999999999999E-2"/>
    <s v="High"/>
    <n v="2"/>
    <n v="5.5194E-2"/>
    <s v="High"/>
    <n v="4900898.7653365331"/>
    <s v=""/>
    <s v=""/>
    <s v="B+"/>
    <s v="B2"/>
    <s v="B+"/>
    <n v="8"/>
    <n v="7"/>
    <n v="8"/>
    <n v="8"/>
    <s v="CN"/>
    <s v="Communications"/>
    <s v="Internet"/>
    <s v="Internet Connectiv Svcs"/>
    <s v="N"/>
    <s v=" "/>
    <s v="ACTV"/>
    <s v="Corporate"/>
    <s v="Non-Financial"/>
    <s v="Non-Investment Grade"/>
    <x v="4"/>
    <s v="High"/>
    <s v="High"/>
    <s v="Information Technology"/>
    <s v="INDUSTRIAL"/>
    <s v="#N/A Field Not Applicable"/>
    <n v="7.7310213582044304E-2"/>
    <s v="10/15/2021"/>
    <n v="1.5424657534246575"/>
    <s v="1 - 2 yrs"/>
    <n v="1.4906044605031145E-2"/>
    <n v="1.2804461600459902"/>
    <n v="1.2373945764182997E-2"/>
    <n v="18.876854614526763"/>
    <n v="0.18242170775078284"/>
    <s v="XS1976766045"/>
    <s v="-"/>
    <n v="-3.92"/>
    <n v="4900898.7653365331"/>
    <n v="8.9580756481023021E-3"/>
    <s v="1 - 2 yrs"/>
    <s v="China"/>
    <n v="4.6049925819541572E-3"/>
  </r>
  <r>
    <s v="Investments"/>
    <s v="Investments Long"/>
    <s v="Avaliable for Trading"/>
    <s v="United States Dollar"/>
    <m/>
    <s v="WB 3.5 07/05/24"/>
    <s v="US948596AD39"/>
    <n v="2000000"/>
    <n v="99.494"/>
    <n v="1947708.72"/>
    <n v="15100001.4"/>
    <n v="323757.46000000002"/>
    <n v="129615.62"/>
    <n v="15423758.859999999"/>
    <n v="3.3999999999999998E-3"/>
    <m/>
    <s v="Investments"/>
    <s v="BBG00PKGT0Y7"/>
    <s v="BOND"/>
    <s v="Corp"/>
    <s v="#N/A Field Not Applicable"/>
    <n v="0.8"/>
    <n v="2.8406000000000001E-2"/>
    <s v="High"/>
    <n v="2"/>
    <n v="7.8532000000000005E-2"/>
    <s v="High"/>
    <n v="2006602.2216201569"/>
    <s v=""/>
    <s v=""/>
    <s v="BBB"/>
    <s v="Baa1"/>
    <s v=""/>
    <n v="13"/>
    <n v="14"/>
    <n v="0"/>
    <n v="13"/>
    <s v="CN"/>
    <s v="Communications"/>
    <s v="Internet"/>
    <s v="Internet Content-Entmnt"/>
    <s v="N"/>
    <s v=" "/>
    <s v="ACTV"/>
    <s v="Corporate"/>
    <s v="Non-Financial"/>
    <s v="Investment Grade"/>
    <x v="4"/>
    <s v="High"/>
    <s v="High"/>
    <s v="Communication Services"/>
    <s v="INDUSTRIAL"/>
    <s v="#N/A Field Not Applicable"/>
    <n v="5.1437019484146695E-2"/>
    <s v="7/5/2024"/>
    <n v="4.2657534246575342"/>
    <s v="3 - 5 yrs"/>
    <n v="1.6878280155282702E-2"/>
    <n v="3.8793550133933379"/>
    <n v="1.5349419954602716E-2"/>
    <n v="3.5930737894362346"/>
    <n v="1.4216692808862185E-2"/>
    <s v="US948596AD39"/>
    <s v="-"/>
    <n v="-2.44"/>
    <n v="2006602.2216201569"/>
    <n v="3.6677547032925059E-3"/>
    <s v="3 - 5 yrs"/>
    <s v="China"/>
    <n v="5.7123221949818854E-3"/>
  </r>
  <r>
    <s v="Investments"/>
    <s v="Investments Long"/>
    <s v="Avaliable for Trading"/>
    <s v="United States Dollar"/>
    <m/>
    <s v="XIHUI 4.5 04/17/22"/>
    <s v="XS1958219922"/>
    <n v="2500000"/>
    <n v="102.46899999999999"/>
    <n v="2493075"/>
    <n v="19536982.239999998"/>
    <n v="319204.40999999997"/>
    <n v="397243.88"/>
    <n v="19856186.649999999"/>
    <n v="4.4000000000000003E-3"/>
    <m/>
    <s v="Investments"/>
    <s v="BBG00NV899R9"/>
    <s v="BOND"/>
    <s v="Corp"/>
    <s v="#N/A Field Not Applicable"/>
    <n v="1.7"/>
    <n v="3.7529999999999998E-3"/>
    <s v="High"/>
    <n v="2.6"/>
    <n v="9.1339999999999998E-3"/>
    <s v="High"/>
    <n v="2612975.0009676041"/>
    <s v=""/>
    <s v=""/>
    <s v=""/>
    <s v=""/>
    <s v="BBB+"/>
    <n v="0"/>
    <n v="0"/>
    <n v="14"/>
    <n v="14"/>
    <s v="CN"/>
    <s v="Industrial"/>
    <s v="Engineering&amp;Construction"/>
    <s v="Building-Heavy Construct"/>
    <s v="N"/>
    <s v=" "/>
    <s v="ACTV"/>
    <s v="Corporate"/>
    <s v="Non-Financial"/>
    <s v="Investment Grade"/>
    <x v="4"/>
    <s v="High"/>
    <s v="High"/>
    <s v="#N/A Field Not Applicable"/>
    <s v="SPECIAL PURPOSE"/>
    <s v="Chengtou Bond"/>
    <n v="7.2133074746767126E-2"/>
    <s v="4/17/2022"/>
    <n v="2.0465753424657533"/>
    <s v="2 - 3 yrs"/>
    <n v="1.0544698010926621E-2"/>
    <n v="1.8873652816731568"/>
    <n v="9.7243900669559281E-3"/>
    <n v="3.8670450672968402"/>
    <n v="1.9924417920602858E-2"/>
    <s v="XS1958219922"/>
    <s v="-"/>
    <n v="-1.24"/>
    <n v="2612975.0009676041"/>
    <n v="4.7761092089525468E-3"/>
    <s v="1 - 2 yrs"/>
    <s v="China"/>
    <n v="3.6189542911995651E-3"/>
  </r>
  <r>
    <s v="Investments"/>
    <s v="Investments Long"/>
    <s v="Avaliable for Trading"/>
    <s v="United States Dollar"/>
    <m/>
    <s v="YLLGSP 6.75 04/23/23"/>
    <s v="XS1809258210"/>
    <n v="500000"/>
    <n v="93.510999999999996"/>
    <n v="514750"/>
    <n v="4000894.38"/>
    <n v="-376828.82"/>
    <n v="114813.17"/>
    <n v="3624065.56"/>
    <n v="8.0000000000000004E-4"/>
    <m/>
    <s v="Investments"/>
    <s v="BBG00KMQKL04"/>
    <s v="BOND"/>
    <s v="Corp"/>
    <s v="#N/A Field Not Applicable"/>
    <n v="0.9"/>
    <n v="3.3966999999999997E-2"/>
    <s v="High"/>
    <n v="2"/>
    <n v="8.9076000000000002E-2"/>
    <s v="High"/>
    <n v="482367.50009676046"/>
    <s v=""/>
    <s v=""/>
    <s v="B+"/>
    <s v="Ba3"/>
    <s v=""/>
    <n v="8"/>
    <n v="9"/>
    <n v="0"/>
    <n v="8"/>
    <s v="SG"/>
    <s v="Financial"/>
    <s v="Real Estate"/>
    <s v="Real Estate Oper/Develop"/>
    <s v="N"/>
    <s v=" "/>
    <s v="ACTV"/>
    <s v="Corporate"/>
    <s v="Financial"/>
    <s v="Non-Investment Grade"/>
    <x v="7"/>
    <s v="High"/>
    <s v="High"/>
    <s v="#N/A Field Not Applicable"/>
    <s v="FINANCIAL"/>
    <s v="#N/A Field Not Applicable"/>
    <n v="7.609203177441389E-3"/>
    <s v="4/23/2023"/>
    <n v="3.0630136986301371"/>
    <s v="3 - 5 yrs"/>
    <n v="2.9133866960203677E-3"/>
    <n v="2.5630801659253231"/>
    <n v="2.4378747178244965E-3"/>
    <n v="10.613893780035674"/>
    <n v="1.0095409284509105E-2"/>
    <s v="XS1809258210"/>
    <s v="-"/>
    <n v="-3.94"/>
    <n v="482367.50009676046"/>
    <n v="8.8169226971495209E-4"/>
    <s v="2 - 3 yrs"/>
    <s v="Singapore"/>
    <n v="9.0726072388411065E-4"/>
  </r>
  <r>
    <s v="Investments"/>
    <s v="Investments Long"/>
    <s v="Avaliable for Trading"/>
    <s v="United States Dollar"/>
    <m/>
    <s v="YLLGSP 6.8 02/27/24"/>
    <s v="XS2030531938"/>
    <n v="3000000"/>
    <n v="91.483000000000004"/>
    <n v="3082500"/>
    <n v="23958731.25"/>
    <n v="-2685914.81"/>
    <n v="149337.85999999999"/>
    <n v="21272816.440000001"/>
    <n v="4.7000000000000002E-3"/>
    <m/>
    <s v="Investments"/>
    <s v="BBG00Q2B8JR6"/>
    <s v="BOND"/>
    <s v="Corp"/>
    <s v="#N/A Field Not Applicable"/>
    <n v="1"/>
    <n v="4.0724999999999997E-2"/>
    <s v="High"/>
    <n v="2"/>
    <n v="0.101969"/>
    <s v="High"/>
    <n v="2763756.6667956808"/>
    <s v=""/>
    <s v=""/>
    <s v="B+"/>
    <s v="Ba3"/>
    <s v=""/>
    <n v="8"/>
    <n v="9"/>
    <n v="0"/>
    <n v="8"/>
    <s v="SG"/>
    <s v="Financial"/>
    <s v="Real Estate"/>
    <s v="Real Estate Oper/Develop"/>
    <s v="N"/>
    <s v=" "/>
    <s v="ACTV"/>
    <s v="Corporate"/>
    <s v="Financial"/>
    <s v="Non-Investment Grade"/>
    <x v="7"/>
    <s v="High"/>
    <s v="High"/>
    <s v="#N/A Field Not Applicable"/>
    <s v="FINANCIAL"/>
    <s v="#N/A Field Not Applicable"/>
    <n v="4.3597435578553716E-2"/>
    <s v="2/27/2024"/>
    <n v="3.9123287671232876"/>
    <s v="3 - 5 yrs"/>
    <n v="2.1320937673347501E-2"/>
    <n v="3.2768876151788842"/>
    <n v="1.785798708761524E-2"/>
    <n v="9.6372734327411944"/>
    <n v="5.2520050954605185E-2"/>
    <s v="XS2030531938"/>
    <s v="-"/>
    <n v="-5.0199999999999996"/>
    <n v="2763756.6667956808"/>
    <n v="5.0517144873941716E-3"/>
    <s v="3 - 5 yrs"/>
    <s v="Singapore"/>
    <n v="6.6458912649461589E-3"/>
  </r>
  <r>
    <s v="Investments"/>
    <s v="Investments Long"/>
    <s v="Avaliable for Trading"/>
    <s v="United States Dollar"/>
    <m/>
    <s v="YUZHOU 6.375 03/06/21"/>
    <s v="XS1788498167"/>
    <n v="1800000"/>
    <n v="96.76"/>
    <n v="1824660"/>
    <n v="14198226.859999999"/>
    <n v="-698291.01"/>
    <n v="61766.58"/>
    <n v="13499935.85"/>
    <n v="3.0000000000000001E-3"/>
    <m/>
    <s v="Investments"/>
    <s v="BBG00K67R1J1"/>
    <s v="BOND"/>
    <s v="Corp"/>
    <s v="#N/A Field Not Applicable"/>
    <n v="1.5"/>
    <n v="1.6685999999999999E-2"/>
    <s v="High"/>
    <n v="2"/>
    <n v="4.2035000000000003E-2"/>
    <s v="High"/>
    <n v="1749648.7504999291"/>
    <s v=""/>
    <s v=""/>
    <s v="B+"/>
    <s v=""/>
    <s v="BB-"/>
    <n v="8"/>
    <n v="0"/>
    <n v="9"/>
    <n v="8"/>
    <s v="CN"/>
    <s v="Financial"/>
    <s v="Real Estate"/>
    <s v="Real Estate Oper/Develop"/>
    <s v="N"/>
    <s v=" "/>
    <s v="ACTV"/>
    <s v="Corporate"/>
    <s v="Financial"/>
    <s v="Non-Investment Grade"/>
    <x v="4"/>
    <s v="High"/>
    <s v="High"/>
    <s v="Real Estate"/>
    <s v="FINANCIAL"/>
    <s v="#N/A Field Not Applicable"/>
    <n v="2.7600186225315366E-2"/>
    <s v="3/6/2021"/>
    <n v="0.93150684931506844"/>
    <s v="0 - 1 yr"/>
    <n v="3.2137203139065837E-3"/>
    <n v="0.85373497095014106"/>
    <n v="2.9454055231610122E-3"/>
    <n v="11.045121895343327"/>
    <n v="3.8105927649098009E-2"/>
    <s v="XS1788498167"/>
    <s v="-"/>
    <n v="-1.93"/>
    <n v="1749648.7504999291"/>
    <n v="3.1980839872561158E-3"/>
    <s v="0 - 1 yr"/>
    <s v="China"/>
    <n v="1.0961394888495226E-3"/>
  </r>
  <r>
    <s v="Investments"/>
    <s v="Investments Long"/>
    <s v="Avaliable for Trading"/>
    <s v="United States Dollar"/>
    <m/>
    <s v="YUZHOU 7.375 01/13/26"/>
    <s v="XS2100653778"/>
    <n v="1000000"/>
    <n v="81.042000000000002"/>
    <n v="690000"/>
    <n v="5349363"/>
    <n v="932283.46"/>
    <n v="123856.12"/>
    <n v="6281646.46"/>
    <n v="1.4E-3"/>
    <m/>
    <s v="Investments"/>
    <s v="BBG00R9LVRX4"/>
    <s v="BOND"/>
    <s v="Corp"/>
    <s v="#N/A Field Not Applicable"/>
    <n v="1.2"/>
    <n v="0.11228"/>
    <s v="High"/>
    <n v="2.6"/>
    <n v="0.30938199999999999"/>
    <s v="High"/>
    <n v="826399.16656990617"/>
    <s v=""/>
    <s v=""/>
    <s v=""/>
    <s v="B1"/>
    <s v="BB-"/>
    <n v="0"/>
    <n v="8"/>
    <n v="9"/>
    <n v="8"/>
    <s v="CN"/>
    <s v="Financial"/>
    <s v="Real Estate"/>
    <s v="Real Estate Oper/Develop"/>
    <s v="N"/>
    <s v=" "/>
    <s v="ACTV"/>
    <s v="Corporate"/>
    <s v="Financial"/>
    <s v="Non-Investment Grade"/>
    <x v="4"/>
    <s v="High"/>
    <s v="High"/>
    <s v="Real Estate"/>
    <s v="FINANCIAL"/>
    <s v="#N/A Field Not Applicable"/>
    <n v="1.3036199915701737E-2"/>
    <s v="1/13/2026"/>
    <n v="5.7917808219178086"/>
    <s v="5 - 7 yrs"/>
    <n v="9.4378515828059846E-3"/>
    <n v="4.3232075570090913"/>
    <n v="7.0447747487803773E-3"/>
    <n v="12.002458804849036"/>
    <n v="1.9558306557498319E-2"/>
    <s v="XS2100653778"/>
    <s v="-"/>
    <n v="-10.78"/>
    <n v="826399.16656990617"/>
    <n v="1.5105282937125863E-3"/>
    <s v="3 - 5 yrs"/>
    <s v="China"/>
    <n v="2.6217292428720742E-3"/>
  </r>
  <r>
    <s v="Investments"/>
    <s v="Investments Long"/>
    <s v="Avaliable for Trading"/>
    <s v="United States Dollar"/>
    <m/>
    <s v="YUZHOU 7.7 02/20/25"/>
    <s v="XS2121187962"/>
    <n v="5500000"/>
    <n v="84.385000000000005"/>
    <n v="4939555"/>
    <n v="38363783.229999997"/>
    <n v="-2389571.6800000002"/>
    <n v="373850.63"/>
    <n v="35974211.549999997"/>
    <n v="8.0000000000000002E-3"/>
    <m/>
    <s v="Investments"/>
    <s v="BBG00RPXWXD8"/>
    <s v="BOND"/>
    <s v="Corp"/>
    <s v="#N/A Field Not Applicable"/>
    <n v="1"/>
    <n v="6.3820000000000002E-2"/>
    <s v="High"/>
    <n v="2"/>
    <n v="0.174454"/>
    <s v="High"/>
    <n v="4689406.9461108744"/>
    <s v=""/>
    <s v=""/>
    <s v=""/>
    <s v="B1"/>
    <s v="BB-"/>
    <n v="0"/>
    <n v="8"/>
    <n v="9"/>
    <n v="8"/>
    <s v="CN"/>
    <s v="Financial"/>
    <s v="Real Estate"/>
    <s v="Real Estate Oper/Develop"/>
    <s v="N"/>
    <s v=" "/>
    <s v="ACTV"/>
    <s v="Corporate"/>
    <s v="Financial"/>
    <s v="Non-Investment Grade"/>
    <x v="4"/>
    <s v="High"/>
    <s v="High"/>
    <s v="Real Estate"/>
    <s v="FINANCIAL"/>
    <s v="#N/A Field Not Applicable"/>
    <n v="7.3973993329784507E-2"/>
    <s v="2/20/2025"/>
    <n v="4.8958904109589039"/>
    <s v="3 - 5 yrs"/>
    <n v="4.5271070575453737E-2"/>
    <n v="3.795317047505566"/>
    <n v="3.509434474457427E-2"/>
    <n v="12.293654399375777"/>
    <n v="0.11367633856726246"/>
    <s v="XS2121187962"/>
    <s v="-"/>
    <n v="-9.52"/>
    <n v="4689406.9461108744"/>
    <n v="8.5715017141581393E-3"/>
    <s v="3 - 5 yrs"/>
    <s v="China"/>
    <n v="1.3060441697190258E-2"/>
  </r>
  <r>
    <s v="Investments"/>
    <s v="Investments Long"/>
    <s v="Avaliable for Trading"/>
    <s v="United States Dollar"/>
    <m/>
    <s v="YUZHOU 8.625 01/23/22"/>
    <s v="XS1938265474"/>
    <n v="4000000"/>
    <n v="95.492999999999995"/>
    <n v="4231250"/>
    <n v="32881885.879999999"/>
    <n v="-3274854.19"/>
    <n v="505113.35"/>
    <n v="29607031.690000001"/>
    <n v="6.6E-3"/>
    <m/>
    <s v="Investments"/>
    <s v="BBG00N2KDB12"/>
    <s v="BOND"/>
    <s v="Corp"/>
    <s v="#N/A Field Not Applicable"/>
    <n v="1.6"/>
    <n v="3.8859999999999999E-2"/>
    <s v="High"/>
    <n v="2"/>
    <n v="0.10048"/>
    <s v="High"/>
    <n v="3884886.6664086389"/>
    <s v=""/>
    <s v=""/>
    <s v=""/>
    <s v="B1"/>
    <s v="BB-"/>
    <n v="0"/>
    <n v="8"/>
    <n v="9"/>
    <n v="8"/>
    <s v="CN"/>
    <s v="Financial"/>
    <s v="Real Estate"/>
    <s v="Real Estate Oper/Develop"/>
    <s v="N"/>
    <s v=" "/>
    <s v="ACTV"/>
    <s v="Corporate"/>
    <s v="Financial"/>
    <s v="Non-Investment Grade"/>
    <x v="4"/>
    <s v="High"/>
    <s v="High"/>
    <s v="Real Estate"/>
    <s v="FINANCIAL"/>
    <s v="#N/A Field Not Applicable"/>
    <n v="6.1282926316774115E-2"/>
    <s v="1/23/2022"/>
    <n v="1.8164383561643835"/>
    <s v="1 - 2 yrs"/>
    <n v="1.3914582242473026E-2"/>
    <n v="1.5300872347760421"/>
    <n v="1.1721027908377106E-2"/>
    <n v="17.667182604934691"/>
    <n v="0.13533708122540075"/>
    <s v="XS1938265474"/>
    <s v="-"/>
    <n v="-3.94"/>
    <n v="3884886.6664086389"/>
    <n v="7.1009646002354937E-3"/>
    <s v="1 - 2 yrs"/>
    <s v="China"/>
    <n v="4.3620076893490407E-3"/>
  </r>
  <r>
    <s v="Investments"/>
    <s v="Investments Long"/>
    <s v="Avaliable for Trading"/>
    <s v="United States Dollar"/>
    <m/>
    <s v="YWSOAO 4 02/18/25"/>
    <s v="XS2114327302"/>
    <n v="3000000"/>
    <n v="96.837999999999994"/>
    <n v="3004250"/>
    <n v="23350533.129999999"/>
    <n v="-832502.47"/>
    <n v="111099.1"/>
    <n v="22518030.66"/>
    <n v="5.0000000000000001E-3"/>
    <m/>
    <s v="Investments"/>
    <s v="BBG00RPTBXS4"/>
    <s v="BOND"/>
    <s v="Corp"/>
    <s v="#N/A Field Not Applicable"/>
    <n v="0.5"/>
    <n v="1.3233E-2"/>
    <s v="High"/>
    <n v="1.8"/>
    <n v="3.5897999999999999E-2"/>
    <s v="High"/>
    <n v="2919473.3341074171"/>
    <s v=""/>
    <s v=""/>
    <s v=""/>
    <s v="Baa3"/>
    <s v="BBB"/>
    <n v="0"/>
    <n v="12"/>
    <n v="13"/>
    <n v="12"/>
    <s v="CN"/>
    <s v="Financial"/>
    <s v="Real Estate"/>
    <s v="Real Estate Oper/Develop"/>
    <s v="N"/>
    <s v=" "/>
    <s v="ACTV"/>
    <s v="Corporate"/>
    <s v="Financial"/>
    <s v="Investment Grade"/>
    <x v="4"/>
    <s v="High"/>
    <s v="High"/>
    <s v="#N/A Field Not Applicable"/>
    <s v="SPECIAL PURPOSE"/>
    <s v="Chengtou Bond"/>
    <n v="6.9080729213377892E-2"/>
    <s v="2/18/2025"/>
    <n v="4.8904109589041092"/>
    <s v="3 - 5 yrs"/>
    <n v="2.8152762932849209E-2"/>
    <n v="4.3316870122633784"/>
    <n v="2.4936341460939367E-2"/>
    <n v="4.8860383164051164"/>
    <n v="2.8127590821814222E-2"/>
    <s v="XS2114327302"/>
    <s v="-"/>
    <n v="-4.54"/>
    <n v="2919473.3341074171"/>
    <n v="5.3363401759138011E-3"/>
    <s v="3 - 5 yrs"/>
    <s v="China"/>
    <n v="9.2801172428836447E-3"/>
  </r>
  <r>
    <s v="Investments"/>
    <s v="Investments Long"/>
    <s v="Avaliable for Trading"/>
    <s v="United States Dollar"/>
    <m/>
    <s v="YWSOAO 4.5 05/30/22"/>
    <s v="XS1831038143"/>
    <n v="5000000"/>
    <n v="99.992000000000004"/>
    <n v="4985803.2300000004"/>
    <n v="39136915.07"/>
    <n v="-384515.5"/>
    <n v="586176.93999999994"/>
    <n v="38752399.57"/>
    <n v="8.6E-3"/>
    <m/>
    <s v="Investments"/>
    <s v="BBG00P7N38J5"/>
    <s v="BOND"/>
    <s v="Corp"/>
    <s v="#N/A Field Not Applicable"/>
    <n v="1"/>
    <n v="6.2690000000000003E-3"/>
    <s v="High"/>
    <n v="2"/>
    <n v="1.5630999999999999E-2"/>
    <s v="High"/>
    <n v="5075225.0016126744"/>
    <s v=""/>
    <s v=""/>
    <s v=""/>
    <s v="Baa3"/>
    <s v="BBB"/>
    <n v="0"/>
    <n v="12"/>
    <n v="13"/>
    <n v="12"/>
    <s v="CN"/>
    <s v="Financial"/>
    <s v="Real Estate"/>
    <s v="Real Estate Oper/Develop"/>
    <s v="N"/>
    <s v=" "/>
    <s v="ACTV"/>
    <s v="Corporate"/>
    <s v="Financial"/>
    <s v="Investment Grade"/>
    <x v="4"/>
    <s v="High"/>
    <s v="High"/>
    <s v="#N/A Field Not Applicable"/>
    <s v="SPECIAL PURPOSE"/>
    <s v="Chengtou Bond"/>
    <n v="0.12009023680312568"/>
    <s v="5/30/2022"/>
    <n v="2.1643835616438358"/>
    <s v="2 - 3 yrs"/>
    <n v="2.1660111204216737E-2"/>
    <n v="2.0044957769681844"/>
    <n v="2.0060031043914555E-2"/>
    <n v="7"/>
    <n v="7.0052638135156636E-2"/>
    <s v="XS1831038143"/>
    <s v="-"/>
    <n v="-2.2000000000000002"/>
    <n v="5075225.0016126744"/>
    <n v="9.2767167151359305E-3"/>
    <s v="2 - 3 yrs"/>
    <s v="China"/>
    <n v="7.4653870245968285E-3"/>
  </r>
  <r>
    <s v="Investments"/>
    <s v="Investments Long"/>
    <s v="Avaliable for Trading"/>
    <s v="United States Dollar"/>
    <m/>
    <s v="YZCOAL 4.75 11/30/20"/>
    <s v="XS1728036952"/>
    <n v="2000000"/>
    <n v="98.007000000000005"/>
    <n v="1942347.38"/>
    <n v="15234487.359999999"/>
    <n v="-41246.26"/>
    <n v="247496.91"/>
    <n v="15193241.1"/>
    <n v="3.3999999999999998E-3"/>
    <m/>
    <s v="Investments"/>
    <s v="BBG00JC8V4T3"/>
    <s v="BOND"/>
    <s v="Corp"/>
    <s v="#N/A Field Not Applicable"/>
    <n v="1"/>
    <n v="8.8000000000000005E-3"/>
    <s v="High"/>
    <n v="2"/>
    <n v="2.1021000000000001E-2"/>
    <s v="High"/>
    <n v="1992070.5461160352"/>
    <s v=""/>
    <s v=""/>
    <s v=""/>
    <s v=""/>
    <s v=""/>
    <n v="0"/>
    <n v="0"/>
    <n v="0"/>
    <n v="0"/>
    <s v="CN"/>
    <s v="Energy"/>
    <s v="Coal"/>
    <s v="Coal"/>
    <s v="N"/>
    <s v=" "/>
    <s v="ACTV"/>
    <s v="Corporate"/>
    <s v="Non-Financial"/>
    <s v="Non-Investment Grade"/>
    <x v="4"/>
    <s v="High"/>
    <s v="High"/>
    <s v="#N/A Field Not Applicable"/>
    <s v="SPECIAL PURPOSE"/>
    <s v="#N/A Field Not Applicable"/>
    <n v="0"/>
    <s v="11/30/2020"/>
    <n v="0.66849315068493154"/>
    <s v="0 - 1 yr"/>
    <n v="2.6258676361485805E-3"/>
    <n v="0.61354962105812971"/>
    <n v="2.4100472704276046E-3"/>
    <n v="8.0413387319767544"/>
    <n v="3.1586697793344776E-2"/>
    <s v="XS1728036952"/>
    <s v="-"/>
    <n v="-0.81"/>
    <n v="1992070.5461160352"/>
    <n v="3.6411930755803983E-3"/>
    <s v="0 - 1 yr"/>
    <s v="China"/>
    <n v="8.9690467486954893E-4"/>
  </r>
  <r>
    <s v="Investments"/>
    <s v="Investments Long"/>
    <s v="Avaliable for Trading"/>
    <s v="United States Dollar"/>
    <m/>
    <s v="YZCOAL V5.75 PERP"/>
    <s v="XS1577730895"/>
    <n v="4060000"/>
    <n v="99.078000000000003"/>
    <n v="4100600"/>
    <n v="32161825.920000002"/>
    <n v="-982508.4"/>
    <n v="844430.67"/>
    <n v="31179317.52"/>
    <n v="7.0000000000000001E-3"/>
    <m/>
    <s v="Investments"/>
    <s v="BBG00GDDTJZ0"/>
    <s v="BOND"/>
    <s v="Corp"/>
    <s v="#N/A Field Not Applicable"/>
    <n v="0.9"/>
    <n v="5.96E-3"/>
    <s v="High"/>
    <n v="2"/>
    <n v="1.3795E-2"/>
    <s v="High"/>
    <n v="4131510.1327553508"/>
    <s v=""/>
    <s v=""/>
    <s v="BB-"/>
    <s v=""/>
    <s v=""/>
    <n v="9"/>
    <n v="0"/>
    <n v="0"/>
    <n v="9"/>
    <s v="CN"/>
    <s v="Energy"/>
    <s v="Coal"/>
    <s v="Coal"/>
    <s v="N"/>
    <s v=" "/>
    <s v="ACTV"/>
    <s v="Corporate"/>
    <s v="Non-Financial"/>
    <s v="Non-Investment Grade"/>
    <x v="4"/>
    <s v="High"/>
    <s v="High"/>
    <s v="#N/A Field Not Applicable"/>
    <s v="INDUSTRIAL"/>
    <s v="#N/A Field Not Applicable"/>
    <n v="7.3320005030237306E-2"/>
    <s v="10/13/2168"/>
    <n v="148.63561643835615"/>
    <s v="10 yrs or Above"/>
    <n v="1.2108849049925219"/>
    <n v="1.9259912544450374E-2"/>
    <n v="1.5690409829344801E-4"/>
    <n v="49.274429151174004"/>
    <n v="0.40142237702512779"/>
    <s v="XS1577730895"/>
    <s v="-"/>
    <n v="-0.08"/>
    <n v="4131510.1327553508"/>
    <n v="7.5517536848329903E-3"/>
    <s v="0 - 1 yr"/>
    <s v="China"/>
    <n v="5.8392223668134096E-5"/>
  </r>
  <r>
    <s v="Investments"/>
    <s v="Investments Long"/>
    <s v="Avaliable for Trading"/>
    <s v="United States Dollar"/>
    <m/>
    <s v="ZHPRHK 5.6 02/28/21"/>
    <s v="XS2122877330"/>
    <n v="3000000"/>
    <n v="93.501000000000005"/>
    <n v="3000000"/>
    <n v="23316900"/>
    <n v="-1574831.97"/>
    <n v="104898.22"/>
    <n v="21742068.030000001"/>
    <n v="4.7999999999999996E-3"/>
    <m/>
    <s v="Investments"/>
    <s v="BBG00RT2L457"/>
    <s v="BOND"/>
    <s v="Corp"/>
    <s v="#N/A Field Not Applicable"/>
    <n v="0.7"/>
    <n v="3.4166000000000002E-2"/>
    <s v="High"/>
    <n v="2"/>
    <n v="9.0912000000000007E-2"/>
    <s v="High"/>
    <n v="2818563.3329462917"/>
    <s v=""/>
    <s v=""/>
    <s v=""/>
    <s v=""/>
    <s v=""/>
    <n v="0"/>
    <n v="0"/>
    <n v="0"/>
    <n v="0"/>
    <s v="CN"/>
    <s v="Financial"/>
    <s v="Real Estate"/>
    <s v="Real Estate Oper/Develop"/>
    <s v="N"/>
    <s v=" "/>
    <s v="ACTV"/>
    <s v="Corporate"/>
    <s v="Financial"/>
    <s v="Non-Investment Grade"/>
    <x v="4"/>
    <s v="High"/>
    <s v="High"/>
    <s v="Real Estate"/>
    <s v="FINANCIAL"/>
    <s v="#N/A Field Not Applicable"/>
    <n v="0"/>
    <s v="2/28/2021"/>
    <n v="0.91506849315068495"/>
    <s v="0 - 1 yr"/>
    <n v="5.0857212727146318E-3"/>
    <n v="0.83170158547147244"/>
    <n v="4.6223889003314525E-3"/>
    <n v="11.794084151540133"/>
    <n v="6.5548562878775654E-2"/>
    <s v="XS2122877330"/>
    <s v="-"/>
    <n v="-2.3199999999999998"/>
    <n v="2818563.3329462917"/>
    <n v="5.1518924924715218E-3"/>
    <s v="0 - 1 yr"/>
    <s v="China"/>
    <n v="1.7202327376080113E-3"/>
  </r>
  <r>
    <s v="Investments"/>
    <s v="Investments Long"/>
    <s v="Avaliable for Trading"/>
    <s v="United States Dollar"/>
    <m/>
    <s v="ZHPRHK 8.65 01/21/23"/>
    <s v="XS1973630889"/>
    <n v="2191000"/>
    <n v="84.409000000000006"/>
    <n v="2237093.75"/>
    <n v="17368750.539999999"/>
    <n v="-3033856.97"/>
    <n v="285638.90999999997"/>
    <n v="14334893.57"/>
    <n v="3.2000000000000002E-3"/>
    <m/>
    <s v="Investments"/>
    <s v="BBG00NQDZNG6"/>
    <s v="BOND"/>
    <s v="Corp"/>
    <s v="#N/A Field Not Applicable"/>
    <n v="1.2"/>
    <n v="5.8629000000000001E-2"/>
    <s v="High"/>
    <n v="2"/>
    <n v="0.15604199999999999"/>
    <s v="High"/>
    <n v="1886252.5938253927"/>
    <s v=""/>
    <s v=""/>
    <s v="B-"/>
    <s v="B2"/>
    <s v=""/>
    <n v="6"/>
    <n v="7"/>
    <n v="0"/>
    <n v="6"/>
    <s v="CN"/>
    <s v="Financial"/>
    <s v="Real Estate"/>
    <s v="Real Estate Oper/Develop"/>
    <s v="N"/>
    <s v=" "/>
    <s v="ACTV"/>
    <s v="Corporate"/>
    <s v="Financial"/>
    <s v="Non-Investment Grade"/>
    <x v="4"/>
    <s v="High"/>
    <s v="High"/>
    <s v="Real Estate"/>
    <s v="FINANCIAL"/>
    <s v="#N/A Field Not Applicable"/>
    <n v="2.2316303276310272E-2"/>
    <s v="1/21/2023"/>
    <n v="2.8109589041095893"/>
    <s v="2 - 3 yrs"/>
    <n v="1.0455035233559059E-2"/>
    <n v="2.2804882544708232"/>
    <n v="8.4820112508057193E-3"/>
    <n v="16.045236502862593"/>
    <n v="5.9678393989667608E-2"/>
    <s v="XS1973630889"/>
    <s v="-"/>
    <n v="-7.56"/>
    <n v="1886252.5938253927"/>
    <n v="3.447774425872427E-3"/>
    <s v="2 - 3 yrs"/>
    <s v="China"/>
    <n v="3.1566001366412962E-3"/>
  </r>
  <r>
    <s v="Investments"/>
    <s v="Investments Long"/>
    <s v="Avaliable for Trading"/>
    <s v="United States Dollar"/>
    <m/>
    <s v="ZHPRHK 9.15 03/08/22"/>
    <s v="XS1960071303"/>
    <n v="3500000"/>
    <n v="92.974999999999994"/>
    <n v="3504664.99"/>
    <n v="27483627.359999999"/>
    <n v="-2260579.09"/>
    <n v="158590.72"/>
    <n v="25223048.27"/>
    <n v="5.5999999999999999E-3"/>
    <m/>
    <s v="Investments"/>
    <s v="BBG00NHNXCH9"/>
    <s v="BOND"/>
    <s v="Corp"/>
    <s v="#N/A Field Not Applicable"/>
    <n v="2"/>
    <n v="5.4580999999999998E-2"/>
    <s v="High"/>
    <n v="2.2000000000000002"/>
    <n v="0.14183000000000001"/>
    <s v="High"/>
    <n v="3274585.4123930796"/>
    <s v=""/>
    <s v=""/>
    <s v="B-"/>
    <s v="B2"/>
    <s v=""/>
    <n v="6"/>
    <n v="7"/>
    <n v="0"/>
    <n v="6"/>
    <s v="CN"/>
    <s v="Financial"/>
    <s v="Real Estate"/>
    <s v="Real Estate Oper/Develop"/>
    <s v="N"/>
    <s v=" "/>
    <s v="ACTV"/>
    <s v="Corporate"/>
    <s v="Financial"/>
    <s v="Non-Investment Grade"/>
    <x v="4"/>
    <s v="High"/>
    <s v="High"/>
    <s v="Real Estate"/>
    <s v="FINANCIAL"/>
    <s v="#N/A Field Not Applicable"/>
    <n v="3.8741704799431585E-2"/>
    <s v="3/8/2022"/>
    <n v="1.9369863013698629"/>
    <s v="1 - 2 yrs"/>
    <n v="1.2507025248035677E-2"/>
    <n v="1.6732554909207134"/>
    <n v="1.0804128380546377E-2"/>
    <n v="13.802076435444558"/>
    <n v="8.9119328480197338E-2"/>
    <s v="XS1960071303"/>
    <s v="-"/>
    <n v="-4.82"/>
    <n v="3274585.4123930796"/>
    <n v="5.9854294579323314E-3"/>
    <s v="1 - 2 yrs"/>
    <s v="China"/>
    <n v="4.0207814059528843E-3"/>
  </r>
  <r>
    <s v="Investments"/>
    <s v="Investments Long"/>
    <s v="Avaliable for Trading"/>
    <s v="United States Dollar"/>
    <m/>
    <s v="ZHPRHK 9.8 08/20/21"/>
    <s v="XS1951935847"/>
    <n v="4000000"/>
    <n v="96.028999999999996"/>
    <n v="4003590.86"/>
    <n v="31423400.52"/>
    <n v="-1650185.34"/>
    <n v="346043.56"/>
    <n v="29773215.18"/>
    <n v="6.6E-3"/>
    <m/>
    <s v="Investments"/>
    <s v="BBG00N9X3LW2"/>
    <s v="BOND"/>
    <s v="Corp"/>
    <s v="#N/A Field Not Applicable"/>
    <n v="2.7"/>
    <n v="3.3236000000000002E-2"/>
    <s v="High"/>
    <n v="5.3"/>
    <n v="8.3331000000000002E-2"/>
    <s v="Medium"/>
    <n v="3885804.4329191982"/>
    <s v=""/>
    <s v=""/>
    <s v="B-"/>
    <s v="B2"/>
    <s v=""/>
    <n v="6"/>
    <n v="7"/>
    <n v="0"/>
    <n v="6"/>
    <s v="CN"/>
    <s v="Financial"/>
    <s v="Real Estate"/>
    <s v="Real Estate Oper/Develop"/>
    <s v="N"/>
    <s v=" "/>
    <s v="ACTV"/>
    <s v="Corporate"/>
    <s v="Financial"/>
    <s v="Non-Investment Grade"/>
    <x v="4"/>
    <s v="High"/>
    <s v="Medium"/>
    <s v="Real Estate"/>
    <s v="FINANCIAL"/>
    <s v="#N/A Field Not Applicable"/>
    <n v="4.5973052856929777E-2"/>
    <s v="8/20/2021"/>
    <n v="1.3890410958904109"/>
    <s v="1 - 2 yrs"/>
    <n v="1.0643076620302921E-2"/>
    <n v="1.2176973074305235"/>
    <n v="9.3302104463740872E-3"/>
    <n v="13.723235518078869"/>
    <n v="0.10514983864012266"/>
    <s v="XS1951935847"/>
    <s v="-"/>
    <n v="-3.44"/>
    <n v="3885804.4329191982"/>
    <n v="7.1026421337293567E-3"/>
    <s v="1 - 2 yrs"/>
    <s v="China"/>
    <n v="3.4722594322329895E-3"/>
  </r>
  <r>
    <s v="Investments"/>
    <s v="Investments Long"/>
    <s v="Avaliable for Trading"/>
    <s v="United States Dollar"/>
    <m/>
    <s v="ZHPRHK V10.25 PERP"/>
    <s v="XS2013512608"/>
    <n v="1300000"/>
    <n v="86.527000000000001"/>
    <n v="1284140"/>
    <n v="9971256.8000000007"/>
    <n v="-1252424.21"/>
    <n v="189352.92"/>
    <n v="8718832.5899999999"/>
    <n v="1.9E-3"/>
    <m/>
    <s v="Investments"/>
    <s v="BBG00PF578H3"/>
    <s v="BOND"/>
    <s v="Corp"/>
    <s v="#N/A Field Not Applicable"/>
    <n v="1.4"/>
    <n v="3.0913E-2"/>
    <s v="High"/>
    <n v="2"/>
    <n v="7.5423000000000004E-2"/>
    <s v="High"/>
    <n v="1149280.1679761582"/>
    <s v=""/>
    <s v=""/>
    <s v=""/>
    <s v="B2"/>
    <s v=""/>
    <n v="0"/>
    <n v="7"/>
    <n v="0"/>
    <n v="7"/>
    <s v="CN"/>
    <s v="Financial"/>
    <s v="Real Estate"/>
    <s v="Real Estate Oper/Develop"/>
    <s v="N"/>
    <s v=" "/>
    <s v="ACTV"/>
    <s v="Corporate"/>
    <s v="Financial"/>
    <s v="Non-Investment Grade"/>
    <x v="4"/>
    <s v="High"/>
    <s v="High"/>
    <s v="Real Estate"/>
    <s v="FINANCIAL"/>
    <s v="#N/A Field Not Applicable"/>
    <n v="1.5863357328505322E-2"/>
    <s v="1/25/2169"/>
    <n v="148.92054794520547"/>
    <s v="10 yrs or Above"/>
    <n v="0.33748283794451472"/>
    <n v="1.5031668628867489"/>
    <n v="3.4064675814772663E-3"/>
    <n v="14.884184671177437"/>
    <n v="3.3730448568907029E-2"/>
    <s v="XS2013512608"/>
    <s v="-"/>
    <n v="-15.36"/>
    <n v="1149280.1679761582"/>
    <n v="2.1007042133601773E-3"/>
    <s v="1 - 2 yrs"/>
    <s v="China"/>
    <n v="1.2677248019606028E-3"/>
  </r>
  <r>
    <s v="Receivable Investments"/>
    <s v="AccruedInterestReceivable"/>
    <s v="AccruedInterestReceivable"/>
    <s v="United States Dollar"/>
    <m/>
    <s v="United States Dollar"/>
    <s v="USD"/>
    <n v="-68045.66"/>
    <n v="1"/>
    <n v="-68045.66"/>
    <n v="-527204.18000000005"/>
    <n v="-224.54"/>
    <n v="0"/>
    <n v="-527428.72"/>
    <n v="-5.7000000000000002E-3"/>
    <m/>
    <s v="Receivable Investments"/>
    <s v="#N/A Invalid Security"/>
    <s v="Cash Adjustments"/>
    <s v="Cash Adjustments"/>
    <s v="Cash Adjustments"/>
    <n v="0"/>
    <n v="0"/>
    <s v="High"/>
    <n v="0"/>
    <n v="0"/>
    <s v="High"/>
    <n v="-68045.6606159125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8045.66061591258"/>
    <n v="-1.2437681423533412E-4"/>
    <s v=""/>
    <s v="Cash Adjustments"/>
    <s v=""/>
  </r>
  <r>
    <s v="Receivable Investments"/>
    <s v="DividendsReceivable"/>
    <s v="DividendsReceivable"/>
    <s v="Hong Kong Dollar"/>
    <m/>
    <s v="Hong Kong Dollar"/>
    <s v="HKD"/>
    <n v="288947.25"/>
    <n v="1"/>
    <n v="288947.25"/>
    <n v="288947.25"/>
    <n v="0"/>
    <n v="0"/>
    <n v="288947.25"/>
    <n v="3.0999999999999999E-3"/>
    <m/>
    <s v="Receivable Investments"/>
    <s v="#N/A Invalid Security"/>
    <s v="Cash Adjustments"/>
    <s v="Cash Adjustments"/>
    <s v="Cash Adjustments"/>
    <n v="0"/>
    <n v="0"/>
    <s v="High"/>
    <n v="0"/>
    <n v="0"/>
    <s v="High"/>
    <n v="37278.225026125321"/>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37278.225026125321"/>
    <n v="6.8138758991092947E-5"/>
    <s v=""/>
    <s v="Cash Adjustments"/>
    <s v=""/>
  </r>
  <r>
    <s v="Receivable Investments"/>
    <s v="NAV Adjustment"/>
    <s v="NAV Adjustment"/>
    <s v="Hong Kong Dollar"/>
    <m/>
    <s v="Hong Kong Dollar"/>
    <s v="HKD"/>
    <n v="-5380.39"/>
    <n v="1"/>
    <n v="-5380.39"/>
    <n v="-5380.39"/>
    <n v="0"/>
    <n v="0"/>
    <n v="-5380.39"/>
    <n v="-1E-4"/>
    <m/>
    <s v="Receivable Investments"/>
    <s v="#N/A Invalid Security"/>
    <s v="Cash Adjustments"/>
    <s v="Cash Adjustments"/>
    <s v="Cash Adjustments"/>
    <n v="0"/>
    <n v="0"/>
    <s v="High"/>
    <n v="0"/>
    <n v="0"/>
    <s v="High"/>
    <n v="-694.14534711202282"/>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94.14534711202282"/>
    <n v="-1.2687890176774018E-6"/>
    <s v=""/>
    <s v="Cash Adjustments"/>
    <s v=""/>
  </r>
  <r>
    <s v="Receivable Investments"/>
    <s v="PurchasedAI"/>
    <s v="PurchasedAI"/>
    <s v="United States Dollar"/>
    <m/>
    <s v="United States Dollar"/>
    <s v="USD"/>
    <n v="95621.25"/>
    <n v="1"/>
    <n v="95621.25"/>
    <n v="741169.87"/>
    <n v="0"/>
    <n v="0"/>
    <n v="741169.87"/>
    <n v="8.0000000000000002E-3"/>
    <m/>
    <s v="Receivable Investments"/>
    <s v="#N/A Invalid Security"/>
    <s v="Cash Adjustments"/>
    <s v="Cash Adjustments"/>
    <s v="Cash Adjustments"/>
    <n v="0"/>
    <n v="0"/>
    <s v="High"/>
    <n v="0"/>
    <n v="0"/>
    <s v="High"/>
    <n v="95621.24988711279"/>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95621.24988711279"/>
    <n v="1.7478067413131528E-4"/>
    <s v=""/>
    <s v="Cash Adjustments"/>
    <s v=""/>
  </r>
  <r>
    <s v="Receivable Investments"/>
    <s v="Receivable"/>
    <s v="Receivable"/>
    <s v="United States Dollar"/>
    <m/>
    <s v="United States Dollar"/>
    <s v="USD"/>
    <n v="11877325"/>
    <n v="1"/>
    <n v="11877325"/>
    <n v="92093603.109999999"/>
    <n v="-31269.3"/>
    <n v="0"/>
    <n v="92062333.810000002"/>
    <n v="0.99460000000000004"/>
    <m/>
    <s v="Receivable Investments"/>
    <s v="#N/A Invalid Security"/>
    <s v="Cash Adjustments"/>
    <s v="Cash Adjustments"/>
    <s v="Cash Adjustments"/>
    <n v="0"/>
    <n v="0"/>
    <s v="High"/>
    <n v="0"/>
    <n v="0"/>
    <s v="High"/>
    <n v="11877325.000322536"/>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1877325.000322536"/>
    <n v="2.1709890561814098E-2"/>
    <s v=""/>
    <s v="Cash Adjustments"/>
    <s v=""/>
  </r>
  <r>
    <s v="Payable Investments"/>
    <s v="AccruedInterestPayable"/>
    <s v="AccruedInterestPayable"/>
    <s v="United States Dollar"/>
    <m/>
    <s v="United States Dollar"/>
    <s v="USD"/>
    <n v="-95621.25"/>
    <n v="1"/>
    <n v="-95621.25"/>
    <n v="-741169.87"/>
    <n v="0"/>
    <n v="0"/>
    <n v="-741169.87"/>
    <n v="4.4000000000000003E-3"/>
    <m/>
    <s v="Payable Investments"/>
    <s v="#N/A Invalid Security"/>
    <s v="Cash Adjustments"/>
    <s v="Cash Adjustments"/>
    <s v="Cash Adjustments"/>
    <n v="0"/>
    <n v="0"/>
    <s v="High"/>
    <n v="0"/>
    <n v="0"/>
    <s v="High"/>
    <n v="-95621.24988711279"/>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95621.24988711279"/>
    <n v="-1.7478067413131528E-4"/>
    <s v=""/>
    <s v="Cash Adjustments"/>
    <s v=""/>
  </r>
  <r>
    <s v="Payable Investments"/>
    <s v="Audit Fees Payable"/>
    <s v="Audit Fees Payable"/>
    <s v="Hong Kong Dollar"/>
    <m/>
    <s v="Hong Kong Dollar"/>
    <s v="HKD"/>
    <n v="-117961.5"/>
    <n v="1"/>
    <n v="-117961.5"/>
    <n v="-117961.5"/>
    <n v="0"/>
    <n v="0"/>
    <n v="-117961.5"/>
    <n v="6.9999999999999999E-4"/>
    <m/>
    <s v="Payable Investments"/>
    <s v="#N/A Invalid Security"/>
    <s v="Cash Adjustments"/>
    <s v="Cash Adjustments"/>
    <s v="Cash Adjustments"/>
    <n v="0"/>
    <n v="0"/>
    <s v="High"/>
    <n v="0"/>
    <n v="0"/>
    <s v="High"/>
    <n v="-15218.678639160893"/>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5218.678639160893"/>
    <n v="-2.7817361884315603E-5"/>
    <s v=""/>
    <s v="Cash Adjustments"/>
    <s v=""/>
  </r>
  <r>
    <s v="Payable Investments"/>
    <s v="CapitalPayable"/>
    <s v="CapitalPayable"/>
    <s v="Hong Kong Dollar"/>
    <m/>
    <s v="Hong Kong Dollar"/>
    <s v="HKD"/>
    <n v="-2429227.23"/>
    <n v="1"/>
    <n v="-2429227.23"/>
    <n v="-2429227.23"/>
    <n v="0"/>
    <n v="0"/>
    <n v="-2429227.23"/>
    <n v="1.44E-2"/>
    <m/>
    <s v="Payable Investments"/>
    <s v="#N/A Invalid Security"/>
    <s v="Cash Adjustments"/>
    <s v="Cash Adjustments"/>
    <s v="Cash Adjustments"/>
    <n v="0"/>
    <n v="0"/>
    <s v="High"/>
    <n v="0"/>
    <n v="0"/>
    <s v="High"/>
    <n v="-313404.1916631187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313404.19166311878"/>
    <n v="-5.7285379514624324E-4"/>
    <s v=""/>
    <s v="Cash Adjustments"/>
    <s v=""/>
  </r>
  <r>
    <s v="Payable Investments"/>
    <s v="Legal Fee Payable"/>
    <s v="Legal Fee Payable"/>
    <s v="Hong Kong Dollar"/>
    <m/>
    <s v="Hong Kong Dollar"/>
    <s v="HKD"/>
    <n v="-48000"/>
    <n v="1"/>
    <n v="-48000"/>
    <n v="-48000"/>
    <n v="0"/>
    <n v="0"/>
    <n v="-48000"/>
    <n v="2.9999999999999997E-4"/>
    <m/>
    <s v="Payable Investments"/>
    <s v="#N/A Invalid Security"/>
    <s v="Cash Adjustments"/>
    <s v="Cash Adjustments"/>
    <s v="Cash Adjustments"/>
    <n v="0"/>
    <n v="0"/>
    <s v="High"/>
    <n v="0"/>
    <n v="0"/>
    <s v="High"/>
    <n v="-6192.669427565119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192.6694275651198"/>
    <n v="-1.1319230176346934E-5"/>
    <s v=""/>
    <s v="Cash Adjustments"/>
    <s v=""/>
  </r>
  <r>
    <s v="Payable Investments"/>
    <s v="Management Fee Payable"/>
    <s v="Management Fee Payable"/>
    <s v="Hong Kong Dollar"/>
    <m/>
    <s v="Hong Kong Dollar"/>
    <s v="HKD"/>
    <n v="-4880302.93"/>
    <n v="1"/>
    <n v="-4880302.93"/>
    <n v="-4880302.93"/>
    <n v="0"/>
    <n v="0"/>
    <n v="-4880302.93"/>
    <n v="2.8899999999999999E-2"/>
    <m/>
    <s v="Payable Investments"/>
    <s v="#N/A Invalid Security"/>
    <s v="Cash Adjustments"/>
    <s v="Cash Adjustments"/>
    <s v="Cash Adjustments"/>
    <n v="0"/>
    <n v="0"/>
    <s v="High"/>
    <n v="0"/>
    <n v="0"/>
    <s v="High"/>
    <n v="-629627.14066390577"/>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29627.14066390577"/>
    <n v="-1.1508598373952158E-3"/>
    <s v=""/>
    <s v="Cash Adjustments"/>
    <s v=""/>
  </r>
  <r>
    <s v="Payable Investments"/>
    <s v="Payable"/>
    <s v="Payable"/>
    <s v="United States Dollar"/>
    <m/>
    <s v="United States Dollar"/>
    <s v="USD"/>
    <n v="-19568820"/>
    <n v="1"/>
    <n v="-19568820"/>
    <n v="-151716756.18000001"/>
    <n v="37194.86"/>
    <n v="0"/>
    <n v="-151679561.31999999"/>
    <n v="0.89939999999999998"/>
    <m/>
    <s v="Payable Investments"/>
    <s v="#N/A Invalid Security"/>
    <s v="Cash Adjustments"/>
    <s v="Cash Adjustments"/>
    <s v="Cash Adjustments"/>
    <n v="0"/>
    <n v="0"/>
    <s v="High"/>
    <n v="0"/>
    <n v="0"/>
    <s v="High"/>
    <n v="-19568778.79526776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9568778.795267768"/>
    <n v="-3.5768663908925191E-2"/>
    <s v=""/>
    <s v="Cash Adjustments"/>
    <s v=""/>
  </r>
  <r>
    <s v="Payable Investments"/>
    <s v="SFC Annual Fee Payable"/>
    <s v="SFC Annual Fee Payable"/>
    <s v="Hong Kong Dollar"/>
    <m/>
    <s v="Hong Kong Dollar"/>
    <s v="HKD"/>
    <n v="1482.29"/>
    <n v="1"/>
    <n v="1482.29"/>
    <n v="1482.29"/>
    <n v="0"/>
    <n v="0"/>
    <n v="1482.29"/>
    <n v="0"/>
    <m/>
    <s v="Payable Investments"/>
    <s v="#N/A Invalid Security"/>
    <s v="Cash Adjustments"/>
    <s v="Cash Adjustments"/>
    <s v="Cash Adjustments"/>
    <n v="0"/>
    <n v="0"/>
    <s v="High"/>
    <n v="0"/>
    <n v="0"/>
    <s v="High"/>
    <n v="191.2360826205312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91.23608262053128"/>
    <n v="3.4954961871036036E-7"/>
    <s v=""/>
    <s v="Cash Adjustments"/>
    <s v=""/>
  </r>
  <r>
    <s v="Payable Investments"/>
    <s v="SoldAI"/>
    <s v="SoldAI"/>
    <s v="United States Dollar"/>
    <m/>
    <s v="United States Dollar"/>
    <s v="USD"/>
    <n v="-60683.5"/>
    <n v="1"/>
    <n v="-60683.5"/>
    <n v="-470588.41"/>
    <n v="224.54"/>
    <n v="0"/>
    <n v="-470363.87"/>
    <n v="2.8E-3"/>
    <m/>
    <s v="Payable Investments"/>
    <s v="#N/A Invalid Security"/>
    <s v="Cash Adjustments"/>
    <s v="Cash Adjustments"/>
    <s v="Cash Adjustments"/>
    <n v="0"/>
    <n v="0"/>
    <s v="High"/>
    <n v="0"/>
    <n v="0"/>
    <s v="High"/>
    <n v="-60683.49911625446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0683.499116254468"/>
    <n v="-1.1091993564931931E-4"/>
    <s v=""/>
    <s v="Cash Adjustments"/>
    <s v=""/>
  </r>
  <r>
    <s v="Payable Investments"/>
    <s v="SubscriptionsInAdvance"/>
    <s v="SubscriptionsInAdvance"/>
    <s v="Hong Kong Dollar"/>
    <m/>
    <s v="Hong Kong Dollar"/>
    <s v="HKD"/>
    <n v="-6184998.5099999998"/>
    <n v="1"/>
    <n v="-6184998.5099999998"/>
    <n v="-6184998.5099999998"/>
    <n v="0"/>
    <n v="0"/>
    <n v="-6184998.5099999998"/>
    <n v="3.6700000000000003E-2"/>
    <m/>
    <s v="Payable Investments"/>
    <s v="#N/A Invalid Security"/>
    <s v="Cash Adjustments"/>
    <s v="Cash Adjustments"/>
    <s v="Cash Adjustments"/>
    <n v="0"/>
    <n v="0"/>
    <s v="High"/>
    <n v="0"/>
    <n v="0"/>
    <s v="High"/>
    <n v="-797951.066300267"/>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797951.066300267"/>
    <n v="-1.4585296203136005E-3"/>
    <s v=""/>
    <s v="Cash Adjustments"/>
    <s v=""/>
  </r>
  <r>
    <s v="Payable Investments"/>
    <s v="System Fee Payable"/>
    <s v="System Fee Payable"/>
    <s v="United States Dollar"/>
    <m/>
    <s v="United States Dollar"/>
    <s v="USD"/>
    <n v="-8550"/>
    <n v="1"/>
    <n v="-8550"/>
    <n v="-66591.28"/>
    <n v="0"/>
    <n v="0"/>
    <n v="-66591.28"/>
    <n v="4.0000000000000002E-4"/>
    <m/>
    <s v="Payable Investments"/>
    <s v="#N/A Invalid Security"/>
    <s v="Cash Adjustments"/>
    <s v="Cash Adjustments"/>
    <s v="Cash Adjustments"/>
    <n v="0"/>
    <n v="0"/>
    <s v="High"/>
    <n v="0"/>
    <n v="0"/>
    <s v="High"/>
    <n v="-8591.2038291339286"/>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8591.2038291339286"/>
    <n v="-1.5703375542865999E-5"/>
    <s v=""/>
    <s v="Cash Adjustments"/>
    <s v=""/>
  </r>
  <r>
    <s v="Payable Investments"/>
    <s v="Trustee Directors and Officers Fees Payable"/>
    <s v="Trustee Directors and Officers Fees Payable"/>
    <s v="Hong Kong Dollar"/>
    <m/>
    <s v="Hong Kong Dollar"/>
    <s v="HKD"/>
    <n v="-2033459.56"/>
    <n v="1"/>
    <n v="-2033459.56"/>
    <n v="-2033459.56"/>
    <n v="0"/>
    <n v="0"/>
    <n v="-2033459.56"/>
    <n v="1.21E-2"/>
    <m/>
    <s v="Payable Investments"/>
    <s v="#N/A Invalid Security"/>
    <s v="Cash Adjustments"/>
    <s v="Cash Adjustments"/>
    <s v="Cash Adjustments"/>
    <n v="0"/>
    <n v="0"/>
    <s v="High"/>
    <n v="0"/>
    <n v="0"/>
    <s v="High"/>
    <n v="-262344.64269587543"/>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262344.64269587543"/>
    <n v="-4.7952493362360751E-4"/>
    <s v=""/>
    <s v="Cash Adjustments"/>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Investments"/>
    <s v="Cash Long"/>
    <s v="BOCHK Custody account"/>
    <s v="Euro"/>
    <m/>
    <s v="Euro"/>
    <s v="EUR"/>
    <n v="200713.05"/>
    <n v="1"/>
    <n v="200713.05"/>
    <n v="1735858.17"/>
    <n v="-19942.23"/>
    <n v="0"/>
    <n v="1715915.94"/>
    <n v="4.0000000000000002E-4"/>
    <m/>
    <s v="Cash"/>
    <m/>
    <s v="Cash"/>
    <s v="Cash"/>
    <s v="Cash"/>
    <n v="0"/>
    <n v="0"/>
    <s v="High"/>
    <n v="0"/>
    <n v="0"/>
    <s v="High"/>
    <n v="221377.08712311799"/>
    <s v=""/>
    <s v=""/>
    <s v=""/>
    <s v=""/>
    <s v=""/>
    <n v="21"/>
    <n v="21"/>
    <n v="21"/>
    <x v="0"/>
    <s v="EU"/>
    <x v="0"/>
    <s v="Cash"/>
    <s v="Cash"/>
    <s v="Cash"/>
    <s v="Cash"/>
    <s v="Cash"/>
    <x v="0"/>
    <s v="Cash"/>
    <s v=""/>
    <x v="0"/>
    <s v="High"/>
    <s v="High"/>
    <s v="Cash"/>
    <s v="Cash"/>
    <s v="Cash"/>
    <s v=""/>
    <s v=""/>
    <s v=""/>
    <s v=""/>
    <s v=""/>
    <s v=""/>
    <s v=""/>
    <s v=""/>
    <m/>
    <s v="-"/>
    <s v="-"/>
    <s v="-"/>
    <n v="221377.08712311799"/>
    <n v="4.0464265600255656E-4"/>
  </r>
  <r>
    <s v="Investments"/>
    <s v="Cash Long"/>
    <s v="BOCHK Custody account"/>
    <s v="Hong Kong Dollar"/>
    <m/>
    <s v="Hong Kong Dollar"/>
    <s v="HKD"/>
    <n v="10262226.93"/>
    <n v="1"/>
    <n v="10262226.93"/>
    <n v="10262226.93"/>
    <n v="0"/>
    <n v="0"/>
    <n v="10262226.93"/>
    <n v="2.3E-3"/>
    <m/>
    <s v="Cash"/>
    <m/>
    <s v="Cash"/>
    <s v="Cash"/>
    <s v="Cash"/>
    <n v="0"/>
    <n v="0"/>
    <s v="High"/>
    <n v="0"/>
    <n v="0"/>
    <s v="High"/>
    <n v="1323970.3951697177"/>
    <s v=""/>
    <s v=""/>
    <s v=""/>
    <s v=""/>
    <s v=""/>
    <n v="21"/>
    <n v="21"/>
    <n v="21"/>
    <x v="0"/>
    <s v="HK"/>
    <x v="0"/>
    <s v="Cash"/>
    <s v="Cash"/>
    <s v="Cash"/>
    <s v="Cash"/>
    <s v="Cash"/>
    <x v="0"/>
    <s v="Cash"/>
    <s v=""/>
    <x v="0"/>
    <s v="High"/>
    <s v="High"/>
    <s v="Cash"/>
    <s v="Cash"/>
    <s v="Cash"/>
    <s v=""/>
    <s v=""/>
    <s v=""/>
    <s v=""/>
    <s v=""/>
    <s v=""/>
    <s v=""/>
    <s v=""/>
    <s v=""/>
    <s v="-"/>
    <s v="-"/>
    <s v="-"/>
    <n v="1323970.3951697177"/>
    <n v="2.4200105988036696E-3"/>
  </r>
  <r>
    <s v="Investments"/>
    <s v="Cash Long"/>
    <s v="BOCHK Custody account"/>
    <s v="United States Dollar"/>
    <m/>
    <s v="United States Dollar"/>
    <s v="USD"/>
    <n v="51116780.549999997"/>
    <n v="1"/>
    <n v="51116780.549999997"/>
    <n v="396563807.18000001"/>
    <n v="-352529.46"/>
    <n v="0"/>
    <n v="396211277.72000003"/>
    <n v="8.8300000000000003E-2"/>
    <m/>
    <s v="Cash"/>
    <m/>
    <s v="Cash"/>
    <s v="Cash"/>
    <s v="Cash"/>
    <n v="0"/>
    <n v="0"/>
    <s v="High"/>
    <n v="0"/>
    <n v="0"/>
    <s v="High"/>
    <n v="51116780.549857445"/>
    <s v=""/>
    <s v=""/>
    <s v=""/>
    <s v=""/>
    <s v=""/>
    <n v="21"/>
    <n v="21"/>
    <n v="21"/>
    <x v="0"/>
    <s v="US"/>
    <x v="0"/>
    <s v="Cash"/>
    <s v="Cash"/>
    <s v="Cash"/>
    <s v="Cash"/>
    <s v="Cash"/>
    <x v="0"/>
    <s v="Cash"/>
    <s v=""/>
    <x v="0"/>
    <s v="High"/>
    <s v="High"/>
    <s v="Cash"/>
    <s v="Cash"/>
    <s v="Cash"/>
    <s v=""/>
    <s v=""/>
    <s v=""/>
    <s v=""/>
    <s v=""/>
    <s v=""/>
    <s v=""/>
    <s v=""/>
    <s v=""/>
    <s v="-"/>
    <s v="-"/>
    <s v="-"/>
    <n v="51116780.549857445"/>
    <n v="9.3433471895358333E-2"/>
  </r>
  <r>
    <s v="Investments"/>
    <s v="Cash Long"/>
    <s v="Morgan Stanley Future Account"/>
    <s v="United States Dollar"/>
    <m/>
    <s v="United States Dollar"/>
    <s v="USD"/>
    <n v="2553726.7799999998"/>
    <n v="1"/>
    <n v="2553726.7799999998"/>
    <n v="19971123.199999999"/>
    <n v="-176931.56"/>
    <n v="0"/>
    <n v="19794191.640000001"/>
    <n v="4.4000000000000003E-3"/>
    <m/>
    <s v="Cash"/>
    <m/>
    <s v="Cash"/>
    <s v="Cash"/>
    <s v="Cash"/>
    <n v="0"/>
    <n v="0"/>
    <s v="High"/>
    <n v="0"/>
    <n v="0"/>
    <s v="High"/>
    <n v="2553726.779424856"/>
    <s v=""/>
    <s v=""/>
    <s v=""/>
    <s v=""/>
    <s v=""/>
    <n v="21"/>
    <n v="21"/>
    <n v="21"/>
    <x v="0"/>
    <s v="US"/>
    <x v="0"/>
    <s v="Cash"/>
    <s v="Cash"/>
    <s v="Cash"/>
    <s v="Cash"/>
    <s v="Cash"/>
    <x v="0"/>
    <s v="Cash"/>
    <s v=""/>
    <x v="0"/>
    <s v="High"/>
    <s v="High"/>
    <s v="Cash"/>
    <s v="Cash"/>
    <s v="Cash"/>
    <s v=""/>
    <s v=""/>
    <s v=""/>
    <s v=""/>
    <s v=""/>
    <s v=""/>
    <s v=""/>
    <s v=""/>
    <s v=""/>
    <s v="-"/>
    <s v="-"/>
    <s v="-"/>
    <n v="2553726.779424856"/>
    <n v="4.6678127359975462E-3"/>
  </r>
  <r>
    <s v="Investments"/>
    <s v="Investments Long"/>
    <m/>
    <s v="Hong Kong Dollar"/>
    <m/>
    <s v="AIA GROUP LTD"/>
    <s v="1299 HK"/>
    <n v="177200"/>
    <n v="70.150000000000006"/>
    <n v="12571534.66"/>
    <n v="12571534.66"/>
    <n v="-140954.66"/>
    <n v="0"/>
    <n v="12430580"/>
    <n v="2.8E-3"/>
    <m/>
    <s v="Investments"/>
    <s v="BBG0016XR1Q8"/>
    <s v="EQUI"/>
    <s v="Equity"/>
    <s v="Common Stock"/>
    <n v="0.1"/>
    <n v="4.0861000000000001E-2"/>
    <s v="High"/>
    <n v="0.3"/>
    <n v="7.2820999999999997E-2"/>
    <s v="High"/>
    <n v="1603718.1819354673"/>
    <s v=""/>
    <s v=""/>
    <s v=""/>
    <s v=""/>
    <s v=""/>
    <n v="0"/>
    <n v="0"/>
    <n v="0"/>
    <x v="1"/>
    <s v="HK"/>
    <x v="1"/>
    <s v="Insurance"/>
    <s v="Life/Health Insurance"/>
    <s v="N"/>
    <s v=" "/>
    <s v="ACTV"/>
    <x v="1"/>
    <s v="Financial"/>
    <s v=""/>
    <x v="1"/>
    <s v="High"/>
    <s v="High"/>
    <s v="Financials"/>
    <s v="Life/Health Insurance"/>
    <s v="#N/A Field Not Applicable"/>
    <s v=""/>
    <s v=""/>
    <s v=""/>
    <s v=""/>
    <s v=""/>
    <s v=""/>
    <s v=""/>
    <s v=""/>
    <s v=""/>
    <s v="HK0000069689"/>
    <s v="-"/>
    <n v="-9.57"/>
    <n v="1603718.1819354673"/>
    <n v="2.9313457551144724E-3"/>
  </r>
  <r>
    <s v="Investments"/>
    <s v="Investments Long"/>
    <m/>
    <s v="Hong Kong Dollar"/>
    <m/>
    <s v="ALIBABA GROUP HOLDING LTD"/>
    <s v="9988 HK"/>
    <n v="127000"/>
    <n v="183.4"/>
    <n v="22577241.100000001"/>
    <n v="22577241.100000001"/>
    <n v="714558.9"/>
    <n v="0"/>
    <n v="23291800"/>
    <n v="5.1999999999999998E-3"/>
    <m/>
    <s v="Investments"/>
    <s v="BBG00QV37ZP9"/>
    <s v="EQUI"/>
    <s v="Equity"/>
    <s v="Common Stock"/>
    <n v="0.2"/>
    <n v="3.6630000000000003E-2"/>
    <s v="High"/>
    <n v="0.3"/>
    <n v="6.5493999999999997E-2"/>
    <s v="High"/>
    <n v="3004967.0369366929"/>
    <s v=""/>
    <s v=""/>
    <s v=""/>
    <s v=""/>
    <s v=""/>
    <n v="0"/>
    <n v="0"/>
    <n v="0"/>
    <x v="1"/>
    <s v="HK"/>
    <x v="2"/>
    <s v="Internet"/>
    <s v="E-Commerce/Products"/>
    <s v="N"/>
    <s v=" "/>
    <s v="ACTV"/>
    <x v="1"/>
    <s v="Non-Financial"/>
    <s v=""/>
    <x v="1"/>
    <s v="High"/>
    <s v="High"/>
    <s v="Consumer Discretionary"/>
    <s v="E-Commerce/Products"/>
    <s v="#N/A Field Not Applicable"/>
    <s v=""/>
    <s v=""/>
    <s v=""/>
    <s v=""/>
    <s v=""/>
    <s v=""/>
    <s v=""/>
    <s v=""/>
    <s v=""/>
    <s v="KYG017191142"/>
    <s v="-"/>
    <n v="-7.88"/>
    <n v="3004967.0369366929"/>
    <n v="5.492609279613282E-3"/>
  </r>
  <r>
    <s v="Investments"/>
    <s v="Investments Long"/>
    <m/>
    <s v="Hong Kong Dollar"/>
    <m/>
    <s v="CHINA MENGNIU DAIRY CO"/>
    <s v="2319 HK"/>
    <n v="110000"/>
    <n v="26.95"/>
    <n v="3463883.29"/>
    <n v="3463883.29"/>
    <n v="-499383.29"/>
    <n v="0"/>
    <n v="2964500"/>
    <n v="6.9999999999999999E-4"/>
    <m/>
    <s v="Investments"/>
    <s v="BBG000PXTGY5"/>
    <s v="EQUI"/>
    <s v="Equity"/>
    <s v="Common Stock"/>
    <n v="0.2"/>
    <n v="3.0221999999999999E-2"/>
    <s v="High"/>
    <n v="0.5"/>
    <n v="5.3747999999999997E-2"/>
    <s v="High"/>
    <n v="382461.84412534995"/>
    <s v=""/>
    <s v=""/>
    <s v=""/>
    <s v=""/>
    <s v=""/>
    <n v="0"/>
    <n v="0"/>
    <n v="0"/>
    <x v="1"/>
    <s v="HK"/>
    <x v="3"/>
    <s v="Food"/>
    <s v="Food-Dairy Products"/>
    <s v="N"/>
    <s v=" "/>
    <s v="ACTV"/>
    <x v="1"/>
    <s v="Non-Financial"/>
    <s v=""/>
    <x v="1"/>
    <s v="High"/>
    <s v="High"/>
    <s v="Consumer Staples"/>
    <s v="Food-Dairy Products"/>
    <s v="#N/A Field Not Applicable"/>
    <s v=""/>
    <s v=""/>
    <s v=""/>
    <s v=""/>
    <s v=""/>
    <s v=""/>
    <s v=""/>
    <s v=""/>
    <s v=""/>
    <s v="KYG210961051"/>
    <s v="-"/>
    <n v="-8.36"/>
    <n v="382461.84412534995"/>
    <n v="6.9908037203709344E-4"/>
  </r>
  <r>
    <s v="Investments"/>
    <s v="Investments Long"/>
    <m/>
    <s v="Hong Kong Dollar"/>
    <m/>
    <s v="CHINA MERCHANTS BANK-H"/>
    <s v="3968 HK"/>
    <n v="290000"/>
    <n v="35"/>
    <n v="10831349.199999999"/>
    <n v="10831349.199999999"/>
    <n v="-681349.2"/>
    <n v="0"/>
    <n v="10150000"/>
    <n v="2.3E-3"/>
    <m/>
    <s v="Investments"/>
    <s v="BBG000DVPPK1"/>
    <s v="EQUI"/>
    <s v="Equity"/>
    <s v="Common Stock"/>
    <n v="0.3"/>
    <n v="4.1071999999999997E-2"/>
    <s v="High"/>
    <n v="0.7"/>
    <n v="7.2844000000000006E-2"/>
    <s v="High"/>
    <n v="1309491.5560372076"/>
    <s v=""/>
    <s v=""/>
    <s v=""/>
    <s v=""/>
    <s v=""/>
    <n v="0"/>
    <n v="0"/>
    <n v="0"/>
    <x v="1"/>
    <s v="HK"/>
    <x v="1"/>
    <s v="Banks"/>
    <s v="Commer Banks Non-US"/>
    <s v="N"/>
    <s v=" "/>
    <s v="ACTV"/>
    <x v="1"/>
    <s v="Financial"/>
    <s v=""/>
    <x v="1"/>
    <s v="High"/>
    <s v="High"/>
    <s v="Financials"/>
    <s v="Commer Banks Non-US"/>
    <s v="#N/A Field Not Applicable"/>
    <s v=""/>
    <s v=""/>
    <s v=""/>
    <s v=""/>
    <s v=""/>
    <s v=""/>
    <s v=""/>
    <s v=""/>
    <s v=""/>
    <s v="CNE1000002M1"/>
    <s v="-"/>
    <n v="-9.74"/>
    <n v="1309491.5560372076"/>
    <n v="2.3935455477066955E-3"/>
  </r>
  <r>
    <s v="Investments"/>
    <s v="Investments Long"/>
    <m/>
    <s v="Hong Kong Dollar"/>
    <m/>
    <s v="CHINA MOBILE LTD"/>
    <s v="941 HK"/>
    <n v="125000"/>
    <n v="57.65"/>
    <n v="8479164.1300000008"/>
    <n v="8479164.1300000008"/>
    <n v="-1272914.1299999999"/>
    <n v="0"/>
    <n v="7206250"/>
    <n v="1.6000000000000001E-3"/>
    <m/>
    <s v="Investments"/>
    <s v="BBG000BZWNT2"/>
    <s v="EQUI"/>
    <s v="Equity"/>
    <s v="Common Stock"/>
    <n v="0.1"/>
    <n v="4.1027000000000001E-2"/>
    <s v="High"/>
    <n v="0.2"/>
    <n v="7.3200000000000001E-2"/>
    <s v="High"/>
    <n v="929706.75129981549"/>
    <s v=""/>
    <s v=""/>
    <s v=""/>
    <s v=""/>
    <s v=""/>
    <n v="0"/>
    <n v="0"/>
    <n v="0"/>
    <x v="1"/>
    <s v="HK"/>
    <x v="2"/>
    <s v="Telecommunications"/>
    <s v="Cellular Telecom"/>
    <s v="N"/>
    <s v=" "/>
    <s v="ACTV"/>
    <x v="1"/>
    <s v="Non-Financial"/>
    <s v=""/>
    <x v="1"/>
    <s v="High"/>
    <s v="High"/>
    <s v="Communication Services"/>
    <s v="Cellular Telecom"/>
    <s v="#N/A Field Not Applicable"/>
    <s v=""/>
    <s v=""/>
    <s v=""/>
    <s v=""/>
    <s v=""/>
    <s v=""/>
    <s v=""/>
    <s v=""/>
    <s v=""/>
    <s v="HK0941009539"/>
    <s v="-"/>
    <n v="-7.54"/>
    <n v="929706.75129981549"/>
    <n v="1.6993583845479187E-3"/>
  </r>
  <r>
    <s v="Investments"/>
    <s v="Investments Long"/>
    <m/>
    <s v="Hong Kong Dollar"/>
    <m/>
    <s v="CHINA TOWER CORP LTD-H"/>
    <s v="788 HK"/>
    <n v="3500000"/>
    <n v="1.74"/>
    <n v="5643848.8300000001"/>
    <n v="5643848.8300000001"/>
    <n v="446151.17"/>
    <n v="0"/>
    <n v="6090000"/>
    <n v="1.4E-3"/>
    <m/>
    <s v="Investments"/>
    <s v="BBG00LD1QR26"/>
    <s v="EQUI"/>
    <s v="Equity"/>
    <s v="Common Stock"/>
    <n v="0.2"/>
    <n v="4.7198999999999998E-2"/>
    <s v="High"/>
    <n v="0.3"/>
    <n v="8.3705000000000002E-2"/>
    <s v="High"/>
    <n v="785694.93362232461"/>
    <s v=""/>
    <s v=""/>
    <s v=""/>
    <s v=""/>
    <s v=""/>
    <n v="0"/>
    <n v="0"/>
    <n v="0"/>
    <x v="1"/>
    <s v="HK"/>
    <x v="4"/>
    <s v="Engineering&amp;Construction"/>
    <s v="Building-Heavy Construct"/>
    <s v="N"/>
    <s v=" "/>
    <s v="ACTV"/>
    <x v="1"/>
    <s v="Non-Financial"/>
    <s v=""/>
    <x v="1"/>
    <s v="High"/>
    <s v="High"/>
    <s v="Communication Services"/>
    <s v="Building-Heavy Construct"/>
    <s v="#N/A Field Not Applicable"/>
    <s v=""/>
    <s v=""/>
    <s v=""/>
    <s v=""/>
    <s v=""/>
    <s v=""/>
    <s v=""/>
    <s v=""/>
    <s v=""/>
    <s v="CNE100003688"/>
    <s v="-"/>
    <n v="-10.92"/>
    <n v="785694.93362232461"/>
    <n v="1.4361273286240173E-3"/>
  </r>
  <r>
    <s v="Investments"/>
    <s v="Investments Long"/>
    <m/>
    <s v="Hong Kong Dollar"/>
    <m/>
    <s v="CLP HOLDINGS LTD"/>
    <s v="2 HK"/>
    <n v="55000"/>
    <n v="71.5"/>
    <n v="4743347.9400000004"/>
    <n v="4743347.9400000004"/>
    <n v="-810847.94"/>
    <n v="0"/>
    <n v="3932500"/>
    <n v="8.9999999999999998E-4"/>
    <m/>
    <s v="Investments"/>
    <s v="BBG000BDV566"/>
    <s v="EQUI"/>
    <s v="Equity"/>
    <s v="Common Stock"/>
    <n v="0.2"/>
    <n v="3.0825000000000002E-2"/>
    <s v="High"/>
    <n v="0.5"/>
    <n v="5.4877000000000002E-2"/>
    <s v="High"/>
    <n v="507347.34424791322"/>
    <s v=""/>
    <s v=""/>
    <s v=""/>
    <s v=""/>
    <s v=""/>
    <n v="0"/>
    <n v="0"/>
    <n v="0"/>
    <x v="1"/>
    <s v="HK"/>
    <x v="5"/>
    <s v="Electric"/>
    <s v="Electric-Integrated"/>
    <s v="N"/>
    <s v=" "/>
    <s v="ACTV"/>
    <x v="1"/>
    <s v="Non-Financial"/>
    <s v=""/>
    <x v="1"/>
    <s v="High"/>
    <s v="High"/>
    <s v="Utilities"/>
    <s v="Electric-Integrated"/>
    <s v="#N/A Field Not Applicable"/>
    <s v=""/>
    <s v=""/>
    <s v=""/>
    <s v=""/>
    <s v=""/>
    <s v=""/>
    <s v=""/>
    <s v=""/>
    <s v=""/>
    <s v="HK0002007356"/>
    <s v="-"/>
    <n v="-7.57"/>
    <n v="507347.34424791322"/>
    <n v="9.2735151392675671E-4"/>
  </r>
  <r>
    <s v="Investments"/>
    <s v="Investments Long"/>
    <m/>
    <s v="Hong Kong Dollar"/>
    <m/>
    <s v="GUANGDONG INVESTMENT LTD"/>
    <s v="270 HK"/>
    <n v="750000"/>
    <n v="14.94"/>
    <n v="11300550.470000001"/>
    <n v="11300550.470000001"/>
    <n v="-95550.47"/>
    <n v="0"/>
    <n v="11205000"/>
    <n v="2.5000000000000001E-3"/>
    <m/>
    <s v="Investments"/>
    <s v="BBG000BDW8M1"/>
    <s v="EQUI"/>
    <s v="Equity"/>
    <s v="Common Stock"/>
    <n v="1.1000000000000001"/>
    <n v="4.7921999999999999E-2"/>
    <s v="High"/>
    <n v="2.7"/>
    <n v="8.3535999999999999E-2"/>
    <s v="High"/>
    <n v="1445601.2694972327"/>
    <s v=""/>
    <s v=""/>
    <s v=""/>
    <s v=""/>
    <s v=""/>
    <n v="0"/>
    <n v="0"/>
    <n v="0"/>
    <x v="1"/>
    <s v="HK"/>
    <x v="5"/>
    <s v="Water"/>
    <s v="Water"/>
    <s v="N"/>
    <s v=" "/>
    <s v="ACTV"/>
    <x v="1"/>
    <s v="Non-Financial"/>
    <s v=""/>
    <x v="1"/>
    <s v="High"/>
    <s v="High"/>
    <s v="Utilities"/>
    <s v="Water"/>
    <s v="#N/A Field Not Applicable"/>
    <s v=""/>
    <s v=""/>
    <s v=""/>
    <s v=""/>
    <s v=""/>
    <s v=""/>
    <s v=""/>
    <s v=""/>
    <s v=""/>
    <s v="HK0270001396"/>
    <s v="-"/>
    <n v="-7.49"/>
    <n v="1445601.2694972327"/>
    <n v="2.6423327942909879E-3"/>
  </r>
  <r>
    <s v="Investments"/>
    <s v="Investments Long"/>
    <m/>
    <s v="Hong Kong Dollar"/>
    <m/>
    <s v="HK ELECTRIC INVESTMENTS -SS"/>
    <s v="2638 HK"/>
    <n v="1052500"/>
    <n v="7.46"/>
    <n v="8185153.1399999997"/>
    <n v="8185153.1399999997"/>
    <n v="-333503.14"/>
    <n v="0"/>
    <n v="7851650"/>
    <n v="1.8E-3"/>
    <m/>
    <s v="Investments"/>
    <s v="BBG005Q0XWK0"/>
    <s v="EQUI"/>
    <s v="Equity"/>
    <s v="Unit"/>
    <n v="2.4"/>
    <n v="1.8839999999999999E-2"/>
    <s v="High"/>
    <n v="6.8"/>
    <n v="3.2839E-2"/>
    <s v="Medium"/>
    <n v="1012972.3523112849"/>
    <s v=""/>
    <s v=""/>
    <s v=""/>
    <s v=""/>
    <s v=""/>
    <n v="0"/>
    <n v="0"/>
    <n v="0"/>
    <x v="1"/>
    <s v="HK"/>
    <x v="5"/>
    <s v="Electric"/>
    <s v="Electric-Generation"/>
    <s v="N"/>
    <s v=" "/>
    <s v="ACTV"/>
    <x v="1"/>
    <s v="Non-Financial"/>
    <s v=""/>
    <x v="1"/>
    <s v="High"/>
    <s v="Medium"/>
    <s v="Utilities"/>
    <s v="Electric-Generation"/>
    <s v="#N/A Field Not Applicable"/>
    <s v=""/>
    <s v=""/>
    <s v=""/>
    <s v=""/>
    <s v=""/>
    <s v=""/>
    <s v=""/>
    <s v=""/>
    <s v=""/>
    <s v="HK0000179108"/>
    <s v="-"/>
    <n v="-6.24"/>
    <n v="1012972.3523112849"/>
    <n v="1.8515548669607168E-3"/>
  </r>
  <r>
    <s v="Investments"/>
    <s v="Investments Long"/>
    <m/>
    <s v="Hong Kong Dollar"/>
    <m/>
    <s v="HKT TRUST AND HKT LTD-SS"/>
    <s v="6823 HK"/>
    <n v="957000"/>
    <n v="10.56"/>
    <n v="9928959.3200000003"/>
    <n v="9928959.3200000003"/>
    <n v="176960.68"/>
    <n v="0"/>
    <n v="10105920"/>
    <n v="2.3E-3"/>
    <m/>
    <s v="Investments"/>
    <s v="BBG00226B1T3"/>
    <s v="EQUI"/>
    <s v="Equity"/>
    <s v="Unit"/>
    <n v="1.2"/>
    <n v="3.78E-2"/>
    <s v="High"/>
    <n v="3"/>
    <n v="6.6059999999999994E-2"/>
    <s v="High"/>
    <n v="1303804.6212795603"/>
    <s v=""/>
    <s v=""/>
    <s v=""/>
    <s v=""/>
    <s v=""/>
    <n v="0"/>
    <n v="0"/>
    <n v="0"/>
    <x v="1"/>
    <s v="HK"/>
    <x v="2"/>
    <s v="Telecommunications"/>
    <s v="Telecom Services"/>
    <s v="N"/>
    <s v=" "/>
    <s v="ACTV"/>
    <x v="1"/>
    <s v="Non-Financial"/>
    <s v=""/>
    <x v="1"/>
    <s v="High"/>
    <s v="High"/>
    <s v="Communication Services"/>
    <s v="Telecom Services"/>
    <s v="#N/A Field Not Applicable"/>
    <s v=""/>
    <s v=""/>
    <s v=""/>
    <s v=""/>
    <s v=""/>
    <s v=""/>
    <s v=""/>
    <s v=""/>
    <s v=""/>
    <s v="HK0000093390"/>
    <s v="-"/>
    <n v="-7.06"/>
    <n v="1303804.6212795603"/>
    <n v="2.3831507213280833E-3"/>
  </r>
  <r>
    <s v="Investments"/>
    <s v="Investments Long"/>
    <m/>
    <s v="Hong Kong Dollar"/>
    <m/>
    <s v="HONG KONG EXCHANGES &amp; CLEAR"/>
    <s v="388 HK"/>
    <n v="40000"/>
    <n v="233.8"/>
    <n v="9792037.1600000001"/>
    <n v="9792037.1600000001"/>
    <n v="-440037.16"/>
    <n v="0"/>
    <n v="9352000"/>
    <n v="2.0999999999999999E-3"/>
    <m/>
    <s v="Investments"/>
    <s v="BBG000BGW354"/>
    <s v="EQUI"/>
    <s v="Equity"/>
    <s v="Common Stock"/>
    <n v="0.2"/>
    <n v="2.7937E-2"/>
    <s v="High"/>
    <n v="0.3"/>
    <n v="4.9939999999999998E-2"/>
    <s v="High"/>
    <n v="1206538.4268039374"/>
    <s v=""/>
    <s v=""/>
    <s v=""/>
    <s v=""/>
    <s v=""/>
    <n v="0"/>
    <n v="0"/>
    <n v="0"/>
    <x v="1"/>
    <s v="HK"/>
    <x v="1"/>
    <s v="Diversified Finan Serv"/>
    <s v="Finance-Other Services"/>
    <s v="N"/>
    <s v=" "/>
    <s v="ACTV"/>
    <x v="1"/>
    <s v="Financial"/>
    <s v=""/>
    <x v="1"/>
    <s v="High"/>
    <s v="High"/>
    <s v="Financials"/>
    <s v="Finance-Other Services"/>
    <s v="#N/A Field Not Applicable"/>
    <s v=""/>
    <s v=""/>
    <s v=""/>
    <s v=""/>
    <s v=""/>
    <s v=""/>
    <s v=""/>
    <s v=""/>
    <s v=""/>
    <s v="HK0388045442"/>
    <s v="-"/>
    <n v="-9.99"/>
    <n v="1206538.4268039374"/>
    <n v="2.2053633460249276E-3"/>
  </r>
  <r>
    <s v="Investments"/>
    <s v="Investments Long"/>
    <m/>
    <s v="Hong Kong Dollar"/>
    <m/>
    <s v="IND &amp; COMM BK OF CHINA-H"/>
    <s v="1398 HK"/>
    <n v="1500000"/>
    <n v="5.31"/>
    <n v="8332270.2599999998"/>
    <n v="8332270.2599999998"/>
    <n v="-367270.26"/>
    <n v="0"/>
    <n v="7965000"/>
    <n v="1.8E-3"/>
    <m/>
    <s v="Investments"/>
    <s v="BBG000Q16VR4"/>
    <s v="EQUI"/>
    <s v="Equity"/>
    <s v="Common Stock"/>
    <n v="0.1"/>
    <n v="2.5859E-2"/>
    <s v="High"/>
    <n v="0.3"/>
    <n v="4.6429999999999999E-2"/>
    <s v="High"/>
    <n v="1027596.0831365871"/>
    <s v=""/>
    <s v=""/>
    <s v=""/>
    <s v=""/>
    <s v=""/>
    <n v="0"/>
    <n v="0"/>
    <n v="0"/>
    <x v="1"/>
    <s v="HK"/>
    <x v="1"/>
    <s v="Banks"/>
    <s v="Commer Banks Non-US"/>
    <s v="N"/>
    <s v=" "/>
    <s v="ACTV"/>
    <x v="1"/>
    <s v="Financial"/>
    <s v=""/>
    <x v="1"/>
    <s v="High"/>
    <s v="High"/>
    <s v="Financials"/>
    <s v="Commer Banks Non-US"/>
    <s v="#N/A Field Not Applicable"/>
    <s v=""/>
    <s v=""/>
    <s v=""/>
    <s v=""/>
    <s v=""/>
    <s v=""/>
    <s v=""/>
    <s v=""/>
    <s v=""/>
    <s v="CNE1000003G1"/>
    <s v="-"/>
    <n v="-8.94"/>
    <n v="1027596.0831365871"/>
    <n v="1.8782847573875694E-3"/>
  </r>
  <r>
    <s v="Investments"/>
    <s v="Investments Long"/>
    <m/>
    <s v="Hong Kong Dollar"/>
    <m/>
    <s v="ISHARES FTSE A50 CHINA INDEX"/>
    <s v="2823 HK"/>
    <n v="530000"/>
    <n v="13.18"/>
    <n v="6837593.1699999999"/>
    <n v="6837593.1699999999"/>
    <n v="147806.82999999999"/>
    <n v="0"/>
    <n v="6985400"/>
    <n v="1.6000000000000001E-3"/>
    <m/>
    <s v="Investments"/>
    <s v="BBG000P9FRH8"/>
    <s v="EQUI"/>
    <s v="Equity"/>
    <s v="Mutual Fund"/>
    <n v="0.4"/>
    <n v="2.8693E-2"/>
    <s v="High"/>
    <n v="0.9"/>
    <n v="5.0656E-2"/>
    <s v="High"/>
    <n v="901214.02123569557"/>
    <s v=""/>
    <s v=""/>
    <s v=""/>
    <s v=""/>
    <s v=""/>
    <n v="0"/>
    <n v="0"/>
    <n v="0"/>
    <x v="1"/>
    <s v="HK"/>
    <x v="6"/>
    <s v="Equity Fund"/>
    <s v="Country Fund-China"/>
    <s v="N"/>
    <s v=" "/>
    <s v="ACTV"/>
    <x v="1"/>
    <s v="Non-Financial"/>
    <s v=""/>
    <x v="1"/>
    <s v="High"/>
    <s v="High"/>
    <s v="#N/A N/A"/>
    <s v="Country Fund-China"/>
    <s v="#N/A Field Not Applicable"/>
    <s v=""/>
    <s v=""/>
    <s v=""/>
    <s v=""/>
    <s v=""/>
    <s v=""/>
    <s v=""/>
    <s v=""/>
    <s v=""/>
    <s v="HK2823028546"/>
    <s v="-"/>
    <n v="-8.6999999999999993"/>
    <n v="901214.02123569557"/>
    <n v="1.6472781348719557E-3"/>
  </r>
  <r>
    <s v="Investments"/>
    <s v="Investments Long"/>
    <m/>
    <s v="Hong Kong Dollar"/>
    <m/>
    <s v="LINK REIT"/>
    <s v="823 HK"/>
    <n v="92000"/>
    <n v="65.7"/>
    <n v="6817556.8899999997"/>
    <n v="6817556.8899999997"/>
    <n v="-773156.89"/>
    <n v="0"/>
    <n v="6044400"/>
    <n v="1.2999999999999999E-3"/>
    <m/>
    <s v="Investments"/>
    <s v="BBG000P9D267"/>
    <s v="EQUI"/>
    <s v="Equity"/>
    <s v="REIT"/>
    <n v="0.2"/>
    <n v="2.6949000000000001E-2"/>
    <s v="High"/>
    <n v="0.5"/>
    <n v="4.8038999999999998E-2"/>
    <s v="High"/>
    <n v="779811.89766613767"/>
    <s v=""/>
    <s v=""/>
    <s v=""/>
    <s v=""/>
    <s v=""/>
    <n v="0"/>
    <n v="0"/>
    <n v="0"/>
    <x v="1"/>
    <s v="HK"/>
    <x v="1"/>
    <s v="REITS"/>
    <s v="REITS-Shopping Centers"/>
    <s v="N"/>
    <s v=" "/>
    <s v="ACTV"/>
    <x v="1"/>
    <s v="Financial"/>
    <s v=""/>
    <x v="1"/>
    <s v="High"/>
    <s v="High"/>
    <s v="Real Estate"/>
    <s v="REITS-Shopping Centers"/>
    <s v="#N/A Field Not Applicable"/>
    <s v=""/>
    <s v=""/>
    <s v=""/>
    <s v=""/>
    <s v=""/>
    <s v=""/>
    <s v=""/>
    <s v=""/>
    <s v=""/>
    <s v="HK0823032773"/>
    <s v="-"/>
    <n v="-12.16"/>
    <n v="779811.89766613767"/>
    <n v="1.4253740599564876E-3"/>
  </r>
  <r>
    <s v="Investments"/>
    <s v="Investments Long"/>
    <m/>
    <s v="Hong Kong Dollar"/>
    <m/>
    <s v="MEITUAN DIANPING-CLASS B"/>
    <s v="3690 HK"/>
    <n v="70000"/>
    <n v="93.65"/>
    <n v="6445939.8899999997"/>
    <n v="6445939.8899999997"/>
    <n v="109560.11"/>
    <n v="0"/>
    <n v="6555500"/>
    <n v="1.5E-3"/>
    <m/>
    <s v="Investments"/>
    <s v="BBG00LLV9WW6"/>
    <s v="EQUI"/>
    <s v="Equity"/>
    <s v="Common Stock"/>
    <n v="0.1"/>
    <n v="5.6117E-2"/>
    <s v="High"/>
    <n v="0.2"/>
    <n v="9.9551000000000001E-2"/>
    <s v="High"/>
    <n v="845750.92567506549"/>
    <s v=""/>
    <s v=""/>
    <s v=""/>
    <s v=""/>
    <s v=""/>
    <n v="0"/>
    <n v="0"/>
    <n v="0"/>
    <x v="1"/>
    <s v="HK"/>
    <x v="2"/>
    <s v="Internet"/>
    <s v="E-Commerce/Products"/>
    <s v="N"/>
    <s v=" "/>
    <s v="ACTV"/>
    <x v="1"/>
    <s v="Non-Financial"/>
    <s v=""/>
    <x v="1"/>
    <s v="High"/>
    <s v="High"/>
    <s v="Consumer Discretionary"/>
    <s v="E-Commerce/Products"/>
    <s v="#N/A Field Not Applicable"/>
    <s v=""/>
    <s v=""/>
    <s v=""/>
    <s v=""/>
    <s v=""/>
    <s v=""/>
    <s v=""/>
    <s v=""/>
    <s v=""/>
    <s v="KYG596691041"/>
    <s v="-"/>
    <n v="-10.74"/>
    <n v="845750.92567506549"/>
    <n v="1.5459002796050485E-3"/>
  </r>
  <r>
    <s v="Investments"/>
    <s v="Investments Long"/>
    <m/>
    <s v="Hong Kong Dollar"/>
    <m/>
    <s v="MTR CORP"/>
    <s v="66 HK"/>
    <n v="331500"/>
    <n v="40.049999999999997"/>
    <n v="13948001.720000001"/>
    <n v="13948001.720000001"/>
    <n v="-671426.72"/>
    <n v="0"/>
    <n v="13276575"/>
    <n v="3.0000000000000001E-3"/>
    <m/>
    <s v="Investments"/>
    <s v="BBG000MKLJD1"/>
    <s v="EQUI"/>
    <s v="Equity"/>
    <s v="Common Stock"/>
    <n v="1.2"/>
    <n v="2.6891000000000002E-2"/>
    <s v="High"/>
    <n v="3"/>
    <n v="4.7350999999999997E-2"/>
    <s v="High"/>
    <n v="1712863.3355265704"/>
    <s v=""/>
    <s v=""/>
    <s v=""/>
    <s v=""/>
    <s v=""/>
    <n v="0"/>
    <n v="0"/>
    <n v="0"/>
    <x v="1"/>
    <s v="HK"/>
    <x v="4"/>
    <s v="Transportation"/>
    <s v="Transport-Rail"/>
    <s v="N"/>
    <s v=" "/>
    <s v="ACTV"/>
    <x v="1"/>
    <s v="Non-Financial"/>
    <s v=""/>
    <x v="1"/>
    <s v="High"/>
    <s v="High"/>
    <s v="Industrials"/>
    <s v="Transport-Rail"/>
    <s v="#N/A Field Not Applicable"/>
    <s v=""/>
    <s v=""/>
    <s v=""/>
    <s v=""/>
    <s v=""/>
    <s v=""/>
    <s v=""/>
    <s v=""/>
    <s v=""/>
    <s v="HK0066009694"/>
    <s v="-"/>
    <n v="-9.7100000000000009"/>
    <n v="1712863.3355265704"/>
    <n v="3.1308460078861107E-3"/>
  </r>
  <r>
    <s v="Investments"/>
    <s v="Investments Long"/>
    <m/>
    <s v="Hong Kong Dollar"/>
    <m/>
    <s v="PING AN INSURANCE GROUP CO-H"/>
    <s v="2318 HK"/>
    <n v="125000"/>
    <n v="76.150000000000006"/>
    <n v="10459443.83"/>
    <n v="10459443.83"/>
    <n v="-940693.83"/>
    <n v="0"/>
    <n v="9518750"/>
    <n v="2.0999999999999999E-3"/>
    <m/>
    <s v="Investments"/>
    <s v="BBG000GD4N44"/>
    <s v="EQUI"/>
    <s v="Equity"/>
    <s v="Common Stock"/>
    <n v="0.1"/>
    <n v="2.5069999999999999E-2"/>
    <s v="High"/>
    <n v="0.2"/>
    <n v="4.5090999999999999E-2"/>
    <s v="High"/>
    <n v="1228051.5023674059"/>
    <s v=""/>
    <s v=""/>
    <s v=""/>
    <s v=""/>
    <s v=""/>
    <n v="0"/>
    <n v="0"/>
    <n v="0"/>
    <x v="1"/>
    <s v="HK"/>
    <x v="1"/>
    <s v="Insurance"/>
    <s v="Multi-line Insurance"/>
    <s v="N"/>
    <s v=" "/>
    <s v="ACTV"/>
    <x v="1"/>
    <s v="Financial"/>
    <s v=""/>
    <x v="1"/>
    <s v="High"/>
    <s v="High"/>
    <s v="Financials"/>
    <s v="Multi-line Insurance"/>
    <s v="#N/A Field Not Applicable"/>
    <s v=""/>
    <s v=""/>
    <s v=""/>
    <s v=""/>
    <s v=""/>
    <s v=""/>
    <s v=""/>
    <s v=""/>
    <s v=""/>
    <s v="CNE1000003X6"/>
    <s v="-"/>
    <n v="-10.71"/>
    <n v="1228051.5023674059"/>
    <n v="2.2446858800229661E-3"/>
  </r>
  <r>
    <s v="Investments"/>
    <s v="Investments Long"/>
    <m/>
    <s v="Hong Kong Dollar"/>
    <m/>
    <s v="POWER ASSETS HOLDINGS LTD"/>
    <s v="6 HK"/>
    <n v="100000"/>
    <n v="46.35"/>
    <n v="5320129.91"/>
    <n v="5320129.91"/>
    <n v="-685129.91"/>
    <n v="0"/>
    <n v="4635000"/>
    <n v="1E-3"/>
    <m/>
    <s v="Investments"/>
    <s v="BBG000BDWNL9"/>
    <s v="EQUI"/>
    <s v="Equity"/>
    <s v="Common Stock"/>
    <n v="0.5"/>
    <n v="3.7579000000000001E-2"/>
    <s v="High"/>
    <n v="1"/>
    <n v="6.6302E-2"/>
    <s v="High"/>
    <n v="597979.64159925689"/>
    <s v=""/>
    <s v=""/>
    <s v=""/>
    <s v=""/>
    <s v=""/>
    <n v="0"/>
    <n v="0"/>
    <n v="0"/>
    <x v="1"/>
    <s v="HK"/>
    <x v="5"/>
    <s v="Electric"/>
    <s v="Electric-Integrated"/>
    <s v="N"/>
    <s v=" "/>
    <s v="ACTV"/>
    <x v="1"/>
    <s v="Non-Financial"/>
    <s v=""/>
    <x v="1"/>
    <s v="High"/>
    <s v="High"/>
    <s v="Utilities"/>
    <s v="Electric-Integrated"/>
    <s v="#N/A Field Not Applicable"/>
    <s v=""/>
    <s v=""/>
    <s v=""/>
    <s v=""/>
    <s v=""/>
    <s v=""/>
    <s v=""/>
    <s v=""/>
    <s v=""/>
    <s v="HK0006000050"/>
    <s v="-"/>
    <n v="-7.57"/>
    <n v="597979.64159925689"/>
    <n v="1.0930131639035009E-3"/>
  </r>
  <r>
    <s v="Investments"/>
    <s v="Investments Long"/>
    <m/>
    <s v="Hong Kong Dollar"/>
    <m/>
    <s v="TENCENT HOLDINGS LTD"/>
    <s v="700 HK"/>
    <n v="43000"/>
    <n v="380.2"/>
    <n v="15311258.85"/>
    <n v="15311258.85"/>
    <n v="1037341.15"/>
    <n v="0"/>
    <n v="16348600"/>
    <n v="3.5999999999999999E-3"/>
    <m/>
    <s v="Investments"/>
    <s v="BBG000BJ35N5"/>
    <s v="EQUI"/>
    <s v="Equity"/>
    <s v="Common Stock"/>
    <n v="0.1"/>
    <n v="3.3384999999999998E-2"/>
    <s v="High"/>
    <n v="0.1"/>
    <n v="5.9982000000000001E-2"/>
    <s v="High"/>
    <n v="2109197.4042393984"/>
    <s v=""/>
    <s v=""/>
    <s v=""/>
    <s v=""/>
    <s v=""/>
    <n v="0"/>
    <n v="0"/>
    <n v="0"/>
    <x v="1"/>
    <s v="HK"/>
    <x v="2"/>
    <s v="Internet"/>
    <s v="Internet Content-Info/Ne"/>
    <s v="N"/>
    <s v=" "/>
    <s v="ACTV"/>
    <x v="1"/>
    <s v="Non-Financial"/>
    <s v=""/>
    <x v="1"/>
    <s v="High"/>
    <s v="High"/>
    <s v="Communication Services"/>
    <s v="Internet Content-Info/Ne"/>
    <s v="#N/A Field Not Applicable"/>
    <s v=""/>
    <s v=""/>
    <s v=""/>
    <s v=""/>
    <s v=""/>
    <s v=""/>
    <s v=""/>
    <s v=""/>
    <s v=""/>
    <s v="KYG875721634"/>
    <s v="-"/>
    <n v="-9.52"/>
    <n v="2109197.4042393984"/>
    <n v="3.855282634604698E-3"/>
  </r>
  <r>
    <s v="Investments"/>
    <s v="Investments Long"/>
    <m/>
    <s v="Hong Kong Dollar"/>
    <m/>
    <s v="WUXI BIOLOGICS CAYMAN INC"/>
    <s v="2269 HK"/>
    <n v="25000"/>
    <n v="100.5"/>
    <n v="2397419.67"/>
    <n v="2397419.67"/>
    <n v="115080.33"/>
    <n v="0"/>
    <n v="2512500"/>
    <n v="5.9999999999999995E-4"/>
    <m/>
    <s v="Investments"/>
    <s v="BBG00GTY47H0"/>
    <s v="EQUI"/>
    <s v="Equity"/>
    <s v="Common Stock"/>
    <n v="0.1"/>
    <n v="5.3366999999999998E-2"/>
    <s v="High"/>
    <n v="0.2"/>
    <n v="9.4446000000000002E-2"/>
    <s v="High"/>
    <n v="324147.54034911172"/>
    <s v=""/>
    <s v=""/>
    <s v=""/>
    <s v=""/>
    <s v=""/>
    <n v="0"/>
    <n v="0"/>
    <n v="0"/>
    <x v="1"/>
    <s v="HK"/>
    <x v="3"/>
    <s v="Healthcare-Services"/>
    <s v="Medical Labs&amp;Testing Srv"/>
    <s v="N"/>
    <s v=" "/>
    <s v="ACTV"/>
    <x v="1"/>
    <s v="Non-Financial"/>
    <s v=""/>
    <x v="1"/>
    <s v="High"/>
    <s v="High"/>
    <s v="Health Care"/>
    <s v="Medical Labs&amp;Testing Srv"/>
    <s v="#N/A Field Not Applicable"/>
    <s v=""/>
    <s v=""/>
    <s v=""/>
    <s v=""/>
    <s v=""/>
    <s v=""/>
    <s v=""/>
    <s v=""/>
    <s v=""/>
    <s v="KYG970081090"/>
    <s v="-"/>
    <n v="-9.6300000000000008"/>
    <n v="324147.54034911172"/>
    <n v="5.9249095454315978E-4"/>
  </r>
  <r>
    <s v="Investments"/>
    <s v="Investments Long"/>
    <s v="Avaliable for Trading"/>
    <s v="Euro"/>
    <m/>
    <s v="T V2.875 PERP B"/>
    <s v="XS2114413565"/>
    <n v="10000000"/>
    <n v="90.432000000000002"/>
    <n v="9993000"/>
    <n v="86492412.900000006"/>
    <n v="-9181191.7799999993"/>
    <n v="288765.7"/>
    <n v="77311221.120000005"/>
    <n v="1.72E-2"/>
    <m/>
    <s v="Investments"/>
    <s v="BBG00RPJBQ56"/>
    <s v="EQUI"/>
    <s v="Corp"/>
    <s v="#N/A Field Not Applicable"/>
    <n v="0.5"/>
    <n v="2.5329000000000001E-2"/>
    <s v="High"/>
    <n v="1.8"/>
    <n v="7.0022000000000001E-2"/>
    <s v="High"/>
    <n v="10011480.540826464"/>
    <s v=""/>
    <s v=""/>
    <s v="BB+"/>
    <s v="Ba1"/>
    <s v="BBB"/>
    <n v="11"/>
    <n v="11"/>
    <n v="13"/>
    <x v="2"/>
    <s v="US"/>
    <x v="2"/>
    <s v="Telecommunications"/>
    <s v="Telephone-Integrated"/>
    <s v="N"/>
    <s v=" "/>
    <s v="ACTV"/>
    <x v="2"/>
    <s v="Non-Financial"/>
    <s v="Non-Investment Grade"/>
    <x v="2"/>
    <s v="High"/>
    <s v="High"/>
    <s v="Communication Services"/>
    <s v="TELEPHONE"/>
    <s v="#N/A Field Not Applicable"/>
    <n v="0.22074334150420777"/>
    <s v="5/1/2168"/>
    <n v="148.18356164383562"/>
    <s v="10 yrs or Above"/>
    <n v="2.9736849593868206"/>
    <s v=""/>
    <s v=""/>
    <s v=""/>
    <s v=""/>
    <s v="XS2114413565"/>
    <s v="-"/>
    <n v="-29.65"/>
    <n v="10011480.540826464"/>
    <n v="1.8299419010355592E-2"/>
  </r>
  <r>
    <s v="Investments"/>
    <s v="Investments Long"/>
    <s v="Avaliable for Trading"/>
    <s v="United States Dollar"/>
    <m/>
    <s v="ADROIJ 4.25 10/31/24 REGS"/>
    <s v="USY70902AB04"/>
    <n v="3000000"/>
    <n v="83.099000000000004"/>
    <n v="2390000"/>
    <n v="18534786.5"/>
    <n v="788473.27"/>
    <n v="414522.36"/>
    <n v="19323259.77"/>
    <n v="4.3E-3"/>
    <m/>
    <s v="Investments"/>
    <s v="BBG00QN3F2R0"/>
    <s v="BOND"/>
    <s v="Corp"/>
    <s v="#N/A Field Not Applicable"/>
    <n v="0.8"/>
    <n v="7.6839000000000005E-2"/>
    <s v="High"/>
    <n v="2"/>
    <n v="0.21113999999999999"/>
    <s v="High"/>
    <n v="2546449.1659248364"/>
    <s v=""/>
    <s v=""/>
    <s v=""/>
    <s v="Ba1"/>
    <s v="BBB-"/>
    <n v="0"/>
    <n v="11"/>
    <n v="12"/>
    <x v="2"/>
    <s v="ID"/>
    <x v="7"/>
    <s v="Coal"/>
    <s v="Coal"/>
    <s v="N"/>
    <s v=" "/>
    <s v="ACTV"/>
    <x v="2"/>
    <s v="Non-Financial"/>
    <s v="Non-Investment Grade"/>
    <x v="3"/>
    <s v="High"/>
    <s v="High"/>
    <s v="#N/A Field Not Applicable"/>
    <s v="INDUSTRIAL"/>
    <s v="#N/A Field Not Applicable"/>
    <n v="5.6146710325668571E-2"/>
    <s v="10/31/2024"/>
    <n v="4.5890410958904111"/>
    <s v="3 - 5 yrs"/>
    <n v="2.3423596462140688E-2"/>
    <n v="3.8790658573610544"/>
    <n v="1.9799707911585664E-2"/>
    <n v="9.2110764751039067"/>
    <n v="4.7015603875930852E-2"/>
    <s v="USY70902AB04"/>
    <s v="-"/>
    <n v="-4.41"/>
    <n v="2546449.1659248364"/>
    <n v="4.6545103979178598E-3"/>
  </r>
  <r>
    <s v="Investments"/>
    <s v="Investments Long"/>
    <s v="Avaliable for Trading"/>
    <s v="United States Dollar"/>
    <m/>
    <s v="AGILE 6.7 03/07/22"/>
    <s v="XS1959497782"/>
    <n v="5000000"/>
    <n v="97.034999999999997"/>
    <n v="5002486.1100000003"/>
    <n v="39268740.189999998"/>
    <n v="-1662340.77"/>
    <n v="173107.9"/>
    <n v="37606399.420000002"/>
    <n v="8.3999999999999995E-3"/>
    <m/>
    <s v="Investments"/>
    <s v="BBG00NGWHP25"/>
    <s v="BOND"/>
    <s v="Corp"/>
    <s v="#N/A Field Not Applicable"/>
    <n v="1.4"/>
    <n v="2.7335000000000002E-2"/>
    <s v="High"/>
    <n v="2"/>
    <n v="7.2412000000000004E-2"/>
    <s v="High"/>
    <n v="4874083.3326882636"/>
    <s v=""/>
    <s v=""/>
    <s v="BB"/>
    <s v="Ba3"/>
    <s v=""/>
    <n v="10"/>
    <n v="9"/>
    <n v="0"/>
    <x v="3"/>
    <s v="CN"/>
    <x v="1"/>
    <s v="Real Estate"/>
    <s v="Real Estate Oper/Develop"/>
    <s v="N"/>
    <s v=" "/>
    <s v="ACTV"/>
    <x v="2"/>
    <s v="Financial"/>
    <s v="Non-Investment Grade"/>
    <x v="4"/>
    <s v="High"/>
    <s v="High"/>
    <s v="Real Estate"/>
    <s v="FINANCIAL"/>
    <s v="#N/A Field Not Applicable"/>
    <n v="8.7928988898477167E-2"/>
    <s v="3/7/2022"/>
    <n v="1.9342465753424658"/>
    <s v="1 - 2 yrs"/>
    <n v="1.8897371738911681E-2"/>
    <n v="1.7342217829048021"/>
    <n v="1.6943151988503734E-2"/>
    <n v="9.7171192942470022"/>
    <n v="9.4935163838780326E-2"/>
    <s v="XS1959497782"/>
    <s v="-"/>
    <n v="-3.28"/>
    <n v="4874083.3326882636"/>
    <n v="8.9090612355013313E-3"/>
  </r>
  <r>
    <s v="Investments"/>
    <s v="Investments Long"/>
    <s v="Avaliable for Trading"/>
    <s v="United States Dollar"/>
    <m/>
    <s v="ANHUII 4.875 10/18/21"/>
    <s v="XS1891659358"/>
    <n v="8000000"/>
    <n v="99.897000000000006"/>
    <n v="7984000"/>
    <n v="62525095.200000003"/>
    <n v="-580164.26"/>
    <n v="1368715.08"/>
    <n v="61944930.939999998"/>
    <n v="1.38E-2"/>
    <m/>
    <s v="Investments"/>
    <s v="BBG00M5BYXF5"/>
    <s v="BOND"/>
    <s v="Corp"/>
    <s v="#N/A Field Not Applicable"/>
    <n v="1.8"/>
    <n v="1.055E-2"/>
    <s v="High"/>
    <n v="2"/>
    <n v="2.6041000000000002E-2"/>
    <s v="High"/>
    <n v="8168343.3344944585"/>
    <s v=""/>
    <s v=""/>
    <s v=""/>
    <s v="A3"/>
    <s v="A-"/>
    <n v="0"/>
    <n v="15"/>
    <n v="15"/>
    <x v="4"/>
    <s v="CN"/>
    <x v="8"/>
    <s v="Distribution/Wholesale"/>
    <s v="Distribution/Wholesale"/>
    <s v="N"/>
    <s v=" "/>
    <s v="ACTV"/>
    <x v="2"/>
    <s v="Non-Financial"/>
    <s v="Investment Grade"/>
    <x v="4"/>
    <s v="High"/>
    <s v="High"/>
    <s v="#N/A Field Not Applicable"/>
    <s v="INDUSTRIAL"/>
    <s v="Chengtou Bond"/>
    <n v="0.2455963242567899"/>
    <s v="10/18/2021"/>
    <n v="1.5506849315068494"/>
    <s v="1 - 2 yrs"/>
    <n v="2.5389501283898282E-2"/>
    <n v="1.4270233301798845"/>
    <n v="2.3364778968057536E-2"/>
    <n v="4.6835490722640714"/>
    <n v="7.6684162441623627E-2"/>
    <s v="XS1891659358"/>
    <s v="-"/>
    <n v="-1.28"/>
    <n v="8168343.3344944585"/>
    <n v="1.4930452762586081E-2"/>
  </r>
  <r>
    <s v="Investments"/>
    <s v="Investments Long"/>
    <s v="Avaliable for Trading"/>
    <s v="United States Dollar"/>
    <m/>
    <s v="BABA 4.4 12/06/57"/>
    <s v="US01609WAW29"/>
    <n v="3200000"/>
    <n v="131.42099999999999"/>
    <n v="4106037.26"/>
    <n v="31998758.969999999"/>
    <n v="598275.05000000005"/>
    <n v="348627.26"/>
    <n v="32597034.02"/>
    <n v="7.3000000000000001E-3"/>
    <m/>
    <s v="Investments"/>
    <s v="BBG00JCQ6Y42"/>
    <s v="BOND"/>
    <s v="Corp"/>
    <s v="#N/A Field Not Applicable"/>
    <n v="0.6"/>
    <n v="6.3877000000000003E-2"/>
    <s v="High"/>
    <n v="2"/>
    <n v="0.175705"/>
    <s v="High"/>
    <n v="4250449.7787410822"/>
    <s v=""/>
    <s v=""/>
    <s v="A+"/>
    <s v="A1"/>
    <s v="A+"/>
    <n v="17"/>
    <n v="17"/>
    <n v="17"/>
    <x v="5"/>
    <s v="CN"/>
    <x v="2"/>
    <s v="Internet"/>
    <s v="E-Commerce/Products"/>
    <s v="N"/>
    <s v=" "/>
    <s v="ACTV"/>
    <x v="2"/>
    <s v="Non-Financial"/>
    <s v="Investment Grade"/>
    <x v="4"/>
    <s v="High"/>
    <s v="High"/>
    <s v="Consumer Discretionary"/>
    <s v="INDUSTRIAL"/>
    <s v="#N/A Field Not Applicable"/>
    <n v="0.14483730330568551"/>
    <s v="12/6/2057"/>
    <n v="37.709589041095889"/>
    <s v="10 yrs or Above"/>
    <n v="0.32127971679282119"/>
    <n v="20.506041931338491"/>
    <n v="0.17470822440049283"/>
    <n v="2.949497076020938"/>
    <n v="2.5129247211698656E-2"/>
    <s v="US01609WAW29"/>
    <s v="-"/>
    <n v="-8.64"/>
    <n v="4250449.7787410822"/>
    <n v="7.7691567362558498E-3"/>
  </r>
  <r>
    <s v="Investments"/>
    <s v="Investments Long"/>
    <s v="Avaliable for Trading"/>
    <s v="United States Dollar"/>
    <m/>
    <s v="BBTNIJ 4.2 01/23/25"/>
    <s v="XS2099372802"/>
    <n v="3800000"/>
    <n v="86.763999999999996"/>
    <n v="3800000"/>
    <n v="29530940"/>
    <n v="-3975315.27"/>
    <n v="233669.82"/>
    <n v="25555624.73"/>
    <n v="5.7000000000000002E-3"/>
    <m/>
    <s v="Investments"/>
    <s v="BBG00RDBJ3B2"/>
    <s v="BOND"/>
    <s v="Corp"/>
    <s v="#N/A Field Not Applicable"/>
    <n v="0.8"/>
    <n v="2.6206E-2"/>
    <s v="High"/>
    <n v="2"/>
    <n v="6.7442000000000002E-2"/>
    <s v="High"/>
    <n v="3327178.6649636826"/>
    <s v=""/>
    <s v=""/>
    <s v=""/>
    <s v="Ba3"/>
    <s v=""/>
    <n v="0"/>
    <n v="9"/>
    <n v="0"/>
    <x v="3"/>
    <s v="ID"/>
    <x v="1"/>
    <s v="Banks"/>
    <s v="Commer Banks Non-US"/>
    <s v="N"/>
    <s v=" "/>
    <s v="ACTV"/>
    <x v="2"/>
    <s v="Financial"/>
    <s v="Non-Investment Grade"/>
    <x v="3"/>
    <s v="High"/>
    <s v="High"/>
    <s v="Financials"/>
    <s v="BANK"/>
    <s v="#N/A Field Not Applicable"/>
    <n v="6.0022661888606846E-2"/>
    <s v="1/23/2025"/>
    <n v="4.8191780821917805"/>
    <s v="3 - 5 yrs"/>
    <n v="3.2139988512042451E-2"/>
    <n v="4.1486566554426316"/>
    <n v="2.7668157302394622E-2"/>
    <n v="7.8304080081018288"/>
    <n v="5.2222436924459499E-2"/>
    <s v="XS2099372802"/>
    <s v="-"/>
    <n v="-6.03"/>
    <n v="3327178.6649636826"/>
    <n v="6.0815616895220741E-3"/>
  </r>
  <r>
    <s v="Investments"/>
    <s v="Investments Long"/>
    <s v="Avaliable for Trading"/>
    <s v="United States Dollar"/>
    <m/>
    <s v="BCHINA V3.6 PERP"/>
    <s v="XS2125922349"/>
    <n v="12600000"/>
    <n v="97.932000000000002"/>
    <n v="12548854.279999999"/>
    <n v="97647748.900000006"/>
    <n v="-2003577.53"/>
    <n v="221836.49"/>
    <n v="95644171.370000005"/>
    <n v="2.1299999999999999E-2"/>
    <m/>
    <s v="Investments"/>
    <s v="BBG00RYF5CJ7"/>
    <s v="BOND"/>
    <s v="Corp"/>
    <s v="#N/A Field Not Applicable"/>
    <n v="0.4"/>
    <n v="2.0327999999999999E-2"/>
    <s v="High"/>
    <n v="1.8"/>
    <n v="5.5971E-2"/>
    <s v="High"/>
    <n v="12368052.00036124"/>
    <s v=""/>
    <s v=""/>
    <s v="BB+"/>
    <s v="Ba1"/>
    <s v="BB+"/>
    <n v="11"/>
    <n v="11"/>
    <n v="11"/>
    <x v="2"/>
    <s v="CN"/>
    <x v="1"/>
    <s v="Banks"/>
    <s v="Commer Banks Non-US"/>
    <s v="Y"/>
    <s v="Common Equity Tier 1 Ratio"/>
    <s v="ACTV"/>
    <x v="2"/>
    <s v="Financial"/>
    <s v="Non-Investment Grade"/>
    <x v="4"/>
    <s v="High"/>
    <s v="High"/>
    <s v="Financials"/>
    <s v="BANK"/>
    <s v="#N/A Field Not Applicable"/>
    <n v="0.27270343435459166"/>
    <s v="3/4/2169"/>
    <n v="149.02465753424659"/>
    <s v="10 yrs or Above"/>
    <n v="3.69450326482781"/>
    <n v="4.3933443744752925"/>
    <n v="0.10891637265653066"/>
    <n v="2.9964154577347255"/>
    <n v="7.4284798734313207E-2"/>
    <s v="XS2125922349"/>
    <s v="-"/>
    <n v="-6.94"/>
    <n v="12368052.00036124"/>
    <n v="2.2606862688642176E-2"/>
  </r>
  <r>
    <s v="Investments"/>
    <s v="Investments Long"/>
    <s v="Avaliable for Trading"/>
    <s v="United States Dollar"/>
    <m/>
    <s v="BEICAP 2.8 03/18/23 EMTN"/>
    <s v="XS2127809528"/>
    <n v="10000000"/>
    <n v="99.337999999999994"/>
    <n v="10000000"/>
    <n v="77692000"/>
    <n v="-694122.82"/>
    <n v="78372.23"/>
    <n v="76997877.180000007"/>
    <n v="1.72E-2"/>
    <m/>
    <s v="Investments"/>
    <s v="BBG00S9HKR72"/>
    <s v="BOND"/>
    <s v="Corp"/>
    <s v="#N/A Field Not Applicable"/>
    <n v="0.6"/>
    <n v="7.0039999999999998E-3"/>
    <s v="High"/>
    <n v="1.9"/>
    <n v="1.7503999999999999E-2"/>
    <s v="High"/>
    <n v="9943911.1106810663"/>
    <s v=""/>
    <s v=""/>
    <s v=""/>
    <s v=""/>
    <s v="BBB"/>
    <n v="0"/>
    <n v="0"/>
    <n v="13"/>
    <x v="6"/>
    <s v="CN"/>
    <x v="1"/>
    <s v="Real Estate"/>
    <s v="Real Estate Oper/Develop"/>
    <s v="N"/>
    <s v=" "/>
    <s v="ACTV"/>
    <x v="2"/>
    <s v="Financial"/>
    <s v="Investment Grade"/>
    <x v="4"/>
    <s v="High"/>
    <s v="High"/>
    <s v="#N/A Field Not Applicable"/>
    <s v="SPECIAL PURPOSE"/>
    <s v="Chengtou Bond"/>
    <n v="0.25911777478534631"/>
    <s v="3/18/2023"/>
    <n v="2.9643835616438357"/>
    <s v="2 - 3 yrs"/>
    <n v="5.9086497854108473E-2"/>
    <n v="2.8032648870938512"/>
    <n v="5.5875058436742599E-2"/>
    <n v="2.9933337491841612"/>
    <n v="5.9663536944498288E-2"/>
    <s v="XS2127809528"/>
    <s v="-"/>
    <n v="-2.02"/>
    <n v="9943911.1106810663"/>
    <n v="1.8175912670860724E-2"/>
  </r>
  <r>
    <s v="Investments"/>
    <s v="Investments Long"/>
    <s v="Avaliable for Trading"/>
    <s v="United States Dollar"/>
    <m/>
    <s v="BHARTI V5.65 PERP REGS"/>
    <s v="USV6703DAA29"/>
    <n v="5375000"/>
    <n v="79.591999999999999"/>
    <n v="4947766.6100000003"/>
    <n v="38435201.670000002"/>
    <n v="-5275453.29"/>
    <n v="1085415.06"/>
    <n v="33159748.379999999"/>
    <n v="7.4000000000000003E-3"/>
    <m/>
    <s v="Investments"/>
    <s v="BBG00QJ3FR72"/>
    <s v="BOND"/>
    <s v="Corp"/>
    <s v="#N/A Field Not Applicable"/>
    <n v="1.5"/>
    <n v="6.5809999999999994E-2"/>
    <s v="High"/>
    <n v="2"/>
    <n v="0.177978"/>
    <s v="High"/>
    <n v="4418103.680767891"/>
    <s v=""/>
    <s v=""/>
    <s v="BB *-"/>
    <s v=""/>
    <s v="BB"/>
    <n v="10"/>
    <n v="0"/>
    <n v="10"/>
    <x v="7"/>
    <s v="IN"/>
    <x v="2"/>
    <s v="Telecommunications"/>
    <s v="Telecom Services"/>
    <s v="N"/>
    <s v=" "/>
    <s v="ACTV"/>
    <x v="2"/>
    <s v="Non-Financial"/>
    <s v="Non-Investment Grade"/>
    <x v="5"/>
    <s v="High"/>
    <s v="High"/>
    <s v="#N/A Field Not Applicable"/>
    <s v="INDUSTRIAL"/>
    <s v="#N/A Field Not Applicable"/>
    <n v="8.8558963121264961E-2"/>
    <s v="4/15/2168"/>
    <n v="148.13972602739727"/>
    <s v="10 yrs or Above"/>
    <n v="1.3119100534054571"/>
    <n v="3.8417510564585942"/>
    <n v="3.4022149012999735E-2"/>
    <n v="6.0237804756642728"/>
    <n v="5.3345975299494829E-2"/>
    <s v="USV6703DAA29"/>
    <s v="-"/>
    <n v="-7.75"/>
    <n v="4418103.680767891"/>
    <n v="8.0756018209162672E-3"/>
  </r>
  <r>
    <s v="Investments"/>
    <s v="Investments Long"/>
    <s v="Avaliable for Trading"/>
    <s v="United States Dollar"/>
    <m/>
    <s v="BYANIJ 6.125 01/24/23 REGS"/>
    <s v="USY711AJAA00"/>
    <n v="3000000"/>
    <n v="65.475999999999999"/>
    <n v="2912533.12"/>
    <n v="22638828.719999999"/>
    <n v="-7413498.0099999998"/>
    <n v="265071.46000000002"/>
    <n v="15225330.710000001"/>
    <n v="3.3999999999999998E-3"/>
    <m/>
    <s v="Investments"/>
    <s v="BBG00RCY5V08"/>
    <s v="BOND"/>
    <s v="Corp"/>
    <s v="#N/A Field Not Applicable"/>
    <n v="0.9"/>
    <n v="8.6268999999999998E-2"/>
    <s v="High"/>
    <n v="2"/>
    <n v="0.22928699999999999"/>
    <s v="High"/>
    <n v="1998477.9153926542"/>
    <s v=""/>
    <s v=""/>
    <s v=""/>
    <s v="Ba3"/>
    <s v="BB-"/>
    <n v="0"/>
    <n v="9"/>
    <n v="9"/>
    <x v="3"/>
    <s v="ID"/>
    <x v="7"/>
    <s v="Coal"/>
    <s v="Coal"/>
    <s v="N"/>
    <s v=" "/>
    <s v="ACTV"/>
    <x v="2"/>
    <s v="Non-Financial"/>
    <s v="Non-Investment Grade"/>
    <x v="3"/>
    <s v="High"/>
    <s v="High"/>
    <s v="Energy"/>
    <s v="INDUSTRIAL"/>
    <s v="#N/A Field Not Applicable"/>
    <n v="3.6052757091350994E-2"/>
    <s v="1/24/2023"/>
    <n v="2.8191780821917809"/>
    <s v="2 - 3 yrs"/>
    <n v="1.1293238066057891E-2"/>
    <n v="2.2497881132485493"/>
    <n v="9.0123404837731992E-3"/>
    <n v="23.739395833600337"/>
    <n v="9.5096741276024757E-2"/>
    <s v="USY711AJAA00"/>
    <s v="-"/>
    <n v="-6.22"/>
    <n v="1998477.9153926542"/>
    <n v="3.6529047434669597E-3"/>
  </r>
  <r>
    <s v="Investments"/>
    <s v="Investments Long"/>
    <s v="Avaliable for Trading"/>
    <s v="United States Dollar"/>
    <m/>
    <s v="CAPG 4.8 02/18/21"/>
    <s v="XS2123967452"/>
    <n v="4200000"/>
    <n v="96.600999999999999"/>
    <n v="4200000"/>
    <n v="32625180"/>
    <n v="-1177091.53"/>
    <n v="173624.64"/>
    <n v="31448088.469999999"/>
    <n v="7.0000000000000001E-3"/>
    <m/>
    <s v="Investments"/>
    <s v="BBG00RRMFK74"/>
    <s v="BOND"/>
    <s v="Corp"/>
    <s v="#N/A Field Not Applicable"/>
    <n v="1.9"/>
    <n v="1.3263E-2"/>
    <s v="High"/>
    <n v="2"/>
    <n v="3.3736000000000002E-2"/>
    <s v="High"/>
    <n v="4079642.0004902529"/>
    <s v=""/>
    <s v=""/>
    <s v=""/>
    <s v=""/>
    <s v=""/>
    <n v="0"/>
    <n v="0"/>
    <n v="0"/>
    <x v="1"/>
    <s v="CN"/>
    <x v="1"/>
    <s v="Real Estate"/>
    <s v="Real Estate Oper/Develop"/>
    <s v="N"/>
    <s v=" "/>
    <s v="ACTV"/>
    <x v="2"/>
    <s v="Financial"/>
    <s v="Non-Investment Grade"/>
    <x v="4"/>
    <s v="High"/>
    <s v="High"/>
    <s v="Real Estate"/>
    <s v="FINANCIAL"/>
    <s v="#N/A Field Not Applicable"/>
    <n v="0"/>
    <s v="2/18/2021"/>
    <n v="0.88767123287671235"/>
    <s v="0 - 1 yr"/>
    <n v="7.2589001030435914E-3"/>
    <n v="0.81457016505692337"/>
    <n v="6.6611187070981384E-3"/>
    <n v="9.2190703571316437"/>
    <n v="7.5388621695532052E-2"/>
    <s v="XS2123967452"/>
    <s v="-"/>
    <n v="-1.64"/>
    <n v="4079642.0004902529"/>
    <n v="7.4569468596353636E-3"/>
  </r>
  <r>
    <s v="Investments"/>
    <s v="Investments Long"/>
    <s v="Avaliable for Trading"/>
    <s v="United States Dollar"/>
    <m/>
    <s v="CAPG 7.95 09/07/21"/>
    <s v="XS1876052025"/>
    <n v="10000000"/>
    <n v="99.003"/>
    <n v="9797196.1799999997"/>
    <n v="76504402.870000005"/>
    <n v="233812.46"/>
    <n v="410808.29"/>
    <n v="76738215.329999998"/>
    <n v="1.7100000000000001E-2"/>
    <m/>
    <s v="Investments"/>
    <s v="BBG00LVCWLT9"/>
    <s v="BOND"/>
    <s v="Corp"/>
    <s v="#N/A Field Not Applicable"/>
    <n v="1.7"/>
    <n v="2.7938000000000001E-2"/>
    <s v="High"/>
    <n v="2"/>
    <n v="7.1641999999999997E-2"/>
    <s v="High"/>
    <n v="9953299.9987098612"/>
    <s v=""/>
    <s v=""/>
    <s v="B"/>
    <s v="B2"/>
    <s v="BB-"/>
    <n v="7"/>
    <n v="7"/>
    <n v="9"/>
    <x v="8"/>
    <s v="CN"/>
    <x v="1"/>
    <s v="Real Estate"/>
    <s v="Real Estate Oper/Develop"/>
    <s v="N"/>
    <s v=" "/>
    <s v="ACTV"/>
    <x v="2"/>
    <s v="Financial"/>
    <s v="Non-Investment Grade"/>
    <x v="4"/>
    <s v="High"/>
    <s v="High"/>
    <s v="Real Estate"/>
    <s v="FINANCIAL"/>
    <s v="#N/A Field Not Applicable"/>
    <n v="0.13965669297222155"/>
    <s v="9/7/2021"/>
    <n v="1.4383561643835616"/>
    <s v="1 - 2 yrs"/>
    <n v="2.8696580747716752E-2"/>
    <n v="0.38741284020675565"/>
    <n v="7.7292565826073143E-3"/>
    <n v="11.056298723013983"/>
    <n v="0.22058373088130412"/>
    <s v="XS1876052025"/>
    <s v="-"/>
    <n v="-0.37"/>
    <n v="9953299.9987098612"/>
    <n v="1.8193074088233469E-2"/>
  </r>
  <r>
    <s v="Investments"/>
    <s v="Investments Long"/>
    <s v="Avaliable for Trading"/>
    <s v="United States Dollar"/>
    <m/>
    <s v="CAPG 8.5 01/23/22"/>
    <s v="XS1937690128"/>
    <n v="6000000"/>
    <n v="96.552000000000007"/>
    <n v="6152708.3300000001"/>
    <n v="48237073.630000003"/>
    <n v="-3334021.2"/>
    <n v="746689.31"/>
    <n v="44903052.43"/>
    <n v="0.01"/>
    <m/>
    <s v="Investments"/>
    <s v="BBG00N2K8LG0"/>
    <s v="BOND"/>
    <s v="Corp"/>
    <s v="#N/A Field Not Applicable"/>
    <n v="2"/>
    <n v="3.9245000000000002E-2"/>
    <s v="High"/>
    <n v="2.7"/>
    <n v="0.102077"/>
    <s v="High"/>
    <n v="5889453.3343654452"/>
    <s v=""/>
    <s v=""/>
    <s v=""/>
    <s v="B2"/>
    <s v="BB-"/>
    <n v="0"/>
    <n v="7"/>
    <n v="9"/>
    <x v="8"/>
    <s v="CN"/>
    <x v="1"/>
    <s v="Real Estate"/>
    <s v="Real Estate Oper/Develop"/>
    <s v="N"/>
    <s v=" "/>
    <s v="ACTV"/>
    <x v="2"/>
    <s v="Financial"/>
    <s v="Non-Investment Grade"/>
    <x v="4"/>
    <s v="High"/>
    <s v="High"/>
    <s v="Real Estate"/>
    <s v="FINANCIAL"/>
    <s v="#N/A Field Not Applicable"/>
    <n v="8.2636068057660619E-2"/>
    <s v="1/23/2022"/>
    <n v="1.8164383561643835"/>
    <s v="1 - 2 yrs"/>
    <n v="2.1443331946077882E-2"/>
    <n v="1.5588029372513605"/>
    <n v="1.8401906515883526E-2"/>
    <n v="14.084512111289275"/>
    <n v="0.16626981448392084"/>
    <s v="XS1937690128"/>
    <s v="-"/>
    <n v="-3.7"/>
    <n v="5889453.3343654452"/>
    <n v="1.0764998630121921E-2"/>
  </r>
  <r>
    <s v="Investments"/>
    <s v="Investments Long"/>
    <s v="Avaliable for Trading"/>
    <s v="United States Dollar"/>
    <m/>
    <s v="CCAMCL V4.45 PERP"/>
    <s v="XS1496760239"/>
    <n v="2200000"/>
    <n v="98.656000000000006"/>
    <n v="2188999.9900000002"/>
    <n v="17047713.109999999"/>
    <n v="-224477.63"/>
    <n v="381524.21"/>
    <n v="16823235.48"/>
    <n v="3.8E-3"/>
    <m/>
    <s v="Investments"/>
    <s v="BBG00DVX5HS1"/>
    <s v="BOND"/>
    <s v="Corp"/>
    <s v="#N/A Field Not Applicable"/>
    <n v="0.6"/>
    <n v="1.9057000000000001E-2"/>
    <s v="High"/>
    <n v="1.8"/>
    <n v="5.0858E-2"/>
    <s v="High"/>
    <n v="2219653.9446014115"/>
    <s v=""/>
    <s v=""/>
    <s v=""/>
    <s v="B1"/>
    <s v=""/>
    <n v="0"/>
    <n v="8"/>
    <n v="0"/>
    <x v="9"/>
    <s v="CN"/>
    <x v="1"/>
    <s v="Diversified Finan Serv"/>
    <s v="Invest Mgmnt/Advis Serv"/>
    <s v="N"/>
    <s v=" "/>
    <s v="ACTV"/>
    <x v="2"/>
    <s v="Financial"/>
    <s v="Non-Investment Grade"/>
    <x v="4"/>
    <s v="High"/>
    <s v="High"/>
    <s v="Financials"/>
    <s v="FINANCIAL"/>
    <s v="#N/A Field Not Applicable"/>
    <n v="3.5593596895899318E-2"/>
    <s v="9/30/2168"/>
    <n v="148.6"/>
    <s v="10 yrs or Above"/>
    <n v="0.66115106234132981"/>
    <n v="1.3639875239837491"/>
    <n v="6.0686527624641716E-3"/>
    <n v="3.7712375200439698"/>
    <n v="1.6778988510892011E-2"/>
    <s v="XS1496760239"/>
    <s v="-"/>
    <n v="-5.22"/>
    <n v="2219653.9446014115"/>
    <n v="4.0571798970801109E-3"/>
  </r>
  <r>
    <s v="Investments"/>
    <s v="Investments Long"/>
    <s v="Avaliable for Trading"/>
    <s v="United States Dollar"/>
    <m/>
    <s v="CERCG 5.55 04/14/21"/>
    <s v="XS1376566714"/>
    <n v="5000000"/>
    <n v="22.832999999999998"/>
    <n v="4224220"/>
    <n v="32809956.59"/>
    <n v="-23960913.280000001"/>
    <n v="997792.65"/>
    <n v="8849043.3100000005"/>
    <n v="2E-3"/>
    <m/>
    <s v="Investments"/>
    <s v="BBG00CNK44T9"/>
    <s v="BOND"/>
    <s v="Corp"/>
    <s v="#N/A Field Not Applicable"/>
    <n v="49"/>
    <n v="0.37662400000000001"/>
    <s v="Illiquid"/>
    <n v="82.3"/>
    <n v="1.6989000000000001"/>
    <s v="Illiquid"/>
    <n v="1270379.1668279341"/>
    <s v=""/>
    <s v=""/>
    <s v=""/>
    <s v=""/>
    <s v=""/>
    <n v="0"/>
    <n v="0"/>
    <n v="0"/>
    <x v="1"/>
    <s v="CN"/>
    <x v="7"/>
    <s v="Energy-Alternate Sources"/>
    <s v="Energy-Alternate Sources"/>
    <s v="N"/>
    <s v=" "/>
    <s v="ACTV"/>
    <x v="2"/>
    <s v="Non-Financial"/>
    <s v="Non-Investment Grade"/>
    <x v="4"/>
    <s v="Illiquid"/>
    <s v="Illiquid"/>
    <s v="#N/A Field Not Applicable"/>
    <s v="SPECIAL PURPOSE"/>
    <s v="#N/A Field Not Applicable"/>
    <n v="0"/>
    <s v="4/14/2021"/>
    <n v="1.0383561643835617"/>
    <s v="1 - 2 yrs"/>
    <n v="2.6440905759546394E-3"/>
    <n v="0.49583389281335727"/>
    <n v="1.2626011846378516E-3"/>
    <n v="200.8501451376811"/>
    <n v="0.51144876310619369"/>
    <s v="XS1376566714"/>
    <s v="-"/>
    <n v="0"/>
    <n v="1270379.1668279341"/>
    <n v="2.3220542237493776E-3"/>
  </r>
  <r>
    <s v="Investments"/>
    <s v="Investments Long"/>
    <s v="Avaliable for Trading"/>
    <s v="United States Dollar"/>
    <m/>
    <s v="CHALUM V5 PERP"/>
    <s v="XS2079799024"/>
    <n v="11000000"/>
    <n v="99.855999999999995"/>
    <n v="10850000"/>
    <n v="84863794.989999995"/>
    <n v="275527.67"/>
    <n v="1539454.59"/>
    <n v="85139322.659999996"/>
    <n v="1.9E-2"/>
    <m/>
    <s v="Investments"/>
    <s v="BBG00QT8QWY7"/>
    <s v="BOND"/>
    <s v="Corp"/>
    <s v="#N/A Field Not Applicable"/>
    <n v="4"/>
    <n v="2.1779E-2"/>
    <s v="Medium"/>
    <n v="7.1"/>
    <n v="5.3768000000000003E-2"/>
    <s v="Low"/>
    <n v="11182771.122808376"/>
    <s v=""/>
    <s v=""/>
    <s v="BB"/>
    <s v=""/>
    <s v=""/>
    <n v="10"/>
    <n v="0"/>
    <n v="0"/>
    <x v="7"/>
    <s v="CN"/>
    <x v="4"/>
    <s v="Engineering&amp;Construction"/>
    <s v="Engineering/R&amp;D Services"/>
    <s v="N"/>
    <s v=" "/>
    <s v="ACTV"/>
    <x v="2"/>
    <s v="Non-Financial"/>
    <s v="Non-Investment Grade"/>
    <x v="4"/>
    <s v="Medium"/>
    <s v="Low"/>
    <s v="#N/A Field Not Applicable"/>
    <s v="INDUSTRIAL"/>
    <s v="#N/A Field Not Applicable"/>
    <n v="0.22415377433745695"/>
    <s v="5/21/2168"/>
    <n v="148.23835616438356"/>
    <s v="10 yrs or Above"/>
    <n v="3.3228187035826804"/>
    <n v="2.7857154942550739"/>
    <n v="6.2442864226760923E-2"/>
    <n v="6.5714815370402722"/>
    <n v="0.14730223895164898"/>
    <s v="XS2079799024"/>
    <s v="-"/>
    <n v="-2.44"/>
    <n v="11182771.122808376"/>
    <n v="2.0440354814521961E-2"/>
  </r>
  <r>
    <s v="Investments"/>
    <s v="Investments Long"/>
    <s v="Avaliable for Trading"/>
    <s v="United States Dollar"/>
    <m/>
    <s v="CHCOMU V3.425 PERP"/>
    <s v="XS2102904864"/>
    <n v="3350000"/>
    <n v="95.843999999999994"/>
    <n v="3336747.5"/>
    <n v="25934869.940000001"/>
    <n v="-1047839.58"/>
    <n v="98815.76"/>
    <n v="24887030.359999999"/>
    <n v="5.4999999999999997E-3"/>
    <m/>
    <s v="Investments"/>
    <s v="BBG00RPNYQB5"/>
    <s v="BOND"/>
    <s v="Corp"/>
    <s v="#N/A Field Not Applicable"/>
    <n v="0.6"/>
    <n v="2.4965999999999999E-2"/>
    <s v="High"/>
    <n v="2"/>
    <n v="6.7849000000000007E-2"/>
    <s v="High"/>
    <n v="3223522.6122743869"/>
    <s v=""/>
    <s v=""/>
    <s v=""/>
    <s v="Baa1"/>
    <s v=""/>
    <n v="0"/>
    <n v="14"/>
    <n v="0"/>
    <x v="10"/>
    <s v="CN"/>
    <x v="4"/>
    <s v="Engineering&amp;Construction"/>
    <s v="Building-Heavy Construct"/>
    <s v="N"/>
    <s v=" "/>
    <s v="ACTV"/>
    <x v="2"/>
    <s v="Non-Financial"/>
    <s v="Investment Grade"/>
    <x v="4"/>
    <s v="High"/>
    <s v="High"/>
    <s v="#N/A Field Not Applicable"/>
    <s v="SPECIAL PURPOSE"/>
    <s v="#N/A Field Not Applicable"/>
    <n v="9.0459748587859393E-2"/>
    <s v="8/21/2168"/>
    <n v="148.49041095890411"/>
    <s v="10 yrs or Above"/>
    <n v="0.95945751736074192"/>
    <n v="4.4015729466919904"/>
    <n v="2.844037015349149E-2"/>
    <n v="5.1843498877033625"/>
    <n v="3.3498213388081656E-2"/>
    <s v="XS2102904864"/>
    <s v="-"/>
    <n v="-3.13"/>
    <n v="3223522.6122743869"/>
    <n v="5.8920946538138534E-3"/>
  </r>
  <r>
    <s v="Investments"/>
    <s v="Investments Long"/>
    <s v="Avaliable for Trading"/>
    <s v="United States Dollar"/>
    <m/>
    <s v="CHFOTN 8.05 01/13/25"/>
    <s v="XS2100597330"/>
    <n v="2970000"/>
    <n v="80.179000000000002"/>
    <n v="2925620"/>
    <n v="22739381.460000001"/>
    <n v="-4281560.6900000004"/>
    <n v="401520.55"/>
    <n v="18457820.77"/>
    <n v="4.1000000000000003E-3"/>
    <m/>
    <s v="Investments"/>
    <s v="BBG00RB35JZ6"/>
    <s v="BOND"/>
    <s v="Corp"/>
    <s v="#N/A Field Not Applicable"/>
    <n v="0.7"/>
    <n v="8.3854999999999999E-2"/>
    <s v="High"/>
    <n v="2"/>
    <n v="0.225327"/>
    <s v="High"/>
    <n v="2433118.050341242"/>
    <s v=""/>
    <s v=""/>
    <s v=""/>
    <s v="Ba3"/>
    <s v=""/>
    <n v="0"/>
    <n v="9"/>
    <n v="0"/>
    <x v="3"/>
    <s v="CN"/>
    <x v="1"/>
    <s v="Real Estate"/>
    <s v="Real Estate Oper/Develop"/>
    <s v="N"/>
    <s v=" "/>
    <s v="ACTV"/>
    <x v="2"/>
    <s v="Financial"/>
    <s v="Non-Investment Grade"/>
    <x v="4"/>
    <s v="High"/>
    <s v="High"/>
    <s v="#N/A Field Not Applicable"/>
    <s v="SPECIAL PURPOSE"/>
    <s v="#N/A Field Not Applicable"/>
    <n v="4.3893711993459407E-2"/>
    <s v="1/13/2025"/>
    <n v="4.7917808219178086"/>
    <s v="3 - 5 yrs"/>
    <n v="2.3369894148115834E-2"/>
    <n v="3.5951122267167066"/>
    <n v="1.753364674040752E-2"/>
    <n v="14.437389472233162"/>
    <n v="7.0412290603511715E-2"/>
    <s v="XS2100597330"/>
    <s v="-"/>
    <n v="-10.41"/>
    <n v="2433118.050341242"/>
    <n v="4.4473588619868883E-3"/>
  </r>
  <r>
    <s v="Investments"/>
    <s v="Investments Long"/>
    <s v="Avaliable for Trading"/>
    <s v="United States Dollar"/>
    <m/>
    <s v="CHINSC 7.45 04/17/21"/>
    <s v="XS1795479291"/>
    <n v="4000000"/>
    <n v="97.71"/>
    <n v="4070800"/>
    <n v="31919388.199999999"/>
    <n v="-1624988.96"/>
    <n v="1052254.8799999999"/>
    <n v="30294399.239999998"/>
    <n v="6.7999999999999996E-3"/>
    <m/>
    <s v="Investments"/>
    <s v="BBG00KDP8LC7"/>
    <s v="BOND"/>
    <s v="Corp"/>
    <s v="#N/A Field Not Applicable"/>
    <n v="1.3"/>
    <n v="3.2962999999999999E-2"/>
    <s v="High"/>
    <n v="2"/>
    <n v="8.7554000000000007E-2"/>
    <s v="High"/>
    <n v="4044155.5546954623"/>
    <s v=""/>
    <s v=""/>
    <s v="B"/>
    <s v="B2"/>
    <s v=""/>
    <n v="7"/>
    <n v="7"/>
    <n v="0"/>
    <x v="8"/>
    <s v="CN"/>
    <x v="1"/>
    <s v="Real Estate"/>
    <s v="Real Estate Oper/Develop"/>
    <s v="N"/>
    <s v=" "/>
    <s v="ACTV"/>
    <x v="2"/>
    <s v="Financial"/>
    <s v="Non-Investment Grade"/>
    <x v="4"/>
    <s v="High"/>
    <s v="High"/>
    <s v="Real Estate"/>
    <s v="FINANCIAL"/>
    <s v="#N/A Field Not Applicable"/>
    <n v="5.6744335115712037E-2"/>
    <s v="4/17/2021"/>
    <n v="1.0465753424657533"/>
    <s v="1 - 2 yrs"/>
    <n v="8.4838888509596849E-3"/>
    <n v="0.88187412054820247"/>
    <n v="7.1487658037515762E-3"/>
    <n v="19.865804092551876"/>
    <n v="0.1610388349672639"/>
    <s v="XS1795479291"/>
    <s v="-"/>
    <n v="-2.04"/>
    <n v="4044155.5546954623"/>
    <n v="7.3920831925544566E-3"/>
  </r>
  <r>
    <s v="Investments"/>
    <s v="Investments Long"/>
    <s v="Avaliable for Trading"/>
    <s v="United States Dollar"/>
    <m/>
    <s v="CHINSC 8.75 01/15/21"/>
    <s v="XS1893648904"/>
    <n v="6000000"/>
    <n v="99.013000000000005"/>
    <n v="6011750.0199999996"/>
    <n v="47123886.640000001"/>
    <n v="-1076306.6499999999"/>
    <n v="859080.25"/>
    <n v="46047579.990000002"/>
    <n v="1.03E-2"/>
    <m/>
    <s v="Investments"/>
    <s v="BBG00N0Q0RS1"/>
    <s v="BOND"/>
    <s v="Corp"/>
    <s v="#N/A Field Not Applicable"/>
    <n v="1.3"/>
    <n v="1.8762000000000001E-2"/>
    <s v="High"/>
    <n v="2"/>
    <n v="4.7523999999999997E-2"/>
    <s v="High"/>
    <n v="6051613.3503631745"/>
    <s v=""/>
    <s v=""/>
    <s v="B"/>
    <s v="B2"/>
    <s v=""/>
    <n v="7"/>
    <n v="7"/>
    <n v="0"/>
    <x v="8"/>
    <s v="CN"/>
    <x v="1"/>
    <s v="Real Estate"/>
    <s v="Real Estate Oper/Develop"/>
    <s v="N"/>
    <s v=" "/>
    <s v="ACTV"/>
    <x v="2"/>
    <s v="Financial"/>
    <s v="Non-Investment Grade"/>
    <x v="4"/>
    <s v="High"/>
    <s v="High"/>
    <s v="Real Estate"/>
    <s v="FINANCIAL"/>
    <s v="#N/A Field Not Applicable"/>
    <n v="8.4911366860017712E-2"/>
    <s v="1/15/2021"/>
    <n v="0.79452054794520544"/>
    <s v="0 - 1 yr"/>
    <n v="9.63768938919966E-3"/>
    <n v="0.71853972710287484"/>
    <n v="8.7160271959327452E-3"/>
    <n v="9.0992388554664743"/>
    <n v="0.11037554408620592"/>
    <s v="XS1893648904"/>
    <s v="-"/>
    <n v="-1.59"/>
    <n v="6051613.3503631745"/>
    <n v="1.1061401751255437E-2"/>
  </r>
  <r>
    <s v="Investments"/>
    <s v="Investments Long"/>
    <s v="Avaliable for Trading"/>
    <s v="United States Dollar"/>
    <m/>
    <s v="CHIOLI 3.125 03/02/35 EMTN"/>
    <s v="XS2125715800"/>
    <n v="2500000"/>
    <n v="98.817999999999998"/>
    <n v="2496425"/>
    <n v="19454889.670000002"/>
    <n v="-306184.68"/>
    <n v="48780.79"/>
    <n v="19148704.989999998"/>
    <n v="4.3E-3"/>
    <m/>
    <s v="Investments"/>
    <s v="BBG00RYGHZS1"/>
    <s v="BOND"/>
    <s v="Corp"/>
    <s v="#N/A Field Not Applicable"/>
    <n v="0.4"/>
    <n v="4.5644999999999998E-2"/>
    <s v="High"/>
    <n v="2"/>
    <n v="0.12586800000000001"/>
    <s v="High"/>
    <n v="2476743.4015817107"/>
    <s v=""/>
    <s v=""/>
    <s v=""/>
    <s v="Baa1"/>
    <s v="A-"/>
    <n v="0"/>
    <n v="14"/>
    <n v="15"/>
    <x v="10"/>
    <s v="CN"/>
    <x v="1"/>
    <s v="Real Estate"/>
    <s v="Real Estate Oper/Develop"/>
    <s v="N"/>
    <s v=" "/>
    <s v="ACTV"/>
    <x v="2"/>
    <s v="Financial"/>
    <s v="Investment Grade"/>
    <x v="4"/>
    <s v="High"/>
    <s v="High"/>
    <s v="#N/A Field Not Applicable"/>
    <s v="SPECIAL PURPOSE"/>
    <s v="#N/A Field Not Applicable"/>
    <n v="6.9503339163997271E-2"/>
    <s v="3/2/2035"/>
    <n v="14.92876712328767"/>
    <s v="10 yrs or Above"/>
    <n v="7.4114226047871073E-2"/>
    <n v="11.796993079591937"/>
    <n v="5.8566457937586226E-2"/>
    <n v="3.1609460917613141"/>
    <n v="1.5692593449628447E-2"/>
    <s v="XS2125715800"/>
    <s v="-"/>
    <n v="-8.16"/>
    <n v="2476743.4015817107"/>
    <n v="4.5270991739784824E-3"/>
  </r>
  <r>
    <s v="Investments"/>
    <s v="Investments Long"/>
    <s v="Avaliable for Trading"/>
    <s v="United States Dollar"/>
    <m/>
    <s v="CHOHIN V5.7 PERP EMTN"/>
    <s v="XS2020061326"/>
    <n v="6000000"/>
    <n v="87.113"/>
    <n v="6000000"/>
    <n v="46795800"/>
    <n v="-6282505.54"/>
    <n v="559629.42000000004"/>
    <n v="40513294.460000001"/>
    <n v="8.9999999999999993E-3"/>
    <m/>
    <s v="Investments"/>
    <s v="BBG00PMFP1T5"/>
    <s v="BOND"/>
    <s v="Corp"/>
    <s v="#N/A Field Not Applicable"/>
    <n v="1"/>
    <n v="3.1517000000000003E-2"/>
    <s v="High"/>
    <n v="2"/>
    <n v="7.6596999999999998E-2"/>
    <s v="High"/>
    <n v="5298980.0002580285"/>
    <s v=""/>
    <s v=""/>
    <s v=""/>
    <s v="Ba2"/>
    <s v=""/>
    <n v="0"/>
    <n v="10"/>
    <n v="0"/>
    <x v="7"/>
    <s v="CN"/>
    <x v="1"/>
    <s v="Banks"/>
    <s v="Commer Banks Non-US"/>
    <s v="N"/>
    <s v=" "/>
    <s v="ACTV"/>
    <x v="2"/>
    <s v="Financial"/>
    <s v="Non-Investment Grade"/>
    <x v="4"/>
    <s v="High"/>
    <s v="High"/>
    <s v="Financials"/>
    <s v="BANK"/>
    <s v="#N/A Field Not Applicable"/>
    <n v="0.10621574510936087"/>
    <s v="1/15/2169"/>
    <n v="148.8931506849315"/>
    <s v="10 yrs or Above"/>
    <n v="1.5814796941680345"/>
    <n v="3.6065233168680035"/>
    <n v="3.8306956135541859E-2"/>
    <n v="5.1070495504365807"/>
    <n v="5.4244907331004788E-2"/>
    <s v="XS2020061326"/>
    <s v="-"/>
    <n v="-11.49"/>
    <n v="5298980.0002580285"/>
    <n v="9.6857058211103474E-3"/>
  </r>
  <r>
    <s v="Investments"/>
    <s v="Investments Long"/>
    <s v="Avaliable for Trading"/>
    <s v="United States Dollar"/>
    <m/>
    <s v="CHPWCN V4.3 PERP EMTN"/>
    <s v="XS2008565116"/>
    <n v="4000000"/>
    <n v="98.33"/>
    <n v="4029622.22"/>
    <n v="31532346.120000001"/>
    <n v="-1045719.6"/>
    <n v="374033.64"/>
    <n v="30486626.52"/>
    <n v="6.7999999999999996E-3"/>
    <m/>
    <s v="Investments"/>
    <s v="BBG00PDL9DV1"/>
    <s v="BOND"/>
    <s v="Corp"/>
    <s v="#N/A Field Not Applicable"/>
    <n v="0.9"/>
    <n v="3.7289999999999997E-2"/>
    <s v="High"/>
    <n v="2"/>
    <n v="9.8780999999999994E-2"/>
    <s v="High"/>
    <n v="3981455.5559856021"/>
    <s v=""/>
    <s v=""/>
    <s v=""/>
    <s v=""/>
    <s v="BBB"/>
    <n v="0"/>
    <n v="0"/>
    <n v="13"/>
    <x v="6"/>
    <s v="CN"/>
    <x v="4"/>
    <s v="Engineering&amp;Construction"/>
    <s v="Building-Heavy Construct"/>
    <s v="N"/>
    <s v=" "/>
    <s v="ACTV"/>
    <x v="2"/>
    <s v="Non-Financial"/>
    <s v="Investment Grade"/>
    <x v="4"/>
    <s v="High"/>
    <s v="High"/>
    <s v="#N/A Field Not Applicable"/>
    <s v="SPECIAL PURPOSE"/>
    <s v="#N/A Field Not Applicable"/>
    <n v="0.10374850424453194"/>
    <s v="12/20/2168"/>
    <n v="148.82191780821918"/>
    <s v="10 yrs or Above"/>
    <n v="1.1876962593388778"/>
    <n v="3.7391066003836557"/>
    <n v="2.9840516692358546E-2"/>
    <n v="5.6900487483728464"/>
    <n v="4.5410311286319532E-2"/>
    <s v="XS2008565116"/>
    <s v="-"/>
    <n v="-2.94"/>
    <n v="3981455.5559856021"/>
    <n v="7.277477411355409E-3"/>
  </r>
  <r>
    <s v="Investments"/>
    <s v="Investments Long"/>
    <s v="Avaliable for Trading"/>
    <s v="United States Dollar"/>
    <m/>
    <s v="CHSCOI V6 PERP"/>
    <s v="XS1912494538"/>
    <n v="1500000"/>
    <n v="101.14700000000001"/>
    <n v="1491411.43"/>
    <n v="11668623.119999999"/>
    <n v="91384.55"/>
    <n v="228657.45"/>
    <n v="11760007.67"/>
    <n v="2.5999999999999999E-3"/>
    <m/>
    <s v="Investments"/>
    <s v="BBG00MKJ4690"/>
    <s v="BOND"/>
    <s v="Corp"/>
    <s v="#N/A Field Not Applicable"/>
    <n v="0.9"/>
    <n v="1.0732999999999999E-2"/>
    <s v="High"/>
    <n v="2"/>
    <n v="2.6773000000000002E-2"/>
    <s v="High"/>
    <n v="1546704.9992904232"/>
    <s v=""/>
    <s v=""/>
    <s v=""/>
    <s v="Baa2"/>
    <s v=""/>
    <n v="0"/>
    <n v="13"/>
    <n v="0"/>
    <x v="6"/>
    <s v="CN"/>
    <x v="4"/>
    <s v="Engineering&amp;Construction"/>
    <s v="Building&amp;Construct-Misc"/>
    <s v="N"/>
    <s v=" "/>
    <s v="ACTV"/>
    <x v="2"/>
    <s v="Non-Financial"/>
    <s v="Investment Grade"/>
    <x v="4"/>
    <s v="High"/>
    <s v="High"/>
    <s v="#N/A Field Not Applicable"/>
    <s v="SPECIAL PURPOSE"/>
    <s v="#N/A Field Not Applicable"/>
    <n v="4.030393606747109E-2"/>
    <s v="6/3/2168"/>
    <n v="148.27397260273972"/>
    <s v="10 yrs or Above"/>
    <n v="0.45969420863467547"/>
    <n v="1.5295399464563393"/>
    <n v="4.7420369395861119E-3"/>
    <n v="8.2402549979876696"/>
    <n v="2.5547285432196472E-2"/>
    <s v="XS1912494538"/>
    <s v="-"/>
    <n v="-1.43"/>
    <n v="1546704.9992904232"/>
    <n v="2.8271345833421235E-3"/>
  </r>
  <r>
    <s v="Investments"/>
    <s v="Investments Long"/>
    <s v="Avaliable for Trading"/>
    <s v="United States Dollar"/>
    <m/>
    <s v="CHUANT 4.625 09/26/21"/>
    <s v="XS1852561031"/>
    <n v="1500000"/>
    <n v="100.22"/>
    <n v="1489886.64"/>
    <n v="11683525.57"/>
    <n v="-31297.02"/>
    <n v="7468.51"/>
    <n v="11652228.550000001"/>
    <n v="2.5999999999999999E-3"/>
    <m/>
    <s v="Investments"/>
    <s v="BBG00M0MD1Z7"/>
    <s v="BOND"/>
    <s v="Corp"/>
    <s v="#N/A Field Not Applicable"/>
    <n v="2"/>
    <n v="1.5838000000000001E-2"/>
    <s v="High"/>
    <n v="2"/>
    <n v="7.3606000000000005E-2"/>
    <s v="High"/>
    <n v="1504263.5316277691"/>
    <s v=""/>
    <s v=""/>
    <s v=""/>
    <s v="Baa1"/>
    <s v="A-"/>
    <n v="0"/>
    <n v="14"/>
    <n v="15"/>
    <x v="10"/>
    <s v="CN"/>
    <x v="1"/>
    <s v="Diversified Finan Serv"/>
    <s v="Finance-Other Services"/>
    <s v="N"/>
    <s v=" "/>
    <s v="ACTV"/>
    <x v="2"/>
    <s v="Financial"/>
    <s v="Investment Grade"/>
    <x v="4"/>
    <s v="High"/>
    <s v="High"/>
    <s v="#N/A Field Not Applicable"/>
    <s v="FINANCIAL"/>
    <s v="Chengtou Bond"/>
    <n v="4.2213229825902865E-2"/>
    <s v="9/26/2021"/>
    <n v="1.4904109589041097"/>
    <s v="1 - 2 yrs"/>
    <n v="4.4939328816616751E-3"/>
    <n v="1.4025689941704067"/>
    <n v="4.2290690926857707E-3"/>
    <n v="4.7339781676688206"/>
    <n v="1.4274036313043602E-2"/>
    <s v="XS1852561031"/>
    <s v="-"/>
    <n v="-1.51"/>
    <n v="1504263.5316277691"/>
    <n v="2.7495582251794927E-3"/>
  </r>
  <r>
    <s v="Investments"/>
    <s v="Investments Long"/>
    <s v="Avaliable for Trading"/>
    <s v="United States Dollar"/>
    <m/>
    <s v="CIFIHG 6.875 04/23/21"/>
    <s v="XS1801151371"/>
    <n v="3000000"/>
    <n v="98.525999999999996"/>
    <n v="3060000"/>
    <n v="23994072"/>
    <n v="-1083525.6399999999"/>
    <n v="701636.03"/>
    <n v="22910546.359999999"/>
    <n v="5.1000000000000004E-3"/>
    <m/>
    <s v="Investments"/>
    <s v="BBG00KKDSP44"/>
    <s v="BOND"/>
    <s v="Corp"/>
    <s v="#N/A Field Not Applicable"/>
    <n v="1.4"/>
    <n v="2.2765000000000001E-2"/>
    <s v="High"/>
    <n v="2"/>
    <n v="5.8939999999999999E-2"/>
    <s v="High"/>
    <n v="3046300.8334300937"/>
    <s v=""/>
    <s v=""/>
    <s v="BB-"/>
    <s v="B1"/>
    <s v="BB"/>
    <n v="9"/>
    <n v="8"/>
    <n v="10"/>
    <x v="3"/>
    <s v="CN"/>
    <x v="1"/>
    <s v="Real Estate"/>
    <s v="Real Estate Oper/Develop"/>
    <s v="N"/>
    <s v=" "/>
    <s v="ACTV"/>
    <x v="2"/>
    <s v="Financial"/>
    <s v="Non-Investment Grade"/>
    <x v="4"/>
    <s v="High"/>
    <s v="High"/>
    <s v="Real Estate"/>
    <s v="FINANCIAL"/>
    <s v="#N/A Field Not Applicable"/>
    <n v="5.4955595520432207E-2"/>
    <s v="4/23/2021"/>
    <n v="1.0630136986301371"/>
    <s v="1 - 2 yrs"/>
    <n v="6.4909500949551589E-3"/>
    <n v="0.95696744122875543"/>
    <n v="5.8434128473767184E-3"/>
    <n v="7.8989620798329359"/>
    <n v="4.8232462787836758E-2"/>
    <s v="XS1801151371"/>
    <s v="-"/>
    <n v="-1.81"/>
    <n v="3046300.8334300937"/>
    <n v="5.5681609882978263E-3"/>
  </r>
  <r>
    <s v="Investments"/>
    <s v="Investments Long"/>
    <s v="Avaliable for Trading"/>
    <s v="United States Dollar"/>
    <m/>
    <s v="CIFIHG 7.625 03/02/21"/>
    <s v="XS1924328807"/>
    <n v="5000000"/>
    <n v="99.93"/>
    <n v="5106829.16"/>
    <n v="39979138.859999999"/>
    <n v="-1250767.73"/>
    <n v="238050.29"/>
    <n v="38728371.130000003"/>
    <n v="8.6E-3"/>
    <m/>
    <s v="Investments"/>
    <s v="BBG00MTKPX96"/>
    <s v="BOND"/>
    <s v="Corp"/>
    <s v="#N/A Field Not Applicable"/>
    <n v="1.6"/>
    <n v="1.9632E-2"/>
    <s v="High"/>
    <n v="2"/>
    <n v="4.9867000000000002E-2"/>
    <s v="High"/>
    <n v="5027211.8047760967"/>
    <s v=""/>
    <s v=""/>
    <s v=""/>
    <s v=""/>
    <s v="BB"/>
    <n v="0"/>
    <n v="0"/>
    <n v="10"/>
    <x v="7"/>
    <s v="CN"/>
    <x v="1"/>
    <s v="Real Estate"/>
    <s v="Real Estate Oper/Develop"/>
    <s v="N"/>
    <s v=" "/>
    <s v="ACTV"/>
    <x v="2"/>
    <s v="Financial"/>
    <s v="Non-Investment Grade"/>
    <x v="4"/>
    <s v="High"/>
    <s v="High"/>
    <s v="Real Estate"/>
    <s v="FINANCIAL"/>
    <s v="#N/A Field Not Applicable"/>
    <n v="0.10076827005213584"/>
    <s v="3/2/2021"/>
    <n v="0.92054794520547945"/>
    <s v="0 - 1 yr"/>
    <n v="9.2762023938404506E-3"/>
    <n v="0.8497683897822681"/>
    <n v="8.5629690583348232E-3"/>
    <n v="8.1440414606015175"/>
    <n v="8.2066096921768458E-2"/>
    <s v="XS1924328807"/>
    <s v="-"/>
    <n v="-1.51"/>
    <n v="5027211.8047760967"/>
    <n v="9.1889561083649089E-3"/>
  </r>
  <r>
    <s v="Investments"/>
    <s v="Investments Long"/>
    <s v="Avaliable for Trading"/>
    <s v="United States Dollar"/>
    <m/>
    <s v="CINDBK V4.625 02/28/29 EMTN"/>
    <s v="XS1897158892"/>
    <n v="6500000"/>
    <n v="107.36199999999999"/>
    <n v="6472570"/>
    <n v="50801583.549999997"/>
    <n v="3289700.34"/>
    <n v="213599.32"/>
    <n v="54091283.890000001"/>
    <n v="1.21E-2"/>
    <m/>
    <s v="Investments"/>
    <s v="BBG00NDMRLH2"/>
    <s v="BOND"/>
    <s v="Corp"/>
    <s v="#N/A Field Not Applicable"/>
    <n v="1.9"/>
    <n v="1.1554999999999999E-2"/>
    <s v="High"/>
    <n v="2.7"/>
    <n v="2.9839999999999998E-2"/>
    <s v="High"/>
    <n v="7006087.2921262793"/>
    <s v=""/>
    <s v=""/>
    <s v=""/>
    <s v="Baa3"/>
    <s v=""/>
    <n v="0"/>
    <n v="12"/>
    <n v="0"/>
    <x v="11"/>
    <s v="HK"/>
    <x v="1"/>
    <s v="Banks"/>
    <s v="Commer Banks Non-US"/>
    <s v="N"/>
    <s v=" "/>
    <s v="ACTV"/>
    <x v="2"/>
    <s v="Financial"/>
    <s v="Investment Grade"/>
    <x v="1"/>
    <s v="High"/>
    <s v="High"/>
    <s v="#N/A Field Not Applicable"/>
    <s v="BANK"/>
    <s v="#N/A Field Not Applicable"/>
    <n v="0.16852076029685287"/>
    <s v="2/28/2029"/>
    <n v="8.9205479452054792"/>
    <s v="7 - 10 yrs"/>
    <n v="0.125274793499213"/>
    <n v="3.5199329681496305"/>
    <n v="4.9431814998877811E-2"/>
    <n v="3.3460096508027353"/>
    <n v="4.6989340859490351E-2"/>
    <s v="XS1897158892"/>
    <s v="-"/>
    <n v="-1.77"/>
    <n v="7006087.2921262793"/>
    <n v="1.2806030682367251E-2"/>
  </r>
  <r>
    <s v="Investments"/>
    <s v="Investments Long"/>
    <s v="Avaliable for Trading"/>
    <s v="United States Dollar"/>
    <m/>
    <s v="CISIFG 5 08/28/20"/>
    <s v="XS2042630355"/>
    <n v="5000000"/>
    <n v="99.182000000000002"/>
    <n v="4995000"/>
    <n v="39197263.5"/>
    <n v="-758783.49"/>
    <n v="172246.67"/>
    <n v="38438480.009999998"/>
    <n v="8.6E-3"/>
    <m/>
    <s v="Investments"/>
    <s v="BBG00Q3NXL14"/>
    <s v="BOND"/>
    <s v="Corp"/>
    <s v="#N/A Field Not Applicable"/>
    <n v="0.5"/>
    <n v="7.3839999999999999E-3"/>
    <s v="High"/>
    <n v="2"/>
    <n v="1.6951999999999998E-2"/>
    <s v="High"/>
    <n v="4981322.2226522686"/>
    <s v=""/>
    <s v=""/>
    <s v=""/>
    <s v=""/>
    <s v=""/>
    <n v="0"/>
    <n v="0"/>
    <n v="0"/>
    <x v="1"/>
    <s v="CN"/>
    <x v="1"/>
    <s v="Diversified Finan Serv"/>
    <s v="Finance-Invest Bnkr/Brkr"/>
    <s v="N"/>
    <s v=" "/>
    <s v="ACTV"/>
    <x v="2"/>
    <s v="Financial"/>
    <s v="Non-Investment Grade"/>
    <x v="4"/>
    <s v="High"/>
    <s v="High"/>
    <s v="Financials"/>
    <s v="FINANCIAL"/>
    <s v="#N/A Field Not Applicable"/>
    <n v="0"/>
    <s v="8/28/2020"/>
    <n v="0.41095890410958902"/>
    <s v="0 - 1 yr"/>
    <n v="4.1033602756663729E-3"/>
    <n v="0.38104533413694358"/>
    <n v="3.8046779658255148E-3"/>
    <n v="7.1168165153193517"/>
    <n v="7.1060297966875005E-2"/>
    <s v="XS2042630355"/>
    <s v="-"/>
    <n v="-0.46"/>
    <n v="4981322.2226522686"/>
    <n v="9.1050771368112425E-3"/>
  </r>
  <r>
    <s v="Investments"/>
    <s v="Investments Long"/>
    <s v="Avaliable for Trading"/>
    <s v="United States Dollar"/>
    <m/>
    <s v="CMHI 4.375 08/06/23"/>
    <s v="XS1856799421"/>
    <n v="2500000"/>
    <n v="107.748"/>
    <n v="2491500"/>
    <n v="19557527.550000001"/>
    <n v="1321610.52"/>
    <n v="129521.42"/>
    <n v="20879138.07"/>
    <n v="4.7000000000000002E-3"/>
    <m/>
    <s v="Investments"/>
    <s v="BBG00LJTWWM9"/>
    <s v="BOND"/>
    <s v="Corp"/>
    <s v="#N/A Field Not Applicable"/>
    <n v="0.3"/>
    <n v="4.836E-3"/>
    <s v="High"/>
    <n v="2"/>
    <n v="1.3247999999999999E-2"/>
    <s v="High"/>
    <n v="2710410.0695385174"/>
    <s v=""/>
    <s v=""/>
    <s v="BBB"/>
    <s v="Baa1"/>
    <s v=""/>
    <n v="13"/>
    <n v="14"/>
    <n v="0"/>
    <x v="6"/>
    <s v="CN"/>
    <x v="3"/>
    <s v="Commercial Services"/>
    <s v="Whsing&amp;Harbor Trans Serv"/>
    <s v="N"/>
    <s v=" "/>
    <s v="ACTV"/>
    <x v="2"/>
    <s v="Non-Financial"/>
    <s v="Investment Grade"/>
    <x v="4"/>
    <s v="High"/>
    <s v="High"/>
    <s v="#N/A Field Not Applicable"/>
    <s v="SPECIAL PURPOSE"/>
    <s v="#N/A Field Not Applicable"/>
    <n v="7.0627685440614749E-2"/>
    <s v="8/6/2023"/>
    <n v="3.3506849315068492"/>
    <s v="3 - 5 yrs"/>
    <n v="1.8203932411774888E-2"/>
    <n v="3.095965476248816"/>
    <n v="1.6820067368577264E-2"/>
    <n v="1.8198069041876914"/>
    <n v="9.8868268916636314E-3"/>
    <s v="XS1856799421"/>
    <s v="-"/>
    <n v="-1.36"/>
    <n v="2710410.0695385174"/>
    <n v="4.9542052596626132E-3"/>
  </r>
  <r>
    <s v="Investments"/>
    <s v="Investments Long"/>
    <s v="Avaliable for Trading"/>
    <s v="United States Dollar"/>
    <m/>
    <s v="CMHI 5 08/06/28"/>
    <s v="XS1856800450"/>
    <n v="10000000"/>
    <n v="116.711"/>
    <n v="10083086.67"/>
    <n v="79149947.319999993"/>
    <n v="11313915.880000001"/>
    <n v="592097.91"/>
    <n v="90463863.200000003"/>
    <n v="2.0199999999999999E-2"/>
    <m/>
    <s v="Investments"/>
    <s v="BBG00LLFHRL5"/>
    <s v="BOND"/>
    <s v="Corp"/>
    <s v="#N/A Field Not Applicable"/>
    <n v="4.2"/>
    <n v="1.7419E-2"/>
    <s v="Medium"/>
    <n v="17"/>
    <n v="4.6475000000000002E-2"/>
    <s v="Illiquid"/>
    <n v="11747488.886738656"/>
    <s v=""/>
    <s v=""/>
    <s v="BBB"/>
    <s v="Baa1"/>
    <s v=""/>
    <n v="13"/>
    <n v="14"/>
    <n v="0"/>
    <x v="6"/>
    <s v="CN"/>
    <x v="3"/>
    <s v="Commercial Services"/>
    <s v="Whsing&amp;Harbor Trans Serv"/>
    <s v="N"/>
    <s v=" "/>
    <s v="ACTV"/>
    <x v="2"/>
    <s v="Non-Financial"/>
    <s v="Investment Grade"/>
    <x v="4"/>
    <s v="Medium"/>
    <s v="Illiquid"/>
    <s v="#N/A Field Not Applicable"/>
    <s v="SPECIAL PURPOSE"/>
    <s v="#N/A Field Not Applicable"/>
    <n v="0.30611528459638665"/>
    <s v="8/6/2028"/>
    <n v="8.3561643835616444"/>
    <s v="7 - 10 yrs"/>
    <n v="0.19676535680062787"/>
    <n v="6.9297713205606044"/>
    <n v="0.16317760922932981"/>
    <n v="2.3572676241564401"/>
    <n v="5.5507357664499754E-2"/>
    <s v="XS1856800450"/>
    <s v="-"/>
    <n v="-3.42"/>
    <n v="11747488.886738656"/>
    <n v="2.1472570473595517E-2"/>
  </r>
  <r>
    <s v="Investments"/>
    <s v="Investments Long"/>
    <s v="Avaliable for Trading"/>
    <s v="United States Dollar"/>
    <m/>
    <s v="CNPFP 6 01/22/49"/>
    <s v="FR0013101599"/>
    <n v="3000000"/>
    <n v="105.25"/>
    <n v="2946990"/>
    <n v="22971787.050000001"/>
    <n v="1502311.2"/>
    <n v="267412.95"/>
    <n v="24474098.25"/>
    <n v="5.4999999999999997E-3"/>
    <m/>
    <s v="Investments"/>
    <s v="BBG00BWQ0R57"/>
    <s v="BOND"/>
    <s v="Corp"/>
    <s v="#N/A Field Not Applicable"/>
    <n v="1.9"/>
    <n v="2.9694000000000002E-2"/>
    <s v="High"/>
    <n v="2.8"/>
    <n v="7.0019999999999999E-2"/>
    <s v="High"/>
    <n v="3192000"/>
    <s v=""/>
    <s v=""/>
    <s v="BBB+"/>
    <s v="A3"/>
    <s v=""/>
    <n v="14"/>
    <n v="15"/>
    <n v="0"/>
    <x v="10"/>
    <s v="FR"/>
    <x v="1"/>
    <s v="Insurance"/>
    <s v="Multi-line Insurance"/>
    <s v="N"/>
    <s v=" "/>
    <s v="ACTV"/>
    <x v="2"/>
    <s v="Financial"/>
    <s v="Investment Grade"/>
    <x v="6"/>
    <s v="High"/>
    <s v="High"/>
    <s v="Financials"/>
    <s v="FINANCIAL"/>
    <s v="#N/A Field Not Applicable"/>
    <n v="8.9575148749683697E-2"/>
    <s v="1/22/2049"/>
    <n v="28.832876712328765"/>
    <s v="10 yrs or Above"/>
    <n v="0.18447923002772429"/>
    <n v="6.7570226015786918"/>
    <n v="4.3232950331527568E-2"/>
    <n v="5.6211552763005512"/>
    <n v="3.5965415715692228E-2"/>
    <s v="FR0013101599"/>
    <s v="-"/>
    <n v="-7.8"/>
    <n v="3192000"/>
    <n v="5.834476253822201E-3"/>
  </r>
  <r>
    <s v="Investments"/>
    <s v="Investments Long"/>
    <s v="Avaliable for Trading"/>
    <s v="United States Dollar"/>
    <m/>
    <s v="COGARD 5.125 01/14/27"/>
    <s v="XS2100725949"/>
    <n v="1300000"/>
    <n v="93.319000000000003"/>
    <n v="1203000"/>
    <n v="9324774.9000000004"/>
    <n v="78448.81"/>
    <n v="25489.82"/>
    <n v="9403223.7100000009"/>
    <n v="2.0999999999999999E-3"/>
    <m/>
    <s v="Investments"/>
    <s v="BBG00R9SN7F2"/>
    <s v="BOND"/>
    <s v="Corp"/>
    <s v="#N/A Field Not Applicable"/>
    <n v="0.6"/>
    <n v="6.7521999999999999E-2"/>
    <s v="High"/>
    <n v="2"/>
    <n v="0.18667700000000001"/>
    <s v="High"/>
    <n v="1216435.542052096"/>
    <s v=""/>
    <s v=""/>
    <s v=""/>
    <s v=""/>
    <s v="BBB-"/>
    <n v="0"/>
    <n v="0"/>
    <n v="12"/>
    <x v="11"/>
    <s v="CN"/>
    <x v="1"/>
    <s v="Real Estate"/>
    <s v="Real Estate Oper/Develop"/>
    <s v="N"/>
    <s v=" "/>
    <s v="ACTV"/>
    <x v="2"/>
    <s v="Financial"/>
    <s v="Investment Grade"/>
    <x v="4"/>
    <s v="High"/>
    <s v="High"/>
    <s v="Real Estate"/>
    <s v="FINANCIAL"/>
    <s v="#N/A Field Not Applicable"/>
    <n v="2.9259504463941627E-2"/>
    <s v="1/14/2027"/>
    <n v="6.7945205479452051"/>
    <s v="5 - 7 yrs"/>
    <n v="1.6567025358578819E-2"/>
    <n v="5.5085259395178729"/>
    <n v="1.3431394943088454E-2"/>
    <n v="6.5110067762193999"/>
    <n v="1.5875735986128809E-2"/>
    <s v="XS2100725949"/>
    <s v="-"/>
    <n v="-7.18"/>
    <n v="1216435.542052096"/>
    <n v="2.2234537231855551E-3"/>
  </r>
  <r>
    <s v="Investments"/>
    <s v="Investments Long"/>
    <s v="Avaliable for Trading"/>
    <s v="United States Dollar"/>
    <m/>
    <s v="COGARD 5.625 01/14/30"/>
    <s v="XS2100726160"/>
    <n v="800000"/>
    <n v="93.872"/>
    <n v="765944.93"/>
    <n v="5950303.9400000004"/>
    <n v="-129413.94"/>
    <n v="74604.36"/>
    <n v="5820890"/>
    <n v="1.2999999999999999E-3"/>
    <m/>
    <s v="Investments"/>
    <s v="BBG00R9SNB81"/>
    <s v="BOND"/>
    <s v="Corp"/>
    <s v="#N/A Field Not Applicable"/>
    <n v="0.5"/>
    <n v="6.4968999999999999E-2"/>
    <s v="High"/>
    <n v="1.9"/>
    <n v="0.180035"/>
    <s v="High"/>
    <n v="760600.9934073874"/>
    <s v=""/>
    <s v=""/>
    <s v=""/>
    <s v=""/>
    <s v="BBB-"/>
    <n v="0"/>
    <n v="0"/>
    <n v="12"/>
    <x v="11"/>
    <s v="CN"/>
    <x v="1"/>
    <s v="Real Estate"/>
    <s v="Real Estate Oper/Develop"/>
    <s v="N"/>
    <s v=" "/>
    <s v="ACTV"/>
    <x v="2"/>
    <s v="Financial"/>
    <s v="Investment Grade"/>
    <x v="4"/>
    <s v="High"/>
    <s v="High"/>
    <s v="Real Estate"/>
    <s v="FINANCIAL"/>
    <s v="#N/A Field Not Applicable"/>
    <n v="1.8295098583142835E-2"/>
    <s v="1/14/2030"/>
    <n v="9.7972602739726025"/>
    <s v="7 - 10 yrs"/>
    <n v="1.4936820213086479E-2"/>
    <n v="7.2161183678589271"/>
    <n v="1.1001633077300569E-2"/>
    <n v="6.6011657682001958"/>
    <n v="1.0064081541074198E-2"/>
    <s v="XS2100726160"/>
    <s v="-"/>
    <n v="-8.7899999999999991"/>
    <n v="760600.9934073874"/>
    <n v="1.3902595346707326E-3"/>
  </r>
  <r>
    <s v="Investments"/>
    <s v="Investments Long"/>
    <s v="Avaliable for Trading"/>
    <s v="United States Dollar"/>
    <m/>
    <s v="COGARD 7.25 04/04/21 REGS"/>
    <s v="USG24524AH67"/>
    <n v="2950000"/>
    <n v="100.598"/>
    <n v="2880125"/>
    <n v="22328745.09"/>
    <n v="673737.07"/>
    <n v="815068.54"/>
    <n v="23002482.16"/>
    <n v="5.1000000000000004E-3"/>
    <m/>
    <s v="Investments"/>
    <s v="BBG005BTJ9P5"/>
    <s v="BOND"/>
    <s v="Corp"/>
    <s v="#N/A Field Not Applicable"/>
    <n v="1"/>
    <n v="1.3039E-2"/>
    <s v="High"/>
    <n v="2"/>
    <n v="3.2820000000000002E-2"/>
    <s v="High"/>
    <n v="3072796.2095702542"/>
    <s v=""/>
    <s v=""/>
    <s v="BB"/>
    <s v="Ba2"/>
    <s v=""/>
    <n v="10"/>
    <n v="10"/>
    <n v="0"/>
    <x v="7"/>
    <s v="CN"/>
    <x v="1"/>
    <s v="Real Estate"/>
    <s v="Real Estate Oper/Develop"/>
    <s v="N"/>
    <s v=" "/>
    <s v="ACTV"/>
    <x v="2"/>
    <s v="Financial"/>
    <s v="Non-Investment Grade"/>
    <x v="4"/>
    <s v="High"/>
    <s v="High"/>
    <s v="Real Estate"/>
    <s v="FINANCIAL"/>
    <s v="#N/A Field Not Applicable"/>
    <n v="6.1592861070023222E-2"/>
    <s v="4/4/2021"/>
    <n v="1.010958904109589"/>
    <s v="1 - 2 yrs"/>
    <n v="6.226785132832484E-3"/>
    <n v="7.5002795614893564E-2"/>
    <n v="4.6196367701714858E-4"/>
    <n v="6.6692629028284731"/>
    <n v="4.107789834133739E-2"/>
    <s v="USG24524AH67"/>
    <s v="-"/>
    <n v="-0.18"/>
    <n v="3072796.2095702542"/>
    <n v="5.6165903877106876E-3"/>
  </r>
  <r>
    <s v="Investments"/>
    <s v="Investments Long"/>
    <s v="Avaliable for Trading"/>
    <s v="United States Dollar"/>
    <m/>
    <s v="COGO 4.875 06/01/21"/>
    <s v="XS1823212904"/>
    <n v="7100000"/>
    <n v="103.413"/>
    <n v="7072830"/>
    <n v="55498498.829999998"/>
    <n v="1412580.97"/>
    <n v="894283.18"/>
    <n v="56911079.799999997"/>
    <n v="1.2699999999999999E-2"/>
    <m/>
    <s v="Investments"/>
    <s v="BBG00L07ZBX8"/>
    <s v="BOND"/>
    <s v="Corp"/>
    <s v="#N/A Field Not Applicable"/>
    <n v="0.4"/>
    <n v="1.5150000000000001E-3"/>
    <s v="High"/>
    <n v="2"/>
    <n v="3.9750000000000002E-3"/>
    <s v="High"/>
    <n v="7457698.0015739696"/>
    <s v=""/>
    <s v=""/>
    <s v="BBB-"/>
    <s v="Baa2"/>
    <s v="BBB"/>
    <n v="12"/>
    <n v="13"/>
    <n v="13"/>
    <x v="6"/>
    <s v="CN"/>
    <x v="1"/>
    <s v="Real Estate"/>
    <s v="Real Estate Oper/Develop"/>
    <s v="N"/>
    <s v=" "/>
    <s v="ACTV"/>
    <x v="2"/>
    <s v="Financial"/>
    <s v="Investment Grade"/>
    <x v="4"/>
    <s v="High"/>
    <s v="High"/>
    <s v="#N/A Field Not Applicable"/>
    <s v="SPECIAL PURPOSE"/>
    <s v="#N/A Field Not Applicable"/>
    <n v="0.19433219883807046"/>
    <s v="6/1/2021"/>
    <n v="1.1698630136986301"/>
    <s v="1 - 2 yrs"/>
    <n v="1.7487850137798962E-2"/>
    <n v="1.1051634414793905"/>
    <n v="1.6520680127549165E-2"/>
    <n v="1.8564492672866142"/>
    <n v="2.7751374472548655E-2"/>
    <s v="XS1823212904"/>
    <s v="-"/>
    <n v="-0.65"/>
    <n v="7457698.0015739696"/>
    <n v="1.3631504354122997E-2"/>
  </r>
  <r>
    <s v="Investments"/>
    <s v="Investments Long"/>
    <s v="Avaliable for Trading"/>
    <s v="United States Dollar"/>
    <m/>
    <s v="DALWAN 6.875 07/23/23"/>
    <s v="XS2100658066"/>
    <n v="5500000"/>
    <n v="79.962000000000003"/>
    <n v="5202160"/>
    <n v="40406200.020000003"/>
    <n v="-6317559.8200000003"/>
    <n v="553611.55000000005"/>
    <n v="34088640.200000003"/>
    <n v="7.6E-3"/>
    <m/>
    <s v="Investments"/>
    <s v="BBG00RH7GJ34"/>
    <s v="BOND"/>
    <s v="Corp"/>
    <s v="#N/A Field Not Applicable"/>
    <n v="0.8"/>
    <n v="5.1964999999999997E-2"/>
    <s v="High"/>
    <n v="1.9"/>
    <n v="0.13653100000000001"/>
    <s v="High"/>
    <n v="4469333.610713318"/>
    <s v=""/>
    <s v=""/>
    <s v=""/>
    <s v="Ba3"/>
    <s v="BB+"/>
    <n v="0"/>
    <n v="9"/>
    <n v="11"/>
    <x v="3"/>
    <s v="CN"/>
    <x v="1"/>
    <s v="Real Estate"/>
    <s v="Real Estate Oper/Develop"/>
    <s v="N"/>
    <s v=" "/>
    <s v="ACTV"/>
    <x v="2"/>
    <s v="Financial"/>
    <s v="Non-Investment Grade"/>
    <x v="4"/>
    <s v="High"/>
    <s v="High"/>
    <s v="#N/A Field Not Applicable"/>
    <s v="SPECIAL PURPOSE"/>
    <s v="#N/A Field Not Applicable"/>
    <n v="8.0627260269523299E-2"/>
    <s v="7/23/2023"/>
    <n v="3.3123287671232875"/>
    <s v="3 - 5 yrs"/>
    <n v="2.9673777067230952E-2"/>
    <n v="2.7189879278202591"/>
    <n v="2.4358283036228431E-2"/>
    <n v="14.511517320062444"/>
    <n v="0.13000265376337444"/>
    <s v="XS2100658066"/>
    <s v="-"/>
    <n v="-8.41"/>
    <n v="4469333.610713318"/>
    <n v="8.1692421121918202E-3"/>
  </r>
  <r>
    <s v="Investments"/>
    <s v="Investments Long"/>
    <s v="Avaliable for Trading"/>
    <s v="United States Dollar"/>
    <m/>
    <s v="DALWAN 6.95 12/05/22"/>
    <s v="XS2078814147"/>
    <n v="3000000"/>
    <n v="84.75"/>
    <n v="2966250"/>
    <n v="23217432"/>
    <n v="-3510260.25"/>
    <n v="520744.74"/>
    <n v="19707171.75"/>
    <n v="4.4000000000000003E-3"/>
    <m/>
    <s v="Investments"/>
    <s v="BBG00QYPDPC6"/>
    <s v="BOND"/>
    <s v="Corp"/>
    <s v="#N/A Field Not Applicable"/>
    <n v="1.6"/>
    <n v="4.5976999999999997E-2"/>
    <s v="High"/>
    <n v="2"/>
    <n v="0.12231599999999999"/>
    <s v="High"/>
    <n v="2609683.3339784029"/>
    <s v=""/>
    <s v=""/>
    <s v=""/>
    <s v="Ba3"/>
    <s v="BB+"/>
    <n v="0"/>
    <n v="9"/>
    <n v="11"/>
    <x v="3"/>
    <s v="CN"/>
    <x v="1"/>
    <s v="Real Estate"/>
    <s v="Real Estate Oper/Develop"/>
    <s v="N"/>
    <s v=" "/>
    <s v="ACTV"/>
    <x v="2"/>
    <s v="Financial"/>
    <s v="Non-Investment Grade"/>
    <x v="4"/>
    <s v="High"/>
    <s v="High"/>
    <s v="#N/A Field Not Applicable"/>
    <s v="SPECIAL PURPOSE"/>
    <s v="#N/A Field Not Applicable"/>
    <n v="4.7078968749466821E-2"/>
    <s v="12/5/2022"/>
    <n v="2.6821917808219178"/>
    <s v="2 - 3 yrs"/>
    <n v="1.4030535892154647E-2"/>
    <n v="2.2297654067597334"/>
    <n v="1.1663895100387074E-2"/>
    <n v="14.447877049510904"/>
    <n v="7.5576794678895859E-2"/>
    <s v="XS2078814147"/>
    <s v="-"/>
    <n v="-7.11"/>
    <n v="2609683.3339784029"/>
    <n v="4.7700925570465366E-3"/>
  </r>
  <r>
    <s v="Investments"/>
    <s v="Investments Long"/>
    <s v="Avaliable for Trading"/>
    <s v="United States Dollar"/>
    <m/>
    <s v="DBSSP V3.3 PERP GMTN"/>
    <s v="XS2122408854"/>
    <n v="7500000"/>
    <n v="90.555000000000007"/>
    <n v="7248992"/>
    <n v="56346568.990000002"/>
    <n v="-3704004.45"/>
    <n v="181181.96"/>
    <n v="52642564.539999999"/>
    <n v="1.17E-2"/>
    <m/>
    <s v="Investments"/>
    <s v="BBG00RTNXBH9"/>
    <s v="BOND"/>
    <s v="Corp"/>
    <s v="#N/A Field Not Applicable"/>
    <n v="0.6"/>
    <n v="2.9413999999999999E-2"/>
    <s v="High"/>
    <n v="2"/>
    <n v="7.9736000000000001E-2"/>
    <s v="High"/>
    <n v="6815000"/>
    <s v=""/>
    <s v=""/>
    <s v=""/>
    <s v="Baa1"/>
    <s v="BBB"/>
    <n v="0"/>
    <n v="14"/>
    <n v="13"/>
    <x v="6"/>
    <s v="SG"/>
    <x v="1"/>
    <s v="Banks"/>
    <s v="Commer Banks Non-US"/>
    <s v="N"/>
    <s v=" "/>
    <s v="ACTV"/>
    <x v="2"/>
    <s v="Financial"/>
    <s v="Investment Grade"/>
    <x v="7"/>
    <s v="High"/>
    <s v="High"/>
    <s v="Financials"/>
    <s v="BANK"/>
    <s v="#N/A Field Not Applicable"/>
    <n v="0.1775848170309306"/>
    <s v="8/27/2168"/>
    <n v="148.50684931506851"/>
    <s v="10 yrs or Above"/>
    <n v="2.028658589496648"/>
    <n v="4.3897018776594043"/>
    <n v="5.9964954212652147E-2"/>
    <n v="2.7090287500758841"/>
    <n v="3.7006336531827423E-2"/>
    <s v="XS2122408854"/>
    <s v="-"/>
    <n v="-6.14"/>
    <n v="6815000"/>
    <n v="1.2456753029385433E-2"/>
  </r>
  <r>
    <s v="Investments"/>
    <s v="Investments Long"/>
    <s v="Avaliable for Trading"/>
    <s v="United States Dollar"/>
    <m/>
    <s v="FTHDGR 11.75 04/17/22"/>
    <s v="XS1982124239"/>
    <n v="500000"/>
    <n v="86.524000000000001"/>
    <n v="510000"/>
    <n v="3980550"/>
    <n v="-627269.12"/>
    <n v="207449.58"/>
    <n v="3353280.88"/>
    <n v="6.9999999999999999E-4"/>
    <m/>
    <s v="Investments"/>
    <s v="BBG00NV886P8"/>
    <s v="BOND"/>
    <s v="Corp"/>
    <s v="#N/A Field Not Applicable"/>
    <n v="1.1000000000000001"/>
    <n v="4.6413999999999997E-2"/>
    <s v="High"/>
    <n v="2"/>
    <n v="0.122974"/>
    <s v="High"/>
    <n v="459383.8887383726"/>
    <s v=""/>
    <s v=""/>
    <s v="B"/>
    <s v="B3"/>
    <s v=""/>
    <n v="7"/>
    <n v="6"/>
    <n v="0"/>
    <x v="12"/>
    <s v="CN"/>
    <x v="1"/>
    <s v="Real Estate"/>
    <s v="Real Estate Oper/Develop"/>
    <s v="N"/>
    <s v=" "/>
    <s v="ACTV"/>
    <x v="2"/>
    <s v="Financial"/>
    <s v="Non-Investment Grade"/>
    <x v="4"/>
    <s v="High"/>
    <s v="High"/>
    <s v="Real Estate"/>
    <s v="FINANCIAL"/>
    <s v="#N/A Field Not Applicable"/>
    <n v="5.5248899257448808E-3"/>
    <s v="4/17/2022"/>
    <n v="2.0465753424657533"/>
    <s v="2 - 3 yrs"/>
    <n v="1.8845172486444863E-3"/>
    <n v="1.6238104445122539"/>
    <n v="1.4952289943675112E-3"/>
    <n v="15.829582631406211"/>
    <n v="1.4576116934833719E-2"/>
    <s v="XS1982124239"/>
    <s v="-"/>
    <n v="-6.68"/>
    <n v="459383.8887383726"/>
    <n v="8.3968182651395201E-4"/>
  </r>
  <r>
    <s v="Investments"/>
    <s v="Investments Long"/>
    <s v="Avaliable for Trading"/>
    <s v="United States Dollar"/>
    <m/>
    <s v="FTHDGR 12.25 10/18/22"/>
    <s v="XS2030329358"/>
    <n v="2000000"/>
    <n v="84.617999999999995"/>
    <n v="2035000"/>
    <n v="15927741.5"/>
    <n v="-2810089.9"/>
    <n v="1334588.7"/>
    <n v="13117651.6"/>
    <n v="2.8999999999999998E-3"/>
    <m/>
    <s v="Investments"/>
    <s v="BBG00PQ3QH67"/>
    <s v="BOND"/>
    <s v="Corp"/>
    <s v="#N/A Field Not Applicable"/>
    <n v="1.4"/>
    <n v="5.1857E-2"/>
    <s v="High"/>
    <n v="2"/>
    <n v="0.13752900000000001"/>
    <s v="High"/>
    <n v="1864540.5555340531"/>
    <s v=""/>
    <s v=""/>
    <s v=""/>
    <s v="B3"/>
    <s v="B+"/>
    <n v="0"/>
    <n v="6"/>
    <n v="8"/>
    <x v="12"/>
    <s v="CN"/>
    <x v="1"/>
    <s v="Real Estate"/>
    <s v="Real Estate Oper/Develop"/>
    <s v="N"/>
    <s v=" "/>
    <s v="ACTV"/>
    <x v="2"/>
    <s v="Financial"/>
    <s v="Non-Investment Grade"/>
    <x v="4"/>
    <s v="High"/>
    <s v="High"/>
    <s v="Real Estate"/>
    <s v="FINANCIAL"/>
    <s v="#N/A Field Not Applicable"/>
    <n v="2.2424341784610724E-2"/>
    <s v="10/18/2022"/>
    <n v="2.5506849315068494"/>
    <s v="2 - 3 yrs"/>
    <n v="9.532905114827666E-3"/>
    <n v="1.9273369926549471"/>
    <n v="7.203210576236384E-3"/>
    <n v="13.81070494725866"/>
    <n v="5.1615994670623735E-2"/>
    <s v="XS2030329358"/>
    <s v="-"/>
    <n v="-7.76"/>
    <n v="1864540.5555340531"/>
    <n v="3.4080882191578595E-3"/>
  </r>
  <r>
    <s v="Investments"/>
    <s v="Investments Long"/>
    <s v="Avaliable for Trading"/>
    <s v="United States Dollar"/>
    <m/>
    <s v="FTHDGR 15 12/18/21"/>
    <s v="XS1924249680"/>
    <n v="1100000"/>
    <n v="93.507000000000005"/>
    <n v="1193500"/>
    <n v="9341405.1500000004"/>
    <n v="-1368801.97"/>
    <n v="365916.51"/>
    <n v="7972603.1799999997"/>
    <n v="1.8E-3"/>
    <m/>
    <s v="Investments"/>
    <s v="BBG00MSJ57C5"/>
    <s v="BOND"/>
    <s v="Corp"/>
    <s v="#N/A Field Not Applicable"/>
    <n v="1"/>
    <n v="3.6399000000000001E-2"/>
    <s v="High"/>
    <n v="2"/>
    <n v="9.2325000000000004E-2"/>
    <s v="High"/>
    <n v="1075785.3324044328"/>
    <s v=""/>
    <s v=""/>
    <s v=""/>
    <s v="B3"/>
    <s v=""/>
    <n v="0"/>
    <n v="6"/>
    <n v="0"/>
    <x v="12"/>
    <s v="CN"/>
    <x v="1"/>
    <s v="Real Estate"/>
    <s v="Real Estate Oper/Develop"/>
    <s v="N"/>
    <s v=" "/>
    <s v="ACTV"/>
    <x v="2"/>
    <s v="Financial"/>
    <s v="Non-Investment Grade"/>
    <x v="4"/>
    <s v="High"/>
    <s v="High"/>
    <s v="Real Estate"/>
    <s v="FINANCIAL"/>
    <s v="#N/A Field Not Applicable"/>
    <n v="1.2938188932982679E-2"/>
    <s v="12/18/2021"/>
    <n v="1.7178082191780821"/>
    <s v="1 - 2 yrs"/>
    <n v="3.704221215059424E-3"/>
    <n v="1.4101068354049682"/>
    <n v="3.0407047753599641E-3"/>
    <n v="12.929343403938821"/>
    <n v="2.7880381289928972E-2"/>
    <s v="XS1924249680"/>
    <s v="-"/>
    <n v="-2.92"/>
    <n v="1075785.3324044328"/>
    <n v="1.9663671604398139E-3"/>
  </r>
  <r>
    <s v="Investments"/>
    <s v="Investments Long"/>
    <s v="Avaliable for Trading"/>
    <s v="United States Dollar"/>
    <m/>
    <s v="FTHDGR 8.375 03/08/21"/>
    <s v="XS1784286327"/>
    <n v="3000000"/>
    <n v="90.652000000000001"/>
    <n v="3007750"/>
    <n v="23498659.75"/>
    <n v="-2419078.2400000002"/>
    <n v="124421.31"/>
    <n v="21079581.510000002"/>
    <n v="4.7000000000000002E-3"/>
    <m/>
    <s v="Investments"/>
    <s v="BBG00K7D75S0"/>
    <s v="BOND"/>
    <s v="Corp"/>
    <s v="#N/A Field Not Applicable"/>
    <n v="1.2"/>
    <n v="3.5542999999999998E-2"/>
    <s v="High"/>
    <n v="2"/>
    <n v="9.1550999999999993E-2"/>
    <s v="High"/>
    <n v="2735612.0834462205"/>
    <s v=""/>
    <s v=""/>
    <s v="B"/>
    <s v="B3"/>
    <s v=""/>
    <n v="7"/>
    <n v="6"/>
    <n v="0"/>
    <x v="12"/>
    <s v="CN"/>
    <x v="1"/>
    <s v="Real Estate"/>
    <s v="Real Estate Oper/Develop"/>
    <s v="N"/>
    <s v=" "/>
    <s v="ACTV"/>
    <x v="2"/>
    <s v="Financial"/>
    <s v="Non-Investment Grade"/>
    <x v="4"/>
    <s v="High"/>
    <s v="High"/>
    <s v="Real Estate"/>
    <s v="FINANCIAL"/>
    <s v="#N/A Field Not Applicable"/>
    <n v="3.2900491312584226E-2"/>
    <s v="3/8/2021"/>
    <n v="0.93698630136986305"/>
    <s v="0 - 1 yr"/>
    <n v="5.1378849447049338E-3"/>
    <n v="0.85623056212857307"/>
    <n v="4.6950676951467039E-3"/>
    <n v="10.035669369342248"/>
    <n v="5.5029742150335376E-2"/>
    <s v="XS1784286327"/>
    <s v="-"/>
    <n v="-3.6"/>
    <n v="2735612.0834462205"/>
    <n v="5.0002705954060311E-3"/>
  </r>
  <r>
    <s v="Investments"/>
    <s v="Investments Long"/>
    <s v="Avaliable for Trading"/>
    <s v="United States Dollar"/>
    <m/>
    <s v="GEMDAL 5.6 06/14/22"/>
    <s v="XS2009869897"/>
    <n v="800000"/>
    <n v="95.067999999999998"/>
    <n v="736000"/>
    <n v="5712096"/>
    <n v="182956.6"/>
    <n v="103210.2"/>
    <n v="5895052.5999999996"/>
    <n v="1.2999999999999999E-3"/>
    <m/>
    <s v="Investments"/>
    <s v="BBG00PCCVDV7"/>
    <s v="BOND"/>
    <s v="Corp"/>
    <s v="#N/A Field Not Applicable"/>
    <n v="1.1000000000000001"/>
    <n v="3.2548000000000001E-2"/>
    <s v="High"/>
    <n v="2"/>
    <n v="8.6221999999999993E-2"/>
    <s v="High"/>
    <n v="773859.5554179406"/>
    <s v=""/>
    <s v=""/>
    <s v=""/>
    <s v="Ba3"/>
    <s v=""/>
    <n v="0"/>
    <n v="9"/>
    <n v="0"/>
    <x v="3"/>
    <s v="CN"/>
    <x v="1"/>
    <s v="Real Estate"/>
    <s v="Real Estate Oper/Develop"/>
    <s v="N"/>
    <s v=" "/>
    <s v="ACTV"/>
    <x v="2"/>
    <s v="Financial"/>
    <s v="Non-Investment Grade"/>
    <x v="4"/>
    <s v="High"/>
    <s v="High"/>
    <s v="#N/A Field Not Applicable"/>
    <s v="SPECIAL PURPOSE"/>
    <s v="#N/A Field Not Applicable"/>
    <n v="1.3960509825710149E-2"/>
    <s v="6/14/2022"/>
    <n v="2.2054794520547945"/>
    <s v="2 - 3 yrs"/>
    <n v="3.4210686178680881E-3"/>
    <n v="1.9699226014529039"/>
    <n v="3.0556804259413068E-3"/>
    <n v="8.0466460993495641"/>
    <n v="1.2481697992664648E-2"/>
    <s v="XS2009869897"/>
    <s v="-"/>
    <n v="-3.56"/>
    <n v="773859.5554179406"/>
    <n v="1.4144941102379009E-3"/>
  </r>
  <r>
    <s v="Investments"/>
    <s v="Investments Long"/>
    <s v="Avaliable for Trading"/>
    <s v="United States Dollar"/>
    <m/>
    <s v="GEMDAL 6 09/06/21"/>
    <s v="XS1820761556"/>
    <n v="2000000"/>
    <n v="97.942999999999998"/>
    <n v="1940000"/>
    <n v="15040238"/>
    <n v="143081.75"/>
    <n v="64592.5"/>
    <n v="15183319.75"/>
    <n v="3.3999999999999998E-3"/>
    <m/>
    <s v="Investments"/>
    <s v="BBG00LVCGFZ3"/>
    <s v="BOND"/>
    <s v="Corp"/>
    <s v="#N/A Field Not Applicable"/>
    <n v="1.4"/>
    <n v="1.4744E-2"/>
    <s v="High"/>
    <n v="2"/>
    <n v="3.6436999999999997E-2"/>
    <s v="High"/>
    <n v="1967193.3338493891"/>
    <s v=""/>
    <s v=""/>
    <s v="BB-"/>
    <s v="Ba3"/>
    <s v=""/>
    <n v="9"/>
    <n v="9"/>
    <n v="0"/>
    <x v="3"/>
    <s v="CN"/>
    <x v="1"/>
    <s v="Real Estate"/>
    <s v="Real Estate Oper/Develop"/>
    <s v="N"/>
    <s v=" "/>
    <s v="ACTV"/>
    <x v="2"/>
    <s v="Financial"/>
    <s v="Non-Investment Grade"/>
    <x v="4"/>
    <s v="High"/>
    <s v="High"/>
    <s v="#N/A Field Not Applicable"/>
    <s v="SPECIAL PURPOSE"/>
    <s v="#N/A Field Not Applicable"/>
    <n v="3.5488379866865975E-2"/>
    <s v="9/6/2021"/>
    <n v="1.4356164383561645"/>
    <s v="1 - 2 yrs"/>
    <n v="5.660855723055639E-3"/>
    <n v="1.3369874989716708"/>
    <n v="5.271946693417527E-3"/>
    <n v="5.0775644283565917"/>
    <n v="2.0021615025778327E-2"/>
    <s v="XS1820761556"/>
    <s v="-"/>
    <n v="-2.27"/>
    <n v="1967193.3338493891"/>
    <n v="3.5957214263852098E-3"/>
  </r>
  <r>
    <s v="Investments"/>
    <s v="Investments Long"/>
    <s v="Avaliable for Trading"/>
    <s v="United States Dollar"/>
    <m/>
    <s v="GRENKO 4.875 08/16/23 REGS"/>
    <s v="USV3854PAA94"/>
    <n v="1000000"/>
    <n v="83.929000000000002"/>
    <n v="800200"/>
    <n v="6203390.46"/>
    <n v="302030.26"/>
    <n v="47233.27"/>
    <n v="6505420.7199999997"/>
    <n v="1.5E-3"/>
    <m/>
    <s v="Investments"/>
    <s v="BBG00DKQ0MQ4"/>
    <s v="BOND"/>
    <s v="Corp"/>
    <s v="#N/A Field Not Applicable"/>
    <n v="1.1000000000000001"/>
    <n v="4.9725999999999999E-2"/>
    <s v="High"/>
    <n v="2"/>
    <n v="0.132101"/>
    <s v="High"/>
    <n v="845383.75069344987"/>
    <s v=""/>
    <s v=""/>
    <s v="B+"/>
    <s v=""/>
    <s v="BB-"/>
    <n v="8"/>
    <n v="0"/>
    <n v="9"/>
    <x v="9"/>
    <s v="IN"/>
    <x v="5"/>
    <s v="Electric"/>
    <s v="Electric-Generation"/>
    <s v="N"/>
    <s v=" "/>
    <s v="ACTV"/>
    <x v="2"/>
    <s v="Non-Financial"/>
    <s v="Non-Investment Grade"/>
    <x v="5"/>
    <s v="High"/>
    <s v="High"/>
    <s v="#N/A Field Not Applicable"/>
    <s v="SPECIAL PURPOSE"/>
    <s v="#N/A Field Not Applicable"/>
    <n v="1.3556279129776456E-2"/>
    <s v="8/16/2023"/>
    <n v="3.3780821917808219"/>
    <s v="3 - 5 yrs"/>
    <n v="5.7242781393884836E-3"/>
    <n v="2.9492333969249569"/>
    <n v="4.9975788934466898E-3"/>
    <n v="9.8533575151931352"/>
    <n v="1.6696858105179839E-2"/>
    <s v="USV3854PAA94"/>
    <s v="-"/>
    <n v="-4.01"/>
    <n v="845383.75069344987"/>
    <n v="1.5452291412243362E-3"/>
  </r>
  <r>
    <s v="Investments"/>
    <s v="Investments Long"/>
    <s v="Avaliable for Trading"/>
    <s v="United States Dollar"/>
    <m/>
    <s v="GRNCH V8.125 PERP"/>
    <s v="XS1940394502"/>
    <n v="8900000"/>
    <n v="96.403000000000006"/>
    <n v="9280169.7400000002"/>
    <n v="72756364.530000001"/>
    <n v="-6252957.5"/>
    <n v="825182.64"/>
    <n v="66503407.030000001"/>
    <n v="1.4800000000000001E-2"/>
    <m/>
    <s v="Investments"/>
    <s v="BBG00N6M20C8"/>
    <s v="BOND"/>
    <s v="Corp"/>
    <s v="#N/A Field Not Applicable"/>
    <n v="4.9000000000000004"/>
    <n v="2.0197E-2"/>
    <s v="Medium"/>
    <n v="9.6999999999999993"/>
    <n v="4.9523999999999999E-2"/>
    <s v="Low"/>
    <n v="8686327.059385119"/>
    <s v=""/>
    <s v=""/>
    <s v=""/>
    <s v="Ba3"/>
    <s v=""/>
    <n v="0"/>
    <n v="9"/>
    <n v="0"/>
    <x v="3"/>
    <s v="CN"/>
    <x v="1"/>
    <s v="Real Estate"/>
    <s v="Real Estate Oper/Develop"/>
    <s v="N"/>
    <s v=" "/>
    <s v="ACTV"/>
    <x v="2"/>
    <s v="Financial"/>
    <s v="Non-Investment Grade"/>
    <x v="4"/>
    <s v="Medium"/>
    <s v="Low"/>
    <s v="#N/A Field Not Applicable"/>
    <s v="SPECIAL PURPOSE"/>
    <s v="#N/A Field Not Applicable"/>
    <n v="0.15670227680575147"/>
    <s v="8/8/2168"/>
    <n v="148.45479452054795"/>
    <s v="10 yrs or Above"/>
    <n v="2.5848004782333178"/>
    <n v="1.6333423219545247"/>
    <n v="2.8438717850385195E-2"/>
    <n v="10.80707846122246"/>
    <n v="0.1881659778324396"/>
    <s v="XS1940394502"/>
    <s v="-"/>
    <n v="-5.47"/>
    <n v="8686327.059385119"/>
    <n v="1.5877245915073841E-2"/>
  </r>
  <r>
    <s v="Investments"/>
    <s v="Investments Long"/>
    <s v="Avaliable for Trading"/>
    <s v="United States Dollar"/>
    <m/>
    <s v="GRNKEN 5.25 07/24/24 REGS"/>
    <s v="USN3700LAB10"/>
    <n v="400000"/>
    <n v="81.543999999999997"/>
    <n v="304000"/>
    <n v="2356699.2000000002"/>
    <n v="171523.59"/>
    <n v="30293.88"/>
    <n v="2528222.79"/>
    <n v="5.9999999999999995E-4"/>
    <m/>
    <s v="Investments"/>
    <s v="BBG00H5KNJZ7"/>
    <s v="BOND"/>
    <s v="Corp"/>
    <s v="#N/A Field Not Applicable"/>
    <n v="0.8"/>
    <n v="5.0354000000000003E-2"/>
    <s v="High"/>
    <n v="2"/>
    <n v="0.13664299999999999"/>
    <s v="High"/>
    <n v="330084.33254634822"/>
    <s v=""/>
    <s v=""/>
    <s v=""/>
    <s v="Ba1"/>
    <s v="BB"/>
    <n v="0"/>
    <n v="11"/>
    <n v="10"/>
    <x v="7"/>
    <s v="IN"/>
    <x v="7"/>
    <s v="Energy-Alternate Sources"/>
    <s v="Energy-Alternate Sources"/>
    <s v="N"/>
    <s v=" "/>
    <s v="ACTV"/>
    <x v="2"/>
    <s v="Non-Financial"/>
    <s v="Non-Investment Grade"/>
    <x v="5"/>
    <s v="High"/>
    <s v="High"/>
    <s v="#N/A Field Not Applicable"/>
    <s v="SPECIAL PURPOSE"/>
    <s v="#N/A Field Not Applicable"/>
    <n v="6.6163966138066592E-3"/>
    <s v="7/24/2024"/>
    <n v="4.3178082191780822"/>
    <s v="3 - 5 yrs"/>
    <n v="2.8568331680436424E-3"/>
    <n v="3.6257444117317297"/>
    <n v="2.3989363048310232E-3"/>
    <n v="4.5"/>
    <n v="2.9773784762129967E-3"/>
    <s v="USN3700LAB10"/>
    <s v="-"/>
    <n v="-4.8600000000000003"/>
    <n v="330084.33254634822"/>
    <n v="6.0334248120313895E-4"/>
  </r>
  <r>
    <s v="Investments"/>
    <s v="Investments Long"/>
    <s v="Avaliable for Trading"/>
    <s v="United States Dollar"/>
    <m/>
    <s v="GRNKEN 5.95 07/29/26 REGS"/>
    <s v="USV3855GAB69"/>
    <n v="300000"/>
    <n v="82.132000000000005"/>
    <n v="210000"/>
    <n v="1627983"/>
    <n v="281857.03999999998"/>
    <n v="23828.17"/>
    <n v="1909840.04"/>
    <n v="4.0000000000000002E-4"/>
    <m/>
    <s v="Investments"/>
    <s v="BBG00PSJPXV8"/>
    <s v="BOND"/>
    <s v="Corp"/>
    <s v="#N/A Field Not Applicable"/>
    <n v="0.7"/>
    <n v="7.2057999999999997E-2"/>
    <s v="High"/>
    <n v="2"/>
    <n v="0.19609099999999999"/>
    <s v="High"/>
    <n v="249470.16681503269"/>
    <s v=""/>
    <s v=""/>
    <s v=""/>
    <s v="Ba1"/>
    <s v="BB-"/>
    <n v="0"/>
    <n v="11"/>
    <n v="9"/>
    <x v="3"/>
    <s v="IN"/>
    <x v="7"/>
    <s v="Energy-Alternate Sources"/>
    <s v="Energy-Alternate Sources"/>
    <s v="N"/>
    <s v=" "/>
    <s v="ACTV"/>
    <x v="2"/>
    <s v="Non-Financial"/>
    <s v="Non-Investment Grade"/>
    <x v="5"/>
    <s v="High"/>
    <s v="High"/>
    <s v="#N/A Field Not Applicable"/>
    <s v="UTILITY - ELEC"/>
    <s v="#N/A Field Not Applicable"/>
    <n v="4.5004687099352084E-3"/>
    <s v="7/29/2026"/>
    <n v="6.3315068493150681"/>
    <s v="5 - 7 yrs"/>
    <n v="3.1660831624536587E-3"/>
    <n v="4.9387211782016012"/>
    <n v="2.4696177921767395E-3"/>
    <n v="6"/>
    <n v="3.0003124732901391E-3"/>
    <s v="USV3855GAB69"/>
    <s v="-"/>
    <n v="-6"/>
    <n v="249470.16681503269"/>
    <n v="4.5599240736822418E-4"/>
  </r>
  <r>
    <s v="Investments"/>
    <s v="Investments Long"/>
    <s v="Avaliable for Trading"/>
    <s v="United States Dollar"/>
    <m/>
    <s v="GRWALL 4.375 05/25/23 EMTN"/>
    <s v="XS1819966687"/>
    <n v="8000000"/>
    <n v="106.64400000000001"/>
    <n v="7964160"/>
    <n v="62517063.170000002"/>
    <n v="3611601.5"/>
    <n v="949509.75"/>
    <n v="66128664.670000002"/>
    <n v="1.47E-2"/>
    <m/>
    <s v="Investments"/>
    <s v="BBG00KVGG4W4"/>
    <s v="BOND"/>
    <s v="Corp"/>
    <s v="#N/A Field Not Applicable"/>
    <n v="5.7"/>
    <n v="9.7590000000000003E-3"/>
    <s v="Medium"/>
    <n v="13.8"/>
    <n v="2.5384E-2"/>
    <s v="Illiquid"/>
    <n v="8654019.9997419715"/>
    <s v=""/>
    <s v=""/>
    <s v="BBB+"/>
    <s v="Baa1"/>
    <s v="A"/>
    <n v="14"/>
    <n v="14"/>
    <n v="16"/>
    <x v="10"/>
    <s v="CN"/>
    <x v="1"/>
    <s v="Diversified Finan Serv"/>
    <s v="Invest Mgmnt/Advis Serv"/>
    <s v="N"/>
    <s v=" "/>
    <s v="ACTV"/>
    <x v="2"/>
    <s v="Financial"/>
    <s v="Investment Grade"/>
    <x v="4"/>
    <s v="Medium"/>
    <s v="Illiquid"/>
    <s v="#N/A Field Not Applicable"/>
    <s v="SPECIAL PURPOSE"/>
    <s v="#N/A Field Not Applicable"/>
    <n v="0.24285248394725087"/>
    <s v="5/25/2023"/>
    <n v="3.1506849315068495"/>
    <s v="3 - 5 yrs"/>
    <n v="5.4653690125115166E-2"/>
    <n v="2.8935604095542522"/>
    <n v="5.019345235083391E-2"/>
    <n v="2.1993083325783807"/>
    <n v="3.8150535109467587E-2"/>
    <s v="XS1819966687"/>
    <s v="-"/>
    <n v="-1.71"/>
    <n v="8654019.9997419715"/>
    <n v="1.5818193668106811E-2"/>
  </r>
  <r>
    <s v="Investments"/>
    <s v="Investments Long"/>
    <s v="Avaliable for Trading"/>
    <s v="United States Dollar"/>
    <m/>
    <s v="HONGQI 7.125 07/22/22"/>
    <s v="XS2024786035"/>
    <n v="7450000"/>
    <n v="78.495999999999995"/>
    <n v="7161337.5"/>
    <n v="56088377.890000001"/>
    <n v="-10760317.119999999"/>
    <n v="788589.66"/>
    <n v="45328060.770000003"/>
    <n v="1.01E-2"/>
    <m/>
    <s v="Investments"/>
    <s v="BBG00PQ3PWZ3"/>
    <s v="BOND"/>
    <s v="Corp"/>
    <s v="#N/A Field Not Applicable"/>
    <n v="4.7"/>
    <n v="5.8004E-2"/>
    <s v="Medium"/>
    <n v="7"/>
    <n v="0.17289199999999999"/>
    <s v="Medium"/>
    <n v="5949691.067074351"/>
    <s v=""/>
    <s v=""/>
    <s v=""/>
    <s v="B2"/>
    <s v="BB-"/>
    <n v="0"/>
    <n v="7"/>
    <n v="9"/>
    <x v="8"/>
    <s v="CN"/>
    <x v="9"/>
    <s v="Mining"/>
    <s v="Diversified Minerals"/>
    <s v="N"/>
    <s v=" "/>
    <s v="ACTV"/>
    <x v="2"/>
    <s v="Non-Financial"/>
    <s v="Non-Investment Grade"/>
    <x v="4"/>
    <s v="Medium"/>
    <s v="Medium"/>
    <s v="Materials"/>
    <s v="INDUSTRIAL"/>
    <s v="#N/A Field Not Applicable"/>
    <n v="8.3481275430427521E-2"/>
    <s v="7/22/2022"/>
    <n v="2.3095890410958906"/>
    <s v="2 - 3 yrs"/>
    <n v="2.7543919838689004E-2"/>
    <n v="1.9150403619457004"/>
    <n v="2.2838573130853516E-2"/>
    <n v="19.124554480033442"/>
    <n v="0.22807745714741262"/>
    <s v="XS2024786035"/>
    <s v="-"/>
    <n v="-5.23"/>
    <n v="5949691.067074351"/>
    <n v="1.0875103774568726E-2"/>
  </r>
  <r>
    <s v="Investments"/>
    <s v="Investments Long"/>
    <s v="Avaliable for Trading"/>
    <s v="United States Dollar"/>
    <m/>
    <s v="HONGSL 9.875 08/27/22"/>
    <s v="XS2125118971"/>
    <n v="3000000"/>
    <n v="94.96"/>
    <n v="2935830"/>
    <n v="22879216.77"/>
    <n v="-797883.09"/>
    <n v="216869.32"/>
    <n v="22081333.68"/>
    <n v="4.8999999999999998E-3"/>
    <m/>
    <s v="Investments"/>
    <s v="BBG00RYDWX24"/>
    <s v="BOND"/>
    <s v="Corp"/>
    <s v="#N/A Field Not Applicable"/>
    <n v="0.5"/>
    <n v="7.5519999999999997E-3"/>
    <s v="High"/>
    <n v="1.8"/>
    <n v="1.9120999999999999E-2"/>
    <s v="High"/>
    <n v="2876779.1668279339"/>
    <s v=""/>
    <s v=""/>
    <s v=""/>
    <s v=""/>
    <s v="B+"/>
    <n v="0"/>
    <n v="0"/>
    <n v="8"/>
    <x v="9"/>
    <s v="CN"/>
    <x v="1"/>
    <s v="Real Estate"/>
    <s v="Real Estate Oper/Develop"/>
    <s v="N"/>
    <s v=" "/>
    <s v="ACTV"/>
    <x v="2"/>
    <s v="Financial"/>
    <s v="Non-Investment Grade"/>
    <x v="4"/>
    <s v="High"/>
    <s v="High"/>
    <s v="#N/A Field Not Applicable"/>
    <s v="SPECIAL PURPOSE"/>
    <s v="#N/A Field Not Applicable"/>
    <n v="4.6131027889116237E-2"/>
    <s v="8/27/2022"/>
    <n v="2.408219178082192"/>
    <s v="2 - 3 yrs"/>
    <n v="1.3886703258401772E-2"/>
    <n v="2.0320485668108303"/>
    <n v="1.1717561138448638E-2"/>
    <n v="12.347994723742101"/>
    <n v="7.1203211121950882E-2"/>
    <s v="XS2125118971"/>
    <s v="-"/>
    <n v="-5.39"/>
    <n v="2876779.1668279339"/>
    <n v="5.258301922414786E-3"/>
  </r>
  <r>
    <s v="Investments"/>
    <s v="Investments Long"/>
    <s v="Avaliable for Trading"/>
    <s v="United States Dollar"/>
    <m/>
    <s v="HONHUA 6.375 08/01/22"/>
    <s v="XS2034868047"/>
    <n v="5000000"/>
    <n v="98.878"/>
    <n v="5022160.71"/>
    <n v="39354455.350000001"/>
    <n v="-1033791.98"/>
    <n v="411777.18"/>
    <n v="38320663.369999997"/>
    <n v="8.5000000000000006E-3"/>
    <m/>
    <s v="Investments"/>
    <s v="BBG00PV1L0V9"/>
    <s v="BOND"/>
    <s v="Corp"/>
    <s v="#N/A Field Not Applicable"/>
    <n v="2.6"/>
    <n v="2.4809000000000001E-2"/>
    <s v="High"/>
    <n v="3.9"/>
    <n v="5.7981999999999999E-2"/>
    <s v="Medium"/>
    <n v="4997025.009353511"/>
    <s v=""/>
    <s v=""/>
    <s v=""/>
    <s v="B1"/>
    <s v="B"/>
    <n v="0"/>
    <n v="8"/>
    <n v="7"/>
    <x v="8"/>
    <s v="CN"/>
    <x v="7"/>
    <s v="Oil&amp;Gas Services"/>
    <s v="Oil-Field Services"/>
    <s v="N"/>
    <s v=" "/>
    <s v="ACTV"/>
    <x v="2"/>
    <s v="Non-Financial"/>
    <s v="Non-Investment Grade"/>
    <x v="4"/>
    <s v="High"/>
    <s v="Medium"/>
    <s v="Energy"/>
    <s v="INDUSTRIAL"/>
    <s v="#N/A Field Not Applicable"/>
    <n v="7.0114232224111894E-2"/>
    <s v="8/1/2022"/>
    <n v="2.3369863013698629"/>
    <s v="2 - 3 yrs"/>
    <n v="2.3408000034116413E-2"/>
    <n v="2.0947912449971593"/>
    <n v="2.0982097116109613E-2"/>
    <n v="6.8043792130842018"/>
    <n v="6.8154832041015051E-2"/>
    <s v="XS2034868047"/>
    <s v="-"/>
    <n v="-2.37"/>
    <n v="4997025.009353511"/>
    <n v="9.1337793724400752E-3"/>
  </r>
  <r>
    <s v="Investments"/>
    <s v="Investments Long"/>
    <s v="Avaliable for Trading"/>
    <s v="United States Dollar"/>
    <m/>
    <s v="HPDLF 7.5 06/27/22"/>
    <s v="XS1813551584"/>
    <n v="3000000"/>
    <n v="92.494"/>
    <n v="2998125"/>
    <n v="23441617.23"/>
    <n v="-1933709.93"/>
    <n v="455377.13"/>
    <n v="21507907.300000001"/>
    <n v="4.7999999999999996E-3"/>
    <m/>
    <s v="Investments"/>
    <s v="BBG00PGHK257"/>
    <s v="BOND"/>
    <s v="Corp"/>
    <s v="#N/A Field Not Applicable"/>
    <n v="1.5"/>
    <n v="4.0164999999999999E-2"/>
    <s v="High"/>
    <n v="2"/>
    <n v="0.104675"/>
    <s v="High"/>
    <n v="2833570.0003870418"/>
    <s v=""/>
    <s v=""/>
    <s v=""/>
    <s v=""/>
    <s v="B+"/>
    <n v="0"/>
    <n v="0"/>
    <n v="8"/>
    <x v="9"/>
    <s v="CN"/>
    <x v="1"/>
    <s v="Real Estate"/>
    <s v="Real Estate Oper/Develop"/>
    <s v="N"/>
    <s v=" "/>
    <s v="ACTV"/>
    <x v="2"/>
    <s v="Financial"/>
    <s v="Non-Investment Grade"/>
    <x v="4"/>
    <s v="High"/>
    <s v="High"/>
    <s v="Real Estate"/>
    <s v="FINANCIAL"/>
    <s v="#N/A Field Not Applicable"/>
    <n v="4.5438140758558995E-2"/>
    <s v="6/27/2022"/>
    <n v="2.2410958904109588"/>
    <s v="2 - 3 yrs"/>
    <n v="1.2728903815240158E-2"/>
    <n v="1.0828491994096849"/>
    <n v="6.1503317928837736E-3"/>
    <n v="11.899499828742801"/>
    <n v="6.758639352185801E-2"/>
    <s v="XS1813551584"/>
    <s v="-"/>
    <n v="-2.34"/>
    <n v="2833570.0003870418"/>
    <n v="5.1793223310780574E-3"/>
  </r>
  <r>
    <s v="Investments"/>
    <s v="Investments Long"/>
    <s v="Avaliable for Trading"/>
    <s v="United States Dollar"/>
    <m/>
    <s v="HUAFAI 4.4 03/16/21"/>
    <s v="XS2131434099"/>
    <n v="10000000"/>
    <n v="99.850999999999999"/>
    <n v="10002000"/>
    <n v="77790555"/>
    <n v="-395046.39"/>
    <n v="132629.93"/>
    <n v="77395508.609999999"/>
    <n v="1.7299999999999999E-2"/>
    <m/>
    <s v="Investments"/>
    <s v="BBG00SBW5S62"/>
    <s v="BOND"/>
    <s v="Corp"/>
    <s v="#N/A Field Not Applicable"/>
    <n v="1.9"/>
    <n v="1.4009000000000001E-2"/>
    <s v="High"/>
    <n v="2.6"/>
    <n v="3.7116999999999997E-2"/>
    <s v="High"/>
    <n v="10002211.110681064"/>
    <s v=""/>
    <s v=""/>
    <s v=""/>
    <s v=""/>
    <s v=""/>
    <n v="0"/>
    <n v="0"/>
    <n v="0"/>
    <x v="1"/>
    <s v="CN"/>
    <x v="1"/>
    <s v="Real Estate"/>
    <s v="Real Estate Oper/Develop"/>
    <s v="N"/>
    <s v=" "/>
    <s v="ACTV"/>
    <x v="2"/>
    <s v="Financial"/>
    <s v="Non-Investment Grade"/>
    <x v="4"/>
    <s v="High"/>
    <s v="High"/>
    <s v="#N/A Field Not Applicable"/>
    <s v="FINANCIAL"/>
    <s v="#N/A Field Not Applicable"/>
    <n v="0"/>
    <s v="3/16/2021"/>
    <n v="0.95890410958904104"/>
    <s v="0 - 1 yr"/>
    <n v="1.9225064975473685E-2"/>
    <n v="0.91020085529061356"/>
    <n v="1.8248613608709215E-2"/>
    <n v="4.5603658189411664"/>
    <n v="9.1430757574547758E-2"/>
    <s v="XS2131434099"/>
    <s v="-"/>
    <n v="-1"/>
    <n v="10002211.110681064"/>
    <n v="1.8282475943291118E-2"/>
  </r>
  <r>
    <s v="Investments"/>
    <s v="Investments Long"/>
    <s v="Avaliable for Trading"/>
    <s v="United States Dollar"/>
    <m/>
    <s v="HYSAN V4.1 PERP"/>
    <s v="XS2123115029"/>
    <n v="1500000"/>
    <n v="94.36"/>
    <n v="1500000"/>
    <n v="11686650.01"/>
    <n v="-715743.15"/>
    <n v="37076.1"/>
    <n v="10970906.859999999"/>
    <n v="2.3999999999999998E-3"/>
    <m/>
    <s v="Investments"/>
    <s v="BBG00RYDYKF6"/>
    <s v="BOND"/>
    <s v="Corp"/>
    <s v="#N/A Field Not Applicable"/>
    <n v="0.3"/>
    <n v="3.4416000000000002E-2"/>
    <s v="High"/>
    <n v="1.8"/>
    <n v="9.4814999999999997E-2"/>
    <s v="High"/>
    <n v="1420183.3236572873"/>
    <s v=""/>
    <s v=""/>
    <s v=""/>
    <s v="Baa2"/>
    <s v="BBB"/>
    <n v="0"/>
    <n v="13"/>
    <n v="13"/>
    <x v="6"/>
    <s v="HK"/>
    <x v="1"/>
    <s v="Real Estate"/>
    <s v="Real Estate Oper/Develop"/>
    <s v="N"/>
    <s v=" "/>
    <s v="ACTV"/>
    <x v="2"/>
    <s v="Financial"/>
    <s v="Investment Grade"/>
    <x v="1"/>
    <s v="High"/>
    <s v="High"/>
    <s v="#N/A Field Not Applicable"/>
    <s v="SPECIAL PURPOSE"/>
    <s v="#N/A Field Not Applicable"/>
    <n v="3.7007042653273411E-2"/>
    <s v="9/3/2168"/>
    <n v="148.52602739726026"/>
    <s v="10 yrs or Above"/>
    <n v="0.42280838700089735"/>
    <n v="4.7303718189932837"/>
    <n v="1.3465928590102073E-2"/>
    <n v="3.674241350265778"/>
    <n v="1.0459446643669733E-2"/>
    <s v="XS2123115029"/>
    <s v="-"/>
    <n v="-5.98"/>
    <n v="1420183.3236572873"/>
    <n v="2.5958727687821841E-3"/>
  </r>
  <r>
    <s v="Investments"/>
    <s v="Investments Long"/>
    <s v="Avaliable for Trading"/>
    <s v="United States Dollar"/>
    <m/>
    <s v="ICBCAS 1.77 05/20/20 FXCD"/>
    <s v="XS2122176113"/>
    <n v="5000000"/>
    <n v="99.972899999999996"/>
    <n v="4997512.25"/>
    <n v="38832669.189999998"/>
    <n v="-87668.13"/>
    <n v="0"/>
    <n v="38745001.060000002"/>
    <n v="8.6E-3"/>
    <m/>
    <s v="Investments"/>
    <s v="BBG00RPXTZN6"/>
    <s v="BOND"/>
    <s v="Corp"/>
    <s v="#N/A Field Not Applicable"/>
    <n v="1.8"/>
    <n v="4.6900000000000002E-4"/>
    <s v="High"/>
    <n v="3.5"/>
    <n v="1.1689999999999999E-3"/>
    <s v="Medium"/>
    <n v="4998645.4903175039"/>
    <s v=""/>
    <s v=""/>
    <s v=""/>
    <s v=""/>
    <s v=""/>
    <n v="0"/>
    <n v="0"/>
    <n v="0"/>
    <x v="1"/>
    <s v="MO"/>
    <x v="1"/>
    <s v="Banks"/>
    <s v="Commer Banks Non-US"/>
    <s v="N"/>
    <s v=" "/>
    <s v="ACTV"/>
    <x v="2"/>
    <s v="Financial"/>
    <s v="Non-Investment Grade"/>
    <x v="8"/>
    <s v="High"/>
    <s v="Medium"/>
    <s v="#N/A Field Not Applicable"/>
    <s v="BANK"/>
    <s v="#N/A Field Not Applicable"/>
    <n v="0"/>
    <s v="5/20/2020"/>
    <n v="0.13698630136986301"/>
    <s v="0 - 1 yr"/>
    <n v="1.3725434346081875E-3"/>
    <n v="0.11909254559552324"/>
    <n v="1.1932557484457549E-3"/>
    <n v="2.4738156590115512"/>
    <n v="2.4786561920812789E-2"/>
    <s v="XS2122176113"/>
    <s v="-"/>
    <n v="-0.08"/>
    <n v="4998645.4903175039"/>
    <n v="9.1367413579363753E-3"/>
  </r>
  <r>
    <s v="Investments"/>
    <s v="Investments Long"/>
    <s v="Avaliable for Trading"/>
    <s v="United States Dollar"/>
    <m/>
    <s v="JFCPM V3.9 PERP"/>
    <s v="XS2099563228"/>
    <n v="0"/>
    <s v="NA"/>
    <n v="0"/>
    <n v="0"/>
    <n v="-0.08"/>
    <n v="456798.16"/>
    <n v="-0.08"/>
    <n v="0"/>
    <m/>
    <s v="Investments"/>
    <s v="BBG00RDLNDQ7"/>
    <s v="BOND"/>
    <s v="Corp"/>
    <s v="#N/A Field Not Applicable"/>
    <n v="0.1"/>
    <n v="3.6658999999999997E-2"/>
    <s v="High"/>
    <n v="0.1"/>
    <n v="0.103697"/>
    <s v="High"/>
    <n v="58933.323012217617"/>
    <s v=""/>
    <s v=""/>
    <s v=""/>
    <s v=""/>
    <s v=""/>
    <n v="0"/>
    <n v="0"/>
    <n v="0"/>
    <x v="1"/>
    <s v="PH"/>
    <x v="8"/>
    <s v="Retail"/>
    <s v="Retail-Restaurants"/>
    <s v="N"/>
    <s v=" "/>
    <s v="ACTV"/>
    <x v="2"/>
    <s v="Non-Financial"/>
    <s v="Non-Investment Grade"/>
    <x v="3"/>
    <s v="High"/>
    <s v="High"/>
    <s v="#N/A Field Not Applicable"/>
    <s v="INDUSTRIAL"/>
    <s v="#N/A Field Not Applicable"/>
    <n v="0"/>
    <s v="7/23/2168"/>
    <n v="148.41095890410958"/>
    <s v="10 yrs or Above"/>
    <n v="1.7531679422193584E-2"/>
    <n v="4.1332948566807834"/>
    <n v="4.8826313716865633E-4"/>
    <n v="6.0736925466811371"/>
    <n v="7.1748091531555821E-4"/>
    <s v="XS2099563228"/>
    <s v="-"/>
    <s v="-"/>
    <n v="58933.323012217617"/>
    <n v="1.0772088774236126E-4"/>
  </r>
  <r>
    <s v="Investments"/>
    <s v="Investments Long"/>
    <s v="Avaliable for Trading"/>
    <s v="United States Dollar"/>
    <m/>
    <s v="JIAPRO 4.85 02/21/22"/>
    <s v="XS1917106061"/>
    <n v="1000000"/>
    <n v="99.475999999999999"/>
    <n v="1000000"/>
    <n v="7847200"/>
    <n v="-136715.76"/>
    <n v="41769.82"/>
    <n v="7710484.2400000002"/>
    <n v="1.6999999999999999E-3"/>
    <m/>
    <s v="Investments"/>
    <s v="BBG00NBG3YQ5"/>
    <s v="BOND"/>
    <s v="Corp"/>
    <s v="#N/A Field Not Applicable"/>
    <n v="0.8"/>
    <n v="5.9959999999999996E-3"/>
    <s v="High"/>
    <n v="2"/>
    <n v="1.4433E-2"/>
    <s v="High"/>
    <n v="1000148.8898349912"/>
    <s v=""/>
    <s v=""/>
    <s v=""/>
    <s v=""/>
    <s v="A-"/>
    <n v="0"/>
    <n v="0"/>
    <n v="15"/>
    <x v="4"/>
    <s v="CN"/>
    <x v="4"/>
    <s v="Metal Fabricate/Hardware"/>
    <s v="Metal Products-Distrib"/>
    <s v="N"/>
    <s v=" "/>
    <s v="ACTV"/>
    <x v="2"/>
    <s v="Non-Financial"/>
    <s v="Investment Grade"/>
    <x v="4"/>
    <s v="High"/>
    <s v="High"/>
    <s v="#N/A Field Not Applicable"/>
    <s v="INDUSTRIAL"/>
    <s v="Chengtou Bond"/>
    <n v="3.0071323032626326E-2"/>
    <s v="2/21/2022"/>
    <n v="1.8958904109589041"/>
    <s v="1 - 2 yrs"/>
    <n v="3.800795532160259E-3"/>
    <n v="1.7552575095420435"/>
    <n v="3.5188610383254651E-3"/>
    <n v="5.320760473975982"/>
    <n v="1.0666820466144113E-2"/>
    <s v="XS1917106061"/>
    <s v="-"/>
    <n v="-1.61"/>
    <n v="1000148.8898349912"/>
    <n v="1.8281155852220841E-3"/>
  </r>
  <r>
    <s v="Investments"/>
    <s v="Investments Long"/>
    <s v="Avaliable for Trading"/>
    <s v="United States Dollar"/>
    <m/>
    <s v="JINKE 8.375 06/20/21"/>
    <s v="XS2010988074"/>
    <n v="12000000"/>
    <n v="94.885999999999996"/>
    <n v="11911104.279999999"/>
    <n v="93226207.200000003"/>
    <n v="-4969702.4000000004"/>
    <n v="2185487.2400000002"/>
    <n v="88256504.799999997"/>
    <n v="1.9699999999999999E-2"/>
    <m/>
    <s v="Investments"/>
    <s v="BBG00PDL9DC2"/>
    <s v="BOND"/>
    <s v="Corp"/>
    <s v="#N/A Field Not Applicable"/>
    <n v="3"/>
    <n v="1.3257E-2"/>
    <s v="High"/>
    <n v="10.4"/>
    <n v="3.1556000000000001E-2"/>
    <s v="Illiquid"/>
    <n v="11668278.314045748"/>
    <s v=""/>
    <s v=""/>
    <s v="B"/>
    <s v="B2"/>
    <s v=""/>
    <n v="7"/>
    <n v="7"/>
    <n v="0"/>
    <x v="8"/>
    <s v="CN"/>
    <x v="1"/>
    <s v="Real Estate"/>
    <s v="Real Estate Oper/Develop"/>
    <s v="N"/>
    <s v=" "/>
    <s v="ACTV"/>
    <x v="2"/>
    <s v="Financial"/>
    <s v="Non-Investment Grade"/>
    <x v="4"/>
    <s v="High"/>
    <s v="Illiquid"/>
    <s v="Real Estate"/>
    <s v="INDUSTRIAL"/>
    <s v="#N/A Field Not Applicable"/>
    <n v="0.16371988810046309"/>
    <s v="6/20/2021"/>
    <n v="1.2219178082191782"/>
    <s v="1 - 2 yrs"/>
    <n v="2.8578892404229565E-2"/>
    <n v="1.071957833022976"/>
    <n v="2.5071545210133786E-2"/>
    <n v="12.930134459179841"/>
    <n v="0.30241716668298074"/>
    <s v="XS2010988074"/>
    <s v="-"/>
    <n v="-3.03"/>
    <n v="11668278.314045748"/>
    <n v="2.1327785948085359E-2"/>
  </r>
  <r>
    <s v="Investments"/>
    <s v="Investments Long"/>
    <s v="Avaliable for Trading"/>
    <s v="United States Dollar"/>
    <m/>
    <s v="KIJAIJ 6.5 10/05/23 REGS"/>
    <s v="USN4717BAD84"/>
    <n v="3000000"/>
    <n v="66.06"/>
    <n v="2804148.64"/>
    <n v="21789537.59"/>
    <n v="-6428407.6100000003"/>
    <n v="738938.2"/>
    <n v="15361129.98"/>
    <n v="3.3999999999999998E-3"/>
    <m/>
    <s v="Investments"/>
    <s v="BBG00DXBXRD0"/>
    <s v="BOND"/>
    <s v="Corp"/>
    <s v="#N/A Field Not Applicable"/>
    <n v="1.6"/>
    <n v="8.3823999999999996E-2"/>
    <s v="High"/>
    <n v="2"/>
    <n v="0.21872"/>
    <s v="High"/>
    <n v="2077133.3333333333"/>
    <s v=""/>
    <s v=""/>
    <s v="B"/>
    <s v=""/>
    <s v="B"/>
    <n v="7"/>
    <n v="0"/>
    <n v="7"/>
    <x v="8"/>
    <s v="ID"/>
    <x v="1"/>
    <s v="Real Estate"/>
    <s v="Real Estate Oper/Develop"/>
    <s v="N"/>
    <s v=" "/>
    <s v="ACTV"/>
    <x v="2"/>
    <s v="Financial"/>
    <s v="Non-Investment Grade"/>
    <x v="3"/>
    <s v="High"/>
    <s v="High"/>
    <s v="#N/A Field Not Applicable"/>
    <s v="SPECIAL PURPOSE"/>
    <s v="#N/A Field Not Applicable"/>
    <n v="2.9144662798599567E-2"/>
    <s v="10/5/2023"/>
    <n v="3.515068493150685"/>
    <s v="3 - 5 yrs"/>
    <n v="1.4635069420979745E-2"/>
    <n v="2.8880366870826943"/>
    <n v="1.2024407913572821E-2"/>
    <n v="16.178469212798262"/>
    <n v="6.7359432829218566E-2"/>
    <s v="USN4717BAD84"/>
    <s v="-"/>
    <n v="-10.15"/>
    <n v="2077133.3333333333"/>
    <n v="3.7966745330062306E-3"/>
  </r>
  <r>
    <s v="Investments"/>
    <s v="Investments Long"/>
    <s v="Avaliable for Trading"/>
    <s v="United States Dollar"/>
    <m/>
    <s v="KWGPRO 6 01/11/22"/>
    <s v="XS1545506401"/>
    <n v="3000000"/>
    <n v="94.521000000000001"/>
    <n v="3022950"/>
    <n v="23485964.989999998"/>
    <n v="-1506713.3"/>
    <n v="310044"/>
    <n v="21979251.690000001"/>
    <n v="4.8999999999999998E-3"/>
    <m/>
    <s v="Investments"/>
    <s v="BBG00FP0FP88"/>
    <s v="BOND"/>
    <s v="Corp"/>
    <s v="#N/A Field Not Applicable"/>
    <n v="2.4"/>
    <n v="3.6274000000000001E-2"/>
    <s v="High"/>
    <n v="3.8"/>
    <n v="9.4210000000000002E-2"/>
    <s v="Medium"/>
    <n v="2875629.9996129582"/>
    <s v=""/>
    <s v=""/>
    <s v="B"/>
    <s v=""/>
    <s v="BB-"/>
    <n v="7"/>
    <n v="0"/>
    <n v="9"/>
    <x v="8"/>
    <s v="CN"/>
    <x v="1"/>
    <s v="Real Estate"/>
    <s v="Real Estate Oper/Develop"/>
    <s v="N"/>
    <s v=" "/>
    <s v="ACTV"/>
    <x v="2"/>
    <s v="Financial"/>
    <s v="Non-Investment Grade"/>
    <x v="4"/>
    <s v="High"/>
    <s v="Medium"/>
    <s v="Real Estate"/>
    <s v="FINANCIAL"/>
    <s v="#N/A Field Not Applicable"/>
    <n v="4.0348525213719233E-2"/>
    <s v="1/11/2022"/>
    <n v="1.7835616438356163"/>
    <s v="1 - 2 yrs"/>
    <n v="1.028058313664627E-2"/>
    <n v="1.574243671304344"/>
    <n v="9.0740586377373224E-3"/>
    <n v="12.134162836794703"/>
    <n v="6.994222502396942E-2"/>
    <s v="XS1545506401"/>
    <s v="-"/>
    <n v="-3.33"/>
    <n v="2875629.9996129582"/>
    <n v="5.2562014246618259E-3"/>
  </r>
  <r>
    <s v="Investments"/>
    <s v="Investments Long"/>
    <s v="Avaliable for Trading"/>
    <s v="United States Dollar"/>
    <m/>
    <s v="KWGPRO 7.4 03/05/24 EMTN"/>
    <s v="XS2034561584"/>
    <n v="3300000"/>
    <n v="91.045000000000002"/>
    <n v="3224150"/>
    <n v="25034459.23"/>
    <n v="-1746395.55"/>
    <n v="82850.649999999994"/>
    <n v="23288063.68"/>
    <n v="5.1999999999999998E-3"/>
    <m/>
    <s v="Investments"/>
    <s v="BBG00PSJ40G0"/>
    <s v="BOND"/>
    <s v="Corp"/>
    <s v="#N/A Field Not Applicable"/>
    <n v="1.6"/>
    <n v="5.4465E-2"/>
    <s v="High"/>
    <n v="2"/>
    <n v="0.14591999999999999"/>
    <s v="High"/>
    <n v="3015173.8888673862"/>
    <s v=""/>
    <s v=""/>
    <s v=""/>
    <s v=""/>
    <s v="BB-"/>
    <n v="0"/>
    <n v="0"/>
    <n v="9"/>
    <x v="3"/>
    <s v="CN"/>
    <x v="1"/>
    <s v="Real Estate"/>
    <s v="Real Estate Oper/Develop"/>
    <s v="N"/>
    <s v=" "/>
    <s v="ACTV"/>
    <x v="2"/>
    <s v="Financial"/>
    <s v="Non-Investment Grade"/>
    <x v="4"/>
    <s v="High"/>
    <s v="High"/>
    <s v="Real Estate"/>
    <s v="FINANCIAL"/>
    <s v="#N/A Field Not Applicable"/>
    <n v="5.4394062084074588E-2"/>
    <s v="3/5/2024"/>
    <n v="3.9315068493150687"/>
    <s v="3 - 5 yrs"/>
    <n v="2.3761180849512033E-2"/>
    <n v="3.2280172733865595"/>
    <n v="1.9509441330783743E-2"/>
    <n v="11.212983375631154"/>
    <n v="6.7768857097975255E-2"/>
    <s v="XS2034561584"/>
    <s v="-"/>
    <n v="-7.08"/>
    <n v="3015173.8888673862"/>
    <n v="5.5112658069365614E-3"/>
  </r>
  <r>
    <s v="Investments"/>
    <s v="Investments Long"/>
    <s v="Avaliable for Trading"/>
    <s v="United States Dollar"/>
    <m/>
    <s v="LGUANG 9 03/04/21"/>
    <s v="XS2127887169"/>
    <n v="3500000"/>
    <n v="98.441000000000003"/>
    <n v="3500000"/>
    <n v="27277600"/>
    <n v="-571688.77"/>
    <n v="176337.52"/>
    <n v="26705911.23"/>
    <n v="6.0000000000000001E-3"/>
    <m/>
    <s v="Investments"/>
    <s v="BBG00S0GV953"/>
    <s v="BOND"/>
    <s v="Corp"/>
    <s v="#N/A Field Not Applicable"/>
    <n v="0.5"/>
    <n v="5.4980000000000003E-3"/>
    <s v="High"/>
    <n v="2"/>
    <n v="1.218E-2"/>
    <s v="High"/>
    <n v="3468184.999548451"/>
    <s v=""/>
    <s v=""/>
    <s v=""/>
    <s v=""/>
    <s v=""/>
    <n v="0"/>
    <n v="0"/>
    <n v="0"/>
    <x v="1"/>
    <s v="CN"/>
    <x v="1"/>
    <s v="Real Estate"/>
    <s v="Real Estate Oper/Develop"/>
    <s v="N"/>
    <s v=" "/>
    <s v="ACTV"/>
    <x v="2"/>
    <s v="Financial"/>
    <s v="Non-Investment Grade"/>
    <x v="4"/>
    <s v="High"/>
    <s v="High"/>
    <s v="#N/A Field Not Applicable"/>
    <s v="SPECIAL PURPOSE"/>
    <s v="#N/A Field Not Applicable"/>
    <n v="0"/>
    <s v="3/4/2021"/>
    <n v="0.92602739726027394"/>
    <s v="0 - 1 yr"/>
    <n v="6.4375810663142245E-3"/>
    <n v="0.84127774860358373"/>
    <n v="5.8484162800635777E-3"/>
    <n v="10.809247758655964"/>
    <n v="7.5144006449590045E-2"/>
    <s v="XS2127887169"/>
    <s v="-"/>
    <n v="-1.72"/>
    <n v="3468184.999548451"/>
    <n v="6.3392991928971796E-3"/>
  </r>
  <r>
    <s v="Investments"/>
    <s v="Investments Long"/>
    <s v="Avaliable for Trading"/>
    <s v="United States Dollar"/>
    <m/>
    <s v="LOGPH 5.25 02/23/23"/>
    <s v="XS1618597535"/>
    <n v="2000000"/>
    <n v="92.837999999999994"/>
    <n v="1996877.5"/>
    <n v="15520730.369999999"/>
    <n v="-1128797.93"/>
    <n v="289374.40000000002"/>
    <n v="14391932.439999999"/>
    <n v="3.2000000000000002E-3"/>
    <m/>
    <s v="Investments"/>
    <s v="BBG00GQ752P3"/>
    <s v="BOND"/>
    <s v="Corp"/>
    <s v="#N/A Field Not Applicable"/>
    <n v="1.4"/>
    <n v="4.8210000000000003E-2"/>
    <s v="High"/>
    <n v="2"/>
    <n v="0.12983"/>
    <s v="High"/>
    <n v="1894093.3338493891"/>
    <s v=""/>
    <s v=""/>
    <s v=""/>
    <s v="B1"/>
    <s v="BB"/>
    <n v="0"/>
    <n v="8"/>
    <n v="10"/>
    <x v="9"/>
    <s v="CN"/>
    <x v="1"/>
    <s v="Real Estate"/>
    <s v="Real Estate Oper/Develop"/>
    <s v="N"/>
    <s v=" "/>
    <s v="ACTV"/>
    <x v="2"/>
    <s v="Financial"/>
    <s v="Non-Investment Grade"/>
    <x v="4"/>
    <s v="High"/>
    <s v="High"/>
    <s v="Real Estate"/>
    <s v="FINANCIAL"/>
    <s v="#N/A Field Not Applicable"/>
    <n v="3.03730204306021E-2"/>
    <s v="2/23/2023"/>
    <n v="2.9013698630136986"/>
    <s v="2 - 3 yrs"/>
    <n v="1.1015420765756035E-2"/>
    <n v="2.5428000124632644"/>
    <n v="9.6540645911852487E-3"/>
    <n v="8.0630448961826708"/>
    <n v="3.061237842057728E-2"/>
    <s v="XS1618597535"/>
    <s v="-"/>
    <n v="-4.53"/>
    <n v="1894093.3338493891"/>
    <n v="3.4621060710736803E-3"/>
  </r>
  <r>
    <s v="Investments"/>
    <s v="Investments Long"/>
    <s v="Avaliable for Trading"/>
    <s v="United States Dollar"/>
    <m/>
    <s v="LOGPH 5.75 01/14/25"/>
    <s v="XS2099677747"/>
    <n v="800000"/>
    <n v="88.882000000000005"/>
    <n v="680000"/>
    <n v="5271836"/>
    <n v="239630.16"/>
    <n v="76262.210000000006"/>
    <n v="5511466.1600000001"/>
    <n v="1.1999999999999999E-3"/>
    <m/>
    <s v="Investments"/>
    <s v="BBG00RB0MG61"/>
    <s v="BOND"/>
    <s v="Corp"/>
    <s v="#N/A Field Not Applicable"/>
    <n v="0.7"/>
    <n v="7.0760000000000003E-2"/>
    <s v="High"/>
    <n v="2"/>
    <n v="0.19515199999999999"/>
    <s v="High"/>
    <n v="720894.88846744329"/>
    <s v=""/>
    <s v=""/>
    <s v=""/>
    <s v=""/>
    <s v="BB"/>
    <n v="0"/>
    <n v="0"/>
    <n v="10"/>
    <x v="7"/>
    <s v="CN"/>
    <x v="1"/>
    <s v="Real Estate"/>
    <s v="Real Estate Oper/Develop"/>
    <s v="N"/>
    <s v=" "/>
    <s v="ACTV"/>
    <x v="2"/>
    <s v="Financial"/>
    <s v="Non-Investment Grade"/>
    <x v="4"/>
    <s v="High"/>
    <s v="High"/>
    <s v="Real Estate"/>
    <s v="FINANCIAL"/>
    <s v="#N/A Field Not Applicable"/>
    <n v="1.4450023914106219E-2"/>
    <s v="1/14/2025"/>
    <n v="4.7945205479452051"/>
    <s v="3 - 5 yrs"/>
    <n v="6.9280936574481868E-3"/>
    <n v="3.8433909826387964"/>
    <n v="5.5537091610390801E-3"/>
    <n v="12.316591527852001"/>
    <n v="1.7797504211773944E-2"/>
    <s v="XS2099677747"/>
    <s v="-"/>
    <n v="-7.18"/>
    <n v="720894.88846744329"/>
    <n v="1.3176829913111221E-3"/>
  </r>
  <r>
    <s v="Investments"/>
    <s v="Investments Long"/>
    <s v="Avaliable for Trading"/>
    <s v="United States Dollar"/>
    <m/>
    <s v="LOGPH 6.375 03/07/21"/>
    <s v="XS1772325210"/>
    <n v="2000000"/>
    <n v="98.751000000000005"/>
    <n v="2025000"/>
    <n v="15886732.5"/>
    <n v="-578154.98"/>
    <n v="65884.350000000006"/>
    <n v="15308577.52"/>
    <n v="3.3999999999999998E-3"/>
    <m/>
    <s v="Investments"/>
    <s v="BBG00K6FDF25"/>
    <s v="BOND"/>
    <s v="Corp"/>
    <s v="#N/A Field Not Applicable"/>
    <n v="1.5"/>
    <n v="2.7715E-2"/>
    <s v="High"/>
    <n v="2"/>
    <n v="7.1066000000000004E-2"/>
    <s v="High"/>
    <n v="1983519.999741972"/>
    <s v=""/>
    <s v=""/>
    <s v=""/>
    <s v=""/>
    <s v="BB"/>
    <n v="0"/>
    <n v="0"/>
    <n v="10"/>
    <x v="7"/>
    <s v="CN"/>
    <x v="1"/>
    <s v="Real Estate"/>
    <s v="Real Estate Oper/Develop"/>
    <s v="N"/>
    <s v=" "/>
    <s v="ACTV"/>
    <x v="2"/>
    <s v="Financial"/>
    <s v="Non-Investment Grade"/>
    <x v="4"/>
    <s v="High"/>
    <s v="High"/>
    <s v="Real Estate"/>
    <s v="FINANCIAL"/>
    <s v="#N/A Field Not Applicable"/>
    <n v="3.9758794088985791E-2"/>
    <s v="3/7/2021"/>
    <n v="0.9342465753424658"/>
    <s v="0 - 1 yr"/>
    <n v="3.7144517217381247E-3"/>
    <n v="0.86740431152687703"/>
    <n v="3.4486949413895587E-3"/>
    <n v="7.7739370409104227"/>
    <n v="3.0908236207029701E-2"/>
    <s v="XS1772325210"/>
    <s v="-"/>
    <n v="-1.55"/>
    <n v="1983519.999741972"/>
    <n v="3.6255640154999854E-3"/>
  </r>
  <r>
    <s v="Investments"/>
    <s v="Investments Long"/>
    <s v="Avaliable for Trading"/>
    <s v="United States Dollar"/>
    <m/>
    <s v="LOGPH 6.875 04/24/21"/>
    <s v="XS1808311424"/>
    <n v="1000000"/>
    <n v="98.558999999999997"/>
    <n v="955000"/>
    <n v="7414524.5"/>
    <n v="224882.15"/>
    <n v="232398.43"/>
    <n v="7639406.6500000004"/>
    <n v="1.6999999999999999E-3"/>
    <m/>
    <s v="Investments"/>
    <s v="BBG00KNCMN62"/>
    <s v="BOND"/>
    <s v="Corp"/>
    <s v="#N/A Field Not Applicable"/>
    <n v="0.8"/>
    <n v="2.3413E-2"/>
    <s v="High"/>
    <n v="2"/>
    <n v="6.1996999999999997E-2"/>
    <s v="High"/>
    <n v="1015572.6387222458"/>
    <s v=""/>
    <s v=""/>
    <s v=""/>
    <s v=""/>
    <s v="BB"/>
    <n v="0"/>
    <n v="0"/>
    <n v="10"/>
    <x v="7"/>
    <s v="CN"/>
    <x v="1"/>
    <s v="Real Estate"/>
    <s v="Real Estate Oper/Develop"/>
    <s v="N"/>
    <s v=" "/>
    <s v="ACTV"/>
    <x v="2"/>
    <s v="Financial"/>
    <s v="Non-Investment Grade"/>
    <x v="4"/>
    <s v="High"/>
    <s v="High"/>
    <s v="Real Estate"/>
    <s v="FINANCIAL"/>
    <s v="#N/A Field Not Applicable"/>
    <n v="2.0356711014065061E-2"/>
    <s v="4/24/2021"/>
    <n v="1.0657534246575342"/>
    <s v="1 - 2 yrs"/>
    <n v="2.1695234478003585E-3"/>
    <n v="0.93949485999607418"/>
    <n v="1.9125025364139596E-3"/>
    <n v="12.024060527214303"/>
    <n v="2.4477032536812833E-2"/>
    <s v="XS1808311424"/>
    <s v="-"/>
    <n v="-1.81"/>
    <n v="1015572.6387222458"/>
    <n v="1.8563077834136894E-3"/>
  </r>
  <r>
    <s v="Investments"/>
    <s v="Investments Long"/>
    <s v="Avaliable for Trading"/>
    <s v="United States Dollar"/>
    <m/>
    <s v="LOGPH 7.5 08/25/22"/>
    <s v="XS1954961295"/>
    <n v="5000000"/>
    <n v="97.905000000000001"/>
    <n v="4991125"/>
    <n v="39175468.350000001"/>
    <n v="-1231896.07"/>
    <n v="290666.25"/>
    <n v="37943572.280000001"/>
    <n v="8.5000000000000006E-3"/>
    <m/>
    <s v="Investments"/>
    <s v="BBG00NDM7WZ0"/>
    <s v="BOND"/>
    <s v="Corp"/>
    <s v="#N/A Field Not Applicable"/>
    <n v="3.6"/>
    <n v="4.0744000000000002E-2"/>
    <s v="Medium"/>
    <n v="7.7"/>
    <n v="0.105405"/>
    <s v="Low"/>
    <n v="4932750.0006450694"/>
    <s v=""/>
    <s v=""/>
    <s v="BB-"/>
    <s v=""/>
    <s v="BB"/>
    <n v="9"/>
    <n v="0"/>
    <n v="10"/>
    <x v="3"/>
    <s v="CN"/>
    <x v="1"/>
    <s v="Real Estate"/>
    <s v="Real Estate Oper/Develop"/>
    <s v="N"/>
    <s v=" "/>
    <s v="ACTV"/>
    <x v="2"/>
    <s v="Financial"/>
    <s v="Non-Investment Grade"/>
    <x v="4"/>
    <s v="Medium"/>
    <s v="Low"/>
    <s v="Real Estate"/>
    <s v="FINANCIAL"/>
    <s v="#N/A Field Not Applicable"/>
    <n v="8.8987341914497406E-2"/>
    <s v="8/25/2022"/>
    <n v="2.4027397260273973"/>
    <s v="2 - 3 yrs"/>
    <n v="2.3757046836838425E-2"/>
    <n v="2.1200444781542234"/>
    <n v="2.0961902539050233E-2"/>
    <n v="8.2368334967646923"/>
    <n v="8.1441546518820546E-2"/>
    <s v="XS1954961295"/>
    <s v="-"/>
    <n v="-3.87"/>
    <n v="4932750.0006450694"/>
    <n v="9.0162947195504706E-3"/>
  </r>
  <r>
    <s v="Investments"/>
    <s v="Investments Long"/>
    <s v="Avaliable for Trading"/>
    <s v="United States Dollar"/>
    <m/>
    <s v="LOGPH 7.5 08/27/21"/>
    <s v="XS1870205819"/>
    <n v="5000000"/>
    <n v="98.965999999999994"/>
    <n v="5062500"/>
    <n v="39724118.990000002"/>
    <n v="-1369350.86"/>
    <n v="274518.13"/>
    <n v="38354768.130000003"/>
    <n v="8.6E-3"/>
    <m/>
    <s v="Investments"/>
    <s v="BBG00LSRS878"/>
    <s v="BOND"/>
    <s v="Corp"/>
    <s v="#N/A Field Not Applicable"/>
    <n v="1.6"/>
    <n v="3.1309999999999998E-2"/>
    <s v="High"/>
    <n v="2"/>
    <n v="8.0893999999999994E-2"/>
    <s v="High"/>
    <n v="4983716.6673117373"/>
    <s v=""/>
    <s v=""/>
    <s v="BB-"/>
    <s v=""/>
    <s v="BB"/>
    <n v="9"/>
    <n v="0"/>
    <n v="10"/>
    <x v="3"/>
    <s v="CN"/>
    <x v="1"/>
    <s v="Real Estate"/>
    <s v="Real Estate Oper/Develop"/>
    <s v="N"/>
    <s v=" "/>
    <s v="ACTV"/>
    <x v="2"/>
    <s v="Financial"/>
    <s v="Non-Investment Grade"/>
    <x v="4"/>
    <s v="High"/>
    <s v="High"/>
    <s v="Real Estate"/>
    <s v="FINANCIAL"/>
    <s v="#N/A Field Not Applicable"/>
    <n v="8.9906786076945508E-2"/>
    <s v="8/27/2021"/>
    <n v="1.4082191780821918"/>
    <s v="1 - 2 yrs"/>
    <n v="1.4067606710365294E-2"/>
    <n v="1.249839409863835"/>
    <n v="1.2485449383684847E-2"/>
    <n v="13.300724416862575"/>
    <n v="0.13286948720169658"/>
    <s v="XS1870205819"/>
    <s v="-"/>
    <n v="-2.38"/>
    <n v="4983716.6673117373"/>
    <n v="9.1094538067695019E-3"/>
  </r>
  <r>
    <s v="Investments"/>
    <s v="Investments Long"/>
    <s v="Avaliable for Trading"/>
    <s v="United States Dollar"/>
    <m/>
    <s v="LPKRIJ 6.75 10/31/26"/>
    <s v="XS1506085114"/>
    <n v="1800000"/>
    <n v="67.594999999999999"/>
    <n v="1262125"/>
    <n v="9799361.5399999991"/>
    <n v="-368520.67"/>
    <n v="395015.44"/>
    <n v="9430840.8699999992"/>
    <n v="2.0999999999999999E-3"/>
    <m/>
    <s v="Investments"/>
    <s v="BBG00F2W1SP3"/>
    <s v="BOND"/>
    <s v="Corp"/>
    <s v="#N/A Field Not Applicable"/>
    <n v="1.1000000000000001"/>
    <n v="0.112164"/>
    <s v="High"/>
    <n v="2"/>
    <n v="0.296317"/>
    <s v="High"/>
    <n v="1267672.4993871835"/>
    <s v=""/>
    <s v=""/>
    <s v="B-"/>
    <s v="B3"/>
    <s v="B-"/>
    <n v="6"/>
    <n v="6"/>
    <n v="6"/>
    <x v="12"/>
    <s v="ID"/>
    <x v="1"/>
    <s v="Real Estate"/>
    <s v="Real Estate Oper/Develop"/>
    <s v="N"/>
    <s v=" "/>
    <s v="ACTV"/>
    <x v="2"/>
    <s v="Financial"/>
    <s v="Non-Investment Grade"/>
    <x v="3"/>
    <s v="High"/>
    <s v="High"/>
    <s v="#N/A Field Not Applicable"/>
    <s v="FINANCIAL"/>
    <s v="#N/A Field Not Applicable"/>
    <n v="1.5245965722138866E-2"/>
    <s v="10/31/2026"/>
    <n v="6.5890410958904111"/>
    <s v="5 - 7 yrs"/>
    <n v="1.6742715781618251E-2"/>
    <n v="4.5971212355619251"/>
    <n v="1.168125879631563E-2"/>
    <n v="14.088607752233957"/>
    <n v="3.5799071810536466E-2"/>
    <s v="XS1506085114"/>
    <s v="-"/>
    <n v="-12.29"/>
    <n v="1267672.4993871835"/>
    <n v="2.3171068594291856E-3"/>
  </r>
  <r>
    <s v="Investments"/>
    <s v="Investments Long"/>
    <s v="Avaliable for Trading"/>
    <s v="United States Dollar"/>
    <m/>
    <s v="LPKRIJ 8.125 01/22/25"/>
    <s v="XS2099273737"/>
    <n v="1500000"/>
    <n v="74.524000000000001"/>
    <n v="1515406.81"/>
    <n v="11772549.98"/>
    <n v="-3107905.25"/>
    <n v="181060.86"/>
    <n v="8664644.7300000004"/>
    <n v="1.9E-3"/>
    <m/>
    <s v="Investments"/>
    <s v="BBG00RD4VH41"/>
    <s v="BOND"/>
    <s v="Corp"/>
    <s v="#N/A Field Not Applicable"/>
    <n v="1.4"/>
    <n v="9.6068000000000001E-2"/>
    <s v="High"/>
    <n v="2"/>
    <n v="0.26145600000000002"/>
    <s v="High"/>
    <n v="1141219.3869257267"/>
    <s v=""/>
    <s v=""/>
    <s v="B-"/>
    <s v="B3"/>
    <s v="B-"/>
    <n v="6"/>
    <n v="6"/>
    <n v="6"/>
    <x v="12"/>
    <s v="ID"/>
    <x v="1"/>
    <s v="Real Estate"/>
    <s v="Real Estate Oper/Develop"/>
    <s v="N"/>
    <s v=" "/>
    <s v="ACTV"/>
    <x v="2"/>
    <s v="Financial"/>
    <s v="Non-Investment Grade"/>
    <x v="3"/>
    <s v="High"/>
    <s v="High"/>
    <s v="#N/A Field Not Applicable"/>
    <s v="FINANCIAL"/>
    <s v="#N/A Field Not Applicable"/>
    <n v="1.3725147199233996E-2"/>
    <s v="1/22/2025"/>
    <n v="4.816438356164384"/>
    <s v="3 - 5 yrs"/>
    <n v="1.1017720902398798E-2"/>
    <n v="3.412315121034482"/>
    <n v="7.8057545543950392E-3"/>
    <n v="20.042407412441143"/>
    <n v="4.5847498660462199E-2"/>
    <s v="XS2099273737"/>
    <s v="-"/>
    <n v="-10.47"/>
    <n v="1141219.3869257267"/>
    <n v="2.0859703676126824E-3"/>
  </r>
  <r>
    <s v="Investments"/>
    <s v="Investments Long"/>
    <s v="Avaliable for Trading"/>
    <s v="United States Dollar"/>
    <m/>
    <s v="MDLNIJ 10.75 08/30/21"/>
    <s v="XS1871087133"/>
    <n v="3200000"/>
    <n v="85.695999999999998"/>
    <n v="3330000"/>
    <n v="25883937"/>
    <n v="-4628312.5"/>
    <n v="244418.02"/>
    <n v="21255624.5"/>
    <n v="4.7000000000000002E-3"/>
    <m/>
    <s v="Investments"/>
    <s v="BBG00LSR9049"/>
    <s v="BOND"/>
    <s v="Corp"/>
    <s v="#N/A Field Not Applicable"/>
    <n v="4.7"/>
    <n v="3.6759E-2"/>
    <s v="Medium"/>
    <n v="8.3000000000000007"/>
    <n v="9.1855000000000006E-2"/>
    <s v="Low"/>
    <n v="2773805.3334365445"/>
    <s v=""/>
    <s v=""/>
    <s v="B"/>
    <s v="B2"/>
    <s v="B"/>
    <n v="7"/>
    <n v="7"/>
    <n v="7"/>
    <x v="8"/>
    <s v="ID"/>
    <x v="1"/>
    <s v="Real Estate"/>
    <s v="Real Estate Oper/Develop"/>
    <s v="N"/>
    <s v=" "/>
    <s v="ACTV"/>
    <x v="2"/>
    <s v="Financial"/>
    <s v="Non-Investment Grade"/>
    <x v="3"/>
    <s v="Medium"/>
    <s v="Low"/>
    <s v="#N/A Field Not Applicable"/>
    <s v="SPECIAL PURPOSE"/>
    <s v="#N/A Field Not Applicable"/>
    <n v="3.8919803468866608E-2"/>
    <s v="8/30/2021"/>
    <n v="1.4164383561643836"/>
    <s v="1 - 2 yrs"/>
    <n v="7.875357492526042E-3"/>
    <n v="1.2409812940919449"/>
    <n v="6.8998211535140361E-3"/>
    <n v="12.79107448593915"/>
    <n v="7.1118015021197967E-2"/>
    <s v="XS1871087133"/>
    <s v="-"/>
    <n v="-5.1100000000000003"/>
    <n v="2773805.3334365445"/>
    <n v="5.0700818767734626E-3"/>
  </r>
  <r>
    <s v="Investments"/>
    <s v="Investments Long"/>
    <s v="Avaliable for Trading"/>
    <s v="United States Dollar"/>
    <m/>
    <s v="MDLNIJ 6.95 04/13/24"/>
    <s v="XS1592893546"/>
    <n v="4653000"/>
    <n v="70.411000000000001"/>
    <n v="4218247.4000000004"/>
    <n v="33001027.699999999"/>
    <n v="-7606689.1699999999"/>
    <n v="1169736.3400000001"/>
    <n v="25394338.530000001"/>
    <n v="5.7000000000000002E-3"/>
    <m/>
    <s v="Investments"/>
    <s v="BBG00GDDS1Y1"/>
    <s v="BOND"/>
    <s v="Corp"/>
    <s v="#N/A Field Not Applicable"/>
    <n v="2.1"/>
    <n v="6.0650000000000003E-2"/>
    <s v="High"/>
    <n v="4.2"/>
    <n v="0.157254"/>
    <s v="Medium"/>
    <n v="3427136.1316458308"/>
    <s v=""/>
    <s v=""/>
    <s v="B"/>
    <s v="B2"/>
    <s v="B"/>
    <n v="7"/>
    <n v="7"/>
    <n v="7"/>
    <x v="8"/>
    <s v="ID"/>
    <x v="1"/>
    <s v="Real Estate"/>
    <s v="Real Estate Oper/Develop"/>
    <s v="N"/>
    <s v=" "/>
    <s v="ACTV"/>
    <x v="2"/>
    <s v="Financial"/>
    <s v="Non-Investment Grade"/>
    <x v="3"/>
    <s v="High"/>
    <s v="Medium"/>
    <s v="#N/A Field Not Applicable"/>
    <s v="SPECIAL PURPOSE"/>
    <s v="#N/A Field Not Applicable"/>
    <n v="4.8086815284710344E-2"/>
    <s v="4/13/2024"/>
    <n v="4.0383561643835613"/>
    <s v="3 - 5 yrs"/>
    <n v="2.7741669561511955E-2"/>
    <n v="3.2156936180999773"/>
    <n v="2.2090352146542216E-2"/>
    <n v="11.398006448069133"/>
    <n v="7.8299118668891124E-2"/>
    <s v="XS1592893546"/>
    <s v="-"/>
    <n v="-9.8800000000000008"/>
    <n v="3427136.1316458308"/>
    <n v="6.2642682890675675E-3"/>
  </r>
  <r>
    <s v="Investments"/>
    <s v="Investments Long"/>
    <s v="Avaliable for Trading"/>
    <s v="United States Dollar"/>
    <m/>
    <s v="MEDCIJ 6.75 01/30/25 REGS"/>
    <s v="USY59505AA82"/>
    <n v="3200000"/>
    <n v="60.015000000000001"/>
    <n v="3197000"/>
    <n v="24848682.5"/>
    <n v="-9962849.9700000007"/>
    <n v="283690.25"/>
    <n v="14885832.529999999"/>
    <n v="3.3E-3"/>
    <m/>
    <s v="Investments"/>
    <s v="BBG00JVKTCJ1"/>
    <s v="BOND"/>
    <s v="Corp"/>
    <s v="#N/A Field Not Applicable"/>
    <n v="2"/>
    <n v="0.109235"/>
    <s v="High"/>
    <n v="3.7"/>
    <n v="0.288188"/>
    <s v="Medium"/>
    <n v="1957079.9989678883"/>
    <s v=""/>
    <s v=""/>
    <s v="B+"/>
    <s v="B1"/>
    <s v="B+"/>
    <n v="8"/>
    <n v="8"/>
    <n v="8"/>
    <x v="9"/>
    <s v="ID"/>
    <x v="7"/>
    <s v="Oil&amp;Gas"/>
    <s v="Oil Comp-Explor&amp;Prodtn"/>
    <s v="N"/>
    <s v=" "/>
    <s v="ACTV"/>
    <x v="2"/>
    <s v="Non-Financial"/>
    <s v="Non-Investment Grade"/>
    <x v="3"/>
    <s v="High"/>
    <s v="Medium"/>
    <s v="#N/A Field Not Applicable"/>
    <s v="INDUSTRIAL"/>
    <s v="#N/A Field Not Applicable"/>
    <n v="3.1383052635621092E-2"/>
    <s v="1/30/2025"/>
    <n v="4.838356164383562"/>
    <s v="3 - 5 yrs"/>
    <n v="1.8980298272091387E-2"/>
    <n v="3.4876291858617283"/>
    <n v="1.3681556289178368E-2"/>
    <n v="21.439059969824779"/>
    <n v="8.410289343640602E-2"/>
    <s v="USY59505AA82"/>
    <s v="-"/>
    <n v="-8.4"/>
    <n v="1957079.9989678883"/>
    <n v="3.5772358335866296E-3"/>
  </r>
  <r>
    <s v="Investments"/>
    <s v="Investments Long"/>
    <s v="Avaliable for Trading"/>
    <s v="United States Dollar"/>
    <m/>
    <s v="MEDCIJ 8.5 08/17/22 REGS"/>
    <s v="USY59515AA72"/>
    <n v="1000000"/>
    <n v="96.950999999999993"/>
    <n v="977500"/>
    <n v="7589833.5"/>
    <n v="-75064.539999999994"/>
    <n v="80525.320000000007"/>
    <n v="7514768.96"/>
    <n v="1.6999999999999999E-3"/>
    <m/>
    <s v="Investments"/>
    <s v="BBG00HDTX5P9"/>
    <s v="BOND"/>
    <s v="Corp"/>
    <s v="#N/A Field Not Applicable"/>
    <n v="0.6"/>
    <n v="2.6932999999999999E-2"/>
    <s v="High"/>
    <n v="2"/>
    <n v="7.2162000000000004E-2"/>
    <s v="High"/>
    <n v="979898.88918992144"/>
    <s v=""/>
    <s v=""/>
    <s v="B+"/>
    <s v="B1"/>
    <s v="B+"/>
    <n v="8"/>
    <n v="8"/>
    <n v="8"/>
    <x v="9"/>
    <s v="ID"/>
    <x v="7"/>
    <s v="Oil&amp;Gas"/>
    <s v="Oil Comp-Explor&amp;Prodtn"/>
    <s v="N"/>
    <s v=" "/>
    <s v="ACTV"/>
    <x v="2"/>
    <s v="Non-Financial"/>
    <s v="Non-Investment Grade"/>
    <x v="3"/>
    <s v="High"/>
    <s v="High"/>
    <s v="#N/A Field Not Applicable"/>
    <s v="INDUSTRIAL"/>
    <s v="#N/A Field Not Applicable"/>
    <n v="1.571331699943377E-2"/>
    <s v="8/17/2022"/>
    <n v="2.3808219178082193"/>
    <s v="2 - 3 yrs"/>
    <n v="4.6763261892150496E-3"/>
    <n v="2.051744778671341"/>
    <n v="4.0299645136494819E-3"/>
    <n v="10.573680370294028"/>
    <n v="2.0768448938640036E-2"/>
    <s v="USY59515AA72"/>
    <s v="-"/>
    <n v="-2.72"/>
    <n v="979898.88918992144"/>
    <n v="1.7911017544252345E-3"/>
  </r>
  <r>
    <s v="Investments"/>
    <s v="Investments Long"/>
    <s v="Avaliable for Trading"/>
    <s v="United States Dollar"/>
    <m/>
    <s v="MGMCHI 5.875 05/15/26 REGS"/>
    <s v="USG60744AB87"/>
    <n v="5000000"/>
    <n v="83.442999999999998"/>
    <n v="4905000"/>
    <n v="38091347.100000001"/>
    <n v="-5752595.2400000002"/>
    <n v="550500.35"/>
    <n v="32338751.859999999"/>
    <n v="7.1999999999999998E-3"/>
    <m/>
    <s v="Investments"/>
    <s v="BBG00P1GZFC2"/>
    <s v="BOND"/>
    <s v="Corp"/>
    <s v="#N/A Field Not Applicable"/>
    <n v="1.7"/>
    <n v="6.2490999999999998E-2"/>
    <s v="High"/>
    <n v="2"/>
    <n v="0.16628000000000001"/>
    <s v="High"/>
    <n v="4243172.2220071992"/>
    <s v=""/>
    <s v=""/>
    <s v="BB- *-"/>
    <s v="Ba3 *-"/>
    <s v="BB-u"/>
    <n v="9"/>
    <n v="9"/>
    <n v="9"/>
    <x v="3"/>
    <s v="MO"/>
    <x v="8"/>
    <s v="Lodging"/>
    <s v="Casino Hotels"/>
    <s v="N"/>
    <s v=" "/>
    <s v="ACTV"/>
    <x v="2"/>
    <s v="Non-Financial"/>
    <s v="Non-Investment Grade"/>
    <x v="8"/>
    <s v="High"/>
    <s v="High"/>
    <s v="Consumer Discretionary"/>
    <s v="INDUSTRIAL"/>
    <s v="#N/A Field Not Applicable"/>
    <n v="7.6547284430079368E-2"/>
    <s v="5/15/2026"/>
    <n v="6.1260273972602741"/>
    <s v="5 - 7 yrs"/>
    <n v="5.2103417956060119E-2"/>
    <n v="4.7490020031257849"/>
    <n v="4.0391467454698453E-2"/>
    <n v="9.5956004223861679"/>
    <n v="8.1613017201087074E-2"/>
    <s v="USG60744AB87"/>
    <s v="-"/>
    <n v="-0.99"/>
    <n v="4243172.2220071992"/>
    <n v="7.7558545019357737E-3"/>
  </r>
  <r>
    <s v="Investments"/>
    <s v="Investments Long"/>
    <s v="Avaliable for Trading"/>
    <s v="United States Dollar"/>
    <m/>
    <s v="MINMET V3.375 PERP"/>
    <s v="XS2115053626"/>
    <n v="3000000"/>
    <n v="94.040999999999997"/>
    <n v="3000000"/>
    <n v="23373300"/>
    <n v="-1505664.15"/>
    <n v="61039.91"/>
    <n v="21867635.850000001"/>
    <n v="4.8999999999999998E-3"/>
    <m/>
    <s v="Investments"/>
    <s v="BBG00RZ2MZZ7"/>
    <s v="BOND"/>
    <s v="Corp"/>
    <s v="#N/A Field Not Applicable"/>
    <n v="0.5"/>
    <n v="2.342E-2"/>
    <s v="High"/>
    <n v="1.8"/>
    <n v="6.3235E-2"/>
    <s v="High"/>
    <n v="2829104.9992904235"/>
    <s v=""/>
    <s v=""/>
    <s v=""/>
    <s v="Baa1"/>
    <s v=""/>
    <n v="0"/>
    <n v="14"/>
    <n v="0"/>
    <x v="10"/>
    <s v="CN"/>
    <x v="9"/>
    <s v="Mining"/>
    <s v="Metal-Diversified"/>
    <s v="N"/>
    <s v=" "/>
    <s v="ACTV"/>
    <x v="2"/>
    <s v="Non-Financial"/>
    <s v="Investment Grade"/>
    <x v="4"/>
    <s v="High"/>
    <s v="High"/>
    <s v="#N/A Field Not Applicable"/>
    <s v="SPECIAL PURPOSE"/>
    <s v="#N/A Field Not Applicable"/>
    <n v="7.9391447725536801E-2"/>
    <s v="9/3/2168"/>
    <n v="148.52602739726026"/>
    <s v="10 yrs or Above"/>
    <n v="0.84226402428508818"/>
    <n v="4.0085357093031391"/>
    <n v="2.2731675230077696E-2"/>
    <n v="5.4561961333341422"/>
    <n v="3.0941093578562399E-2"/>
    <s v="XS2115053626"/>
    <s v="-"/>
    <n v="-3.2"/>
    <n v="2829104.9992904235"/>
    <n v="5.1711610081233246E-3"/>
  </r>
  <r>
    <s v="Investments"/>
    <s v="Investments Long"/>
    <s v="Avaliable for Trading"/>
    <s v="United States Dollar"/>
    <m/>
    <s v="MSINS V4.95 PERP REGS"/>
    <s v="USJ4517MAA74"/>
    <n v="7500000"/>
    <n v="103.239"/>
    <n v="7500000"/>
    <n v="58872750"/>
    <n v="1143435.97"/>
    <n v="199833.05"/>
    <n v="60016185.969999999"/>
    <n v="1.34E-2"/>
    <m/>
    <s v="Investments"/>
    <s v="BBG00NGF27D6"/>
    <s v="BOND"/>
    <s v="Corp"/>
    <s v="#N/A Field Not Applicable"/>
    <n v="1"/>
    <n v="3.1560999999999999E-2"/>
    <s v="High"/>
    <n v="2"/>
    <n v="8.4071000000000007E-2"/>
    <s v="High"/>
    <n v="7768706.2507257024"/>
    <s v=""/>
    <s v=""/>
    <s v="A-"/>
    <s v="A3"/>
    <s v=""/>
    <n v="15"/>
    <n v="15"/>
    <n v="0"/>
    <x v="4"/>
    <s v="JP"/>
    <x v="1"/>
    <s v="Insurance"/>
    <s v="Property/Casualty Ins"/>
    <s v="N"/>
    <s v=" "/>
    <s v="ACTV"/>
    <x v="2"/>
    <s v="Financial"/>
    <s v="Investment Grade"/>
    <x v="9"/>
    <s v="High"/>
    <s v="High"/>
    <s v="Financials"/>
    <s v="FINANCIAL"/>
    <s v="#N/A Field Not Applicable"/>
    <n v="0.23358049744943352"/>
    <s v="9/6/2168"/>
    <n v="148.53424657534248"/>
    <s v="10 yrs or Above"/>
    <n v="2.3129802135563544"/>
    <n v="7.1906244999862823"/>
    <n v="0.11197264317859199"/>
    <n v="3.8605497430993663"/>
    <n v="6.0116608628095515E-2"/>
    <s v="USJ4517MAA74"/>
    <s v="-"/>
    <n v="-9.25"/>
    <n v="7768706.2507257024"/>
    <n v="1.4199978741472184E-2"/>
  </r>
  <r>
    <s v="Investments"/>
    <s v="Investments Long"/>
    <s v="Avaliable for Trading"/>
    <s v="United States Dollar"/>
    <m/>
    <s v="MYLIFE V5.2 10/20/45 REGS"/>
    <s v="USJ41838AA14"/>
    <n v="1500000"/>
    <n v="105.11"/>
    <n v="1524750"/>
    <n v="11916836.1"/>
    <n v="303935.71000000002"/>
    <n v="270384.21000000002"/>
    <n v="12220771.810000001"/>
    <n v="2.7000000000000001E-3"/>
    <m/>
    <s v="Investments"/>
    <s v="BBG00B6SDBV4"/>
    <s v="BOND"/>
    <s v="Corp"/>
    <s v="#N/A Field Not Applicable"/>
    <n v="0.7"/>
    <n v="2.8060000000000002E-2"/>
    <s v="High"/>
    <n v="1.9"/>
    <n v="7.5756000000000004E-2"/>
    <s v="High"/>
    <n v="1611533.3333333335"/>
    <s v=""/>
    <s v=""/>
    <s v="A-"/>
    <s v="A3"/>
    <s v="A-u"/>
    <n v="15"/>
    <n v="15"/>
    <n v="15"/>
    <x v="4"/>
    <s v="JP"/>
    <x v="1"/>
    <s v="Insurance"/>
    <s v="Life/Health Insurance"/>
    <s v="N"/>
    <s v=" "/>
    <s v="ACTV"/>
    <x v="2"/>
    <s v="Financial"/>
    <s v="Investment Grade"/>
    <x v="9"/>
    <s v="High"/>
    <s v="High"/>
    <s v="#N/A Field Not Applicable"/>
    <s v="FINANCIAL"/>
    <s v="#N/A Field Not Applicable"/>
    <n v="4.8453725177365382E-2"/>
    <s v="10/20/2045"/>
    <n v="25.572602739726026"/>
    <s v="10 yrs or Above"/>
    <n v="8.2605857681375058E-2"/>
    <n v="4.686581883720268"/>
    <n v="1.5138823374333416E-2"/>
    <n v="4.5802110443708512"/>
    <n v="1.4795219146551927E-2"/>
    <s v="USJ41838AA14"/>
    <s v="-"/>
    <n v="-4.4000000000000004"/>
    <n v="1611533.3333333335"/>
    <n v="2.9456306283133682E-3"/>
  </r>
  <r>
    <s v="Investments"/>
    <s v="Investments Long"/>
    <s v="Avaliable for Trading"/>
    <s v="United States Dollar"/>
    <m/>
    <s v="NANYAN V5 PERP"/>
    <s v="XS1618163452"/>
    <n v="4500000"/>
    <n v="92.617000000000004"/>
    <n v="4518190"/>
    <n v="35308383.329999998"/>
    <n v="-3003620.04"/>
    <n v="576488.06999999995"/>
    <n v="32304763.289999999"/>
    <n v="7.1999999999999998E-3"/>
    <m/>
    <s v="Investments"/>
    <s v="BBG00GSCY4N6"/>
    <s v="BOND"/>
    <s v="Corp"/>
    <s v="#N/A Field Not Applicable"/>
    <n v="0.7"/>
    <n v="3.7399000000000002E-2"/>
    <s v="High"/>
    <n v="1.9"/>
    <n v="9.9318000000000004E-2"/>
    <s v="High"/>
    <n v="4242140.0007740837"/>
    <s v=""/>
    <s v=""/>
    <s v=""/>
    <s v="Ba2"/>
    <s v=""/>
    <n v="0"/>
    <n v="10"/>
    <n v="0"/>
    <x v="7"/>
    <s v="HK"/>
    <x v="1"/>
    <s v="Banks"/>
    <s v="Commer Banks Non-US"/>
    <s v="N"/>
    <s v=" "/>
    <s v="ACTV"/>
    <x v="2"/>
    <s v="Financial"/>
    <s v="Non-Investment Grade"/>
    <x v="1"/>
    <s v="High"/>
    <s v="High"/>
    <s v="#N/A Field Not Applicable"/>
    <s v="BANK"/>
    <s v="#N/A Field Not Applicable"/>
    <n v="8.5031847830809582E-2"/>
    <s v="12/2/2168"/>
    <n v="148.77260273972604"/>
    <s v="10 yrs or Above"/>
    <n v="1.2650409317557869"/>
    <n v="1.940011298211451"/>
    <n v="1.6496274549956745E-2"/>
    <n v="4.0192594296273603"/>
    <n v="3.4176505621262017E-2"/>
    <s v="XS1618163452"/>
    <s v="-"/>
    <n v="-5.33"/>
    <n v="4242140.0007740837"/>
    <n v="7.7539677631283475E-3"/>
  </r>
  <r>
    <s v="Investments"/>
    <s v="Investments Long"/>
    <s v="Avaliable for Trading"/>
    <s v="United States Dollar"/>
    <m/>
    <s v="NIPLIF V3.4 01/23/50 REGS"/>
    <s v="USJ54675AZ63"/>
    <n v="1235000"/>
    <n v="97.194999999999993"/>
    <n v="1265287.5"/>
    <n v="9834947.1600000001"/>
    <n v="-530850.31999999995"/>
    <n v="61477.42"/>
    <n v="9304096.8399999999"/>
    <n v="2.0999999999999999E-3"/>
    <m/>
    <s v="Investments"/>
    <s v="BBG00RD35MV1"/>
    <s v="BOND"/>
    <s v="Corp"/>
    <s v="#N/A Field Not Applicable"/>
    <n v="0.5"/>
    <n v="3.1026000000000001E-2"/>
    <s v="High"/>
    <n v="1.9"/>
    <n v="8.4969000000000003E-2"/>
    <s v="High"/>
    <n v="1208289.6956561003"/>
    <s v=""/>
    <s v=""/>
    <s v="A-"/>
    <s v="A3"/>
    <s v=""/>
    <n v="15"/>
    <n v="15"/>
    <n v="0"/>
    <x v="4"/>
    <s v="JP"/>
    <x v="1"/>
    <s v="Insurance"/>
    <s v="Life/Health Insurance"/>
    <s v="N"/>
    <s v=" "/>
    <s v="ACTV"/>
    <x v="2"/>
    <s v="Financial"/>
    <s v="Investment Grade"/>
    <x v="9"/>
    <s v="High"/>
    <s v="High"/>
    <s v="#N/A Field Not Applicable"/>
    <s v="FINANCIAL"/>
    <s v="#N/A Field Not Applicable"/>
    <n v="3.6329460667664216E-2"/>
    <s v="1/23/2050"/>
    <n v="29.835616438356166"/>
    <s v="10 yrs or Above"/>
    <n v="7.2260790259518398E-2"/>
    <n v="8.1804161309656358"/>
    <n v="1.9812673738336128E-2"/>
    <n v="3.3103366459663772"/>
    <n v="8.0175163317575317E-3"/>
    <s v="USJ54675AZ63"/>
    <s v="-"/>
    <n v="-8.57"/>
    <n v="1208289.6956561003"/>
    <n v="2.208564391304377E-3"/>
  </r>
  <r>
    <s v="Investments"/>
    <s v="Investments Long"/>
    <s v="Avaliable for Trading"/>
    <s v="United States Dollar"/>
    <m/>
    <s v="OCTOWN V4.3 PERP"/>
    <s v="XS1692254359"/>
    <n v="5000000"/>
    <n v="98.5"/>
    <n v="5022500"/>
    <n v="39073543.25"/>
    <n v="-899375.75"/>
    <n v="791581.09"/>
    <n v="38174167.5"/>
    <n v="8.5000000000000006E-3"/>
    <m/>
    <s v="Investments"/>
    <s v="BBG00HVHMY65"/>
    <s v="BOND"/>
    <s v="Corp"/>
    <s v="#N/A Field Not Applicable"/>
    <n v="1"/>
    <n v="6.7809999999999997E-3"/>
    <s v="High"/>
    <n v="2"/>
    <n v="1.5668999999999999E-2"/>
    <s v="High"/>
    <n v="5027125.0003225356"/>
    <s v=""/>
    <s v=""/>
    <s v=""/>
    <s v=""/>
    <s v=""/>
    <n v="0"/>
    <n v="0"/>
    <n v="0"/>
    <x v="1"/>
    <s v="CN"/>
    <x v="1"/>
    <s v="Real Estate"/>
    <s v="Real Estate Oper/Develop"/>
    <s v="N"/>
    <s v=" "/>
    <s v="ACTV"/>
    <x v="2"/>
    <s v="Financial"/>
    <s v="Non-Investment Grade"/>
    <x v="4"/>
    <s v="High"/>
    <s v="High"/>
    <s v="Real Estate"/>
    <s v="INDUSTRIAL"/>
    <s v="#N/A Field Not Applicable"/>
    <n v="0"/>
    <s v="4/10/2168"/>
    <n v="148.12602739726029"/>
    <s v="10 yrs or Above"/>
    <n v="1.4926145797532708"/>
    <n v="0.48017995944279851"/>
    <n v="4.8386068334059151E-3"/>
    <n v="7.9704315242243338"/>
    <n v="8.0315272805340676E-2"/>
    <s v="XS1692254359"/>
    <s v="-"/>
    <n v="-1.32"/>
    <n v="5027125.0003225356"/>
    <n v="9.1887974434140852E-3"/>
  </r>
  <r>
    <s v="Investments"/>
    <s v="Investments Long"/>
    <s v="Avaliable for Trading"/>
    <s v="United States Dollar"/>
    <m/>
    <s v="ORCL 2.5 04/01/25"/>
    <s v="US68389XBT19"/>
    <n v="4000000"/>
    <n v="102.33499999999999"/>
    <n v="3998520"/>
    <n v="31007722.899999999"/>
    <n v="720629.84"/>
    <n v="0"/>
    <n v="31728352.739999998"/>
    <n v="7.1000000000000004E-3"/>
    <m/>
    <s v="Investments"/>
    <s v="BBG00SXGDG60"/>
    <s v="BOND"/>
    <s v="Corp"/>
    <s v="#N/A Field Not Applicable"/>
    <s v="N.A."/>
    <s v="N.A."/>
    <s v="Not Covered"/>
    <s v="N.A."/>
    <s v="N.A."/>
    <s v="Not Covered"/>
    <n v="4093399.9999999995"/>
    <n v="1.1428571428571429E-3"/>
    <n v="13.44558521560575"/>
    <s v="A+"/>
    <s v=""/>
    <s v=""/>
    <n v="17"/>
    <n v="0"/>
    <n v="0"/>
    <x v="5"/>
    <s v="US"/>
    <x v="10"/>
    <s v="Software"/>
    <s v="Enterprise Software/Serv"/>
    <s v="N"/>
    <s v=" "/>
    <s v="ACTV"/>
    <x v="2"/>
    <s v="Non-Financial"/>
    <s v="Investment Grade"/>
    <x v="2"/>
    <s v="Medium"/>
    <s v="Medium"/>
    <s v="Information Technology"/>
    <s v="INDUSTRIAL"/>
    <s v="#N/A Field Not Applicable"/>
    <n v="0.13948571285721531"/>
    <s v="4/1/2025"/>
    <n v="5.0054794520547947"/>
    <s v="5 - 7 yrs"/>
    <n v="4.1070168797765094E-2"/>
    <n v="4.595987002432385"/>
    <n v="3.7710266077457498E-2"/>
    <n v="2.0633650964850183"/>
    <n v="1.6929997139288801E-2"/>
    <s v="US68389XBT19"/>
    <s v="-"/>
    <n v="-4.8099999999999996"/>
    <n v="4093399.9999999995"/>
    <n v="7.4820943287580814E-3"/>
  </r>
  <r>
    <s v="Investments"/>
    <s v="Investments Long"/>
    <s v="Avaliable for Trading"/>
    <s v="United States Dollar"/>
    <m/>
    <s v="ORCL 2.95 04/01/30"/>
    <s v="US68389XBV64"/>
    <n v="5000000"/>
    <n v="100.72"/>
    <n v="4994850"/>
    <n v="38734062.780000001"/>
    <n v="300476.82"/>
    <n v="0"/>
    <n v="39034539.600000001"/>
    <n v="8.6999999999999994E-3"/>
    <m/>
    <s v="Investments"/>
    <s v="BBG00SXGDGF0"/>
    <s v="BOND"/>
    <s v="Corp"/>
    <s v="#N/A Field Not Applicable"/>
    <s v="N.A."/>
    <s v="N.A."/>
    <s v="Not Covered"/>
    <s v="N.A."/>
    <s v="N.A."/>
    <s v="Not Covered"/>
    <n v="5036000"/>
    <n v="1.5384615384615385E-3"/>
    <n v="13.44558521560575"/>
    <s v="A+"/>
    <s v=""/>
    <s v="A-e"/>
    <n v="17"/>
    <n v="0"/>
    <n v="15"/>
    <x v="4"/>
    <s v="US"/>
    <x v="10"/>
    <s v="Software"/>
    <s v="Enterprise Software/Serv"/>
    <s v="N"/>
    <s v=" "/>
    <s v="ACTV"/>
    <x v="2"/>
    <s v="Non-Financial"/>
    <s v="Investment Grade"/>
    <x v="2"/>
    <s v="Medium"/>
    <s v="Medium"/>
    <s v="Information Technology"/>
    <s v="INDUSTRIAL"/>
    <s v="#N/A Field Not Applicable"/>
    <n v="0.15141663839400077"/>
    <s v="4/1/2030"/>
    <n v="10.008219178082191"/>
    <s v="10 yrs or Above"/>
    <n v="0.1010273936170383"/>
    <n v="8.4279190203037899"/>
    <n v="8.5075144447417345E-2"/>
    <n v="2.7088787575661724"/>
    <n v="2.7344621019172479E-2"/>
    <s v="US68389XBV64"/>
    <s v="-"/>
    <s v="-"/>
    <n v="5036000"/>
    <n v="9.2050195533360298E-3"/>
  </r>
  <r>
    <s v="Investments"/>
    <s v="Investments Long"/>
    <s v="Avaliable for Trading"/>
    <s v="United States Dollar"/>
    <m/>
    <s v="ORIEAS 4.5 03/20/29"/>
    <s v="XS1964673435"/>
    <n v="3000000"/>
    <n v="110.914"/>
    <n v="2972370"/>
    <n v="23332807.260000002"/>
    <n v="2458357.9"/>
    <n v="31973.29"/>
    <n v="25791165.16"/>
    <n v="5.7999999999999996E-3"/>
    <m/>
    <s v="Investments"/>
    <s v="BBG00NL43H88"/>
    <s v="BOND"/>
    <s v="Corp"/>
    <s v="#N/A Field Not Applicable"/>
    <n v="1.3"/>
    <n v="2.9197000000000001E-2"/>
    <s v="High"/>
    <n v="2"/>
    <n v="7.8677999999999998E-2"/>
    <s v="High"/>
    <n v="3331545.0000645067"/>
    <s v=""/>
    <s v=""/>
    <s v="BBB+"/>
    <s v=""/>
    <s v="A-"/>
    <n v="14"/>
    <n v="0"/>
    <n v="15"/>
    <x v="10"/>
    <s v="HK"/>
    <x v="1"/>
    <s v="Diversified Finan Serv"/>
    <s v="Invest Mgmnt/Advis Serv"/>
    <s v="N"/>
    <s v=" "/>
    <s v="ACTV"/>
    <x v="2"/>
    <s v="Financial"/>
    <s v="Investment Grade"/>
    <x v="1"/>
    <s v="High"/>
    <s v="High"/>
    <s v="#N/A Field Not Applicable"/>
    <s v="FINANCIAL"/>
    <s v="#N/A Field Not Applicable"/>
    <n v="9.3491114958346846E-2"/>
    <s v="3/20/2029"/>
    <n v="8.9753424657534246"/>
    <s v="7 - 10 yrs"/>
    <n v="5.9936769589734699E-2"/>
    <n v="7.4335701865145429"/>
    <n v="4.9640911775597929E-2"/>
    <n v="3.0349179839083411"/>
    <n v="2.0266990437337786E-2"/>
    <s v="XS1964673435"/>
    <s v="-"/>
    <n v="-5.23"/>
    <n v="3331545.0000645067"/>
    <n v="6.0895426664838498E-3"/>
  </r>
  <r>
    <s v="Investments"/>
    <s v="Investments Long"/>
    <s v="Avaliable for Trading"/>
    <s v="United States Dollar"/>
    <m/>
    <s v="PNSTTA 6.625 06/17/31 REGS"/>
    <s v="USG7150PAA87"/>
    <n v="5000000"/>
    <n v="102.3"/>
    <n v="5000000"/>
    <n v="38813000"/>
    <n v="833876.5"/>
    <n v="328076.07"/>
    <n v="39646876.5"/>
    <n v="8.8000000000000005E-3"/>
    <m/>
    <s v="Investments"/>
    <s v="BBG00D2WYB33"/>
    <s v="BOND"/>
    <s v="Corp"/>
    <s v="#N/A Field Not Applicable"/>
    <n v="3.3"/>
    <n v="3.1982999999999998E-2"/>
    <s v="Medium"/>
    <n v="6"/>
    <n v="7.5971999999999998E-2"/>
    <s v="Medium"/>
    <n v="5157326.3885125984"/>
    <s v=""/>
    <s v=""/>
    <s v="BBB"/>
    <s v="Baa3"/>
    <s v=""/>
    <n v="13"/>
    <n v="12"/>
    <n v="0"/>
    <x v="11"/>
    <s v="KY"/>
    <x v="7"/>
    <s v="Oil&amp;Gas Services"/>
    <s v="Oil-Field Services"/>
    <s v="N"/>
    <s v=" "/>
    <s v="ACTV"/>
    <x v="2"/>
    <s v="Non-Financial"/>
    <s v="Investment Grade"/>
    <x v="10"/>
    <s v="Medium"/>
    <s v="Medium"/>
    <s v="#N/A Field Not Applicable"/>
    <s v="SPECIAL PURPOSE"/>
    <s v="#N/A Field Not Applicable"/>
    <n v="0.12405163222386816"/>
    <s v="6/17/2031"/>
    <n v="11.219178082191782"/>
    <s v="10 yrs or Above"/>
    <n v="0.1159797794421781"/>
    <n v="5.6760966475407137"/>
    <n v="5.8677421148987635E-2"/>
    <n v="6.7815963628682754"/>
    <n v="7.0105674824771438E-2"/>
    <s v="USG7150PAA87"/>
    <s v="-"/>
    <n v="-2.44"/>
    <n v="5157326.3885125984"/>
    <n v="9.4267851964246127E-3"/>
  </r>
  <r>
    <s v="Investments"/>
    <s v="Investments Long"/>
    <s v="Avaliable for Trading"/>
    <s v="United States Dollar"/>
    <m/>
    <s v="POSABK V4.5 PERP"/>
    <s v="XS1684793018 Perfshs"/>
    <n v="8300000"/>
    <n v="99.430999999999997"/>
    <n v="8602858.4399999995"/>
    <n v="67459236.579999998"/>
    <n v="-3491167.79"/>
    <n v="0"/>
    <n v="63968068.789999999"/>
    <n v="1.43E-2"/>
    <m/>
    <s v="Investments"/>
    <s v="BBG00HPPFXF4"/>
    <s v="BOND"/>
    <s v="Equity"/>
    <s v="#N/A Field Not Applicable"/>
    <n v="0.7"/>
    <n v="2.2934E-2"/>
    <s v="High"/>
    <n v="2"/>
    <n v="6.2914999999999999E-2"/>
    <s v="High"/>
    <n v="8252772.9986711564"/>
    <s v=""/>
    <s v=""/>
    <s v=""/>
    <s v=""/>
    <s v=""/>
    <n v="0"/>
    <n v="0"/>
    <n v="0"/>
    <x v="1"/>
    <s v="CN"/>
    <x v="1"/>
    <s v="Banks"/>
    <s v="Money Center Banks"/>
    <s v="Y"/>
    <s v="Common Equity Tier 1 Ratio"/>
    <s v="ACTV"/>
    <x v="1"/>
    <s v="Financial"/>
    <s v=""/>
    <x v="4"/>
    <s v="High"/>
    <s v="High"/>
    <s v="Financials"/>
    <s v="BANK"/>
    <s v="#N/A Field Not Applicable"/>
    <s v=""/>
    <s v=""/>
    <s v=""/>
    <s v=""/>
    <s v=""/>
    <n v="2.2384485274233623"/>
    <n v="3.7029140499487412E-2"/>
    <n v="3.1514548168521483"/>
    <n v="5.2132386231516732E-2"/>
    <s v="XS1684793018"/>
    <s v="-"/>
    <n v="-5.78"/>
    <n v="8252772.9986711564"/>
    <n v="1.508477697021676E-2"/>
  </r>
  <r>
    <s v="Investments"/>
    <s v="Investments Long"/>
    <s v="Avaliable for Trading"/>
    <s v="United States Dollar"/>
    <m/>
    <s v="PRUFIN 5.25 PERP EMTN"/>
    <s v="XS0873630742"/>
    <n v="0"/>
    <s v="NA"/>
    <n v="0"/>
    <n v="0"/>
    <n v="0.01"/>
    <n v="13564.43"/>
    <n v="0.01"/>
    <n v="0"/>
    <m/>
    <s v="Investments"/>
    <s v="BBG003T3TLJ7"/>
    <s v="BOND"/>
    <s v="Corp"/>
    <s v="#N/A Field Not Applicable"/>
    <n v="0.1"/>
    <n v="3.2030999999999997E-2"/>
    <s v="High"/>
    <n v="0.1"/>
    <n v="9.0606000000000006E-2"/>
    <s v="High"/>
    <n v="1750.0019352091961"/>
    <s v=""/>
    <s v=""/>
    <s v="BBB+"/>
    <s v="Baa1"/>
    <s v="BBB"/>
    <n v="14"/>
    <n v="14"/>
    <n v="13"/>
    <x v="10"/>
    <s v="GB"/>
    <x v="1"/>
    <s v="Insurance"/>
    <s v="Life/Health Insurance"/>
    <s v="N"/>
    <s v=" "/>
    <s v="ACTV"/>
    <x v="2"/>
    <s v="Financial"/>
    <s v="Investment Grade"/>
    <x v="11"/>
    <s v="High"/>
    <s v="High"/>
    <s v="Financials"/>
    <s v="FINANCIAL"/>
    <s v="#N/A Field Not Applicable"/>
    <n v="4.9109236735149767E-5"/>
    <s v="3/23/2169"/>
    <n v="149.07671232876712"/>
    <s v="10 yrs or Above"/>
    <n v="5.229316826750889E-4"/>
    <n v="17.339798413564203"/>
    <n v="6.0824590373678491E-5"/>
    <n v="5.7540417269072943"/>
    <n v="2.0184042667901451E-5"/>
    <s v="XS0873630742"/>
    <s v="-"/>
    <s v="-"/>
    <n v="1750.0019352091961"/>
    <n v="3.1987295536093211E-6"/>
  </r>
  <r>
    <s v="Investments"/>
    <s v="Investments Long"/>
    <s v="Avaliable for Trading"/>
    <s v="United States Dollar"/>
    <m/>
    <s v="PWCNPG 4.5 12/06/21"/>
    <s v="XS1917764372"/>
    <n v="4000000"/>
    <n v="104.232"/>
    <n v="3977274.31"/>
    <n v="31100002.75"/>
    <n v="1216503.45"/>
    <n v="445688.25"/>
    <n v="32316506.199999999"/>
    <n v="7.1999999999999998E-3"/>
    <m/>
    <s v="Investments"/>
    <s v="BBG00MNS44N6"/>
    <s v="BOND"/>
    <s v="Corp"/>
    <s v="#N/A Field Not Applicable"/>
    <n v="2.6"/>
    <n v="4.1019999999999997E-3"/>
    <s v="High"/>
    <n v="8.5"/>
    <n v="1.0508999999999999E-2"/>
    <s v="Low"/>
    <n v="4226779.9989678878"/>
    <s v=""/>
    <s v=""/>
    <s v=""/>
    <s v="Baa1"/>
    <s v="BBB+"/>
    <n v="0"/>
    <n v="14"/>
    <n v="14"/>
    <x v="10"/>
    <s v="CN"/>
    <x v="1"/>
    <s v="Real Estate"/>
    <s v="Real Estate Oper/Develop"/>
    <s v="N"/>
    <s v=" "/>
    <s v="ACTV"/>
    <x v="2"/>
    <s v="Financial"/>
    <s v="Investment Grade"/>
    <x v="4"/>
    <s v="High"/>
    <s v="Low"/>
    <s v="#N/A Field Not Applicable"/>
    <s v="FINANCIAL"/>
    <s v="#N/A Field Not Applicable"/>
    <n v="0.11861354860267433"/>
    <s v="12/6/2021"/>
    <n v="1.6849315068493151"/>
    <s v="1 - 2 yrs"/>
    <n v="1.4275407512846325E-2"/>
    <n v="1.5846925574513486"/>
    <n v="1.3426143405967988E-2"/>
    <n v="2.0052693798907613"/>
    <n v="1.6989436932366243E-2"/>
    <s v="XS1917764372"/>
    <s v="-"/>
    <n v="-0.96"/>
    <n v="4226779.9989678878"/>
    <n v="7.7258920846205413E-3"/>
  </r>
  <r>
    <s v="Investments"/>
    <s v="Investments Long"/>
    <s v="Avaliable for Trading"/>
    <s v="United States Dollar"/>
    <m/>
    <s v="PWRLNG 5.95 07/19/20"/>
    <s v="XS1645451565"/>
    <n v="1500000"/>
    <n v="98.509"/>
    <n v="1440000"/>
    <n v="11170944"/>
    <n v="282352.65000000002"/>
    <n v="138357.14000000001"/>
    <n v="11453296.65"/>
    <n v="2.5999999999999999E-3"/>
    <m/>
    <s v="Investments"/>
    <s v="BBG00H4BZMF0"/>
    <s v="BOND"/>
    <s v="Corp"/>
    <s v="#N/A Field Not Applicable"/>
    <n v="0.9"/>
    <n v="1.6150000000000001E-2"/>
    <s v="High"/>
    <n v="2"/>
    <n v="4.1737000000000003E-2"/>
    <s v="High"/>
    <n v="1495485.0008385908"/>
    <s v=""/>
    <s v=""/>
    <s v="B"/>
    <s v="B2"/>
    <s v=""/>
    <n v="7"/>
    <n v="7"/>
    <n v="0"/>
    <x v="8"/>
    <s v="CN"/>
    <x v="1"/>
    <s v="Real Estate"/>
    <s v="Real Estate Oper/Develop"/>
    <s v="N"/>
    <s v=" "/>
    <s v="ACTV"/>
    <x v="2"/>
    <s v="Financial"/>
    <s v="Non-Investment Grade"/>
    <x v="4"/>
    <s v="High"/>
    <s v="High"/>
    <s v="Real Estate"/>
    <s v="FINANCIAL"/>
    <s v="#N/A Field Not Applicable"/>
    <n v="2.0983441635814164E-2"/>
    <s v="7/19/2020"/>
    <n v="0.30136986301369861"/>
    <s v="0 - 1 yr"/>
    <n v="9.0339670447732207E-4"/>
    <n v="0.27002902558052999"/>
    <n v="8.0944832832068872E-4"/>
    <n v="17.389382838343767"/>
    <n v="5.2127014267316411E-2"/>
    <s v="XS1645451565"/>
    <s v="-"/>
    <n v="-0.66"/>
    <n v="1495485.0008385908"/>
    <n v="2.733512445281965E-3"/>
  </r>
  <r>
    <s v="Investments"/>
    <s v="Investments Long"/>
    <s v="Avaliable for Trading"/>
    <s v="United States Dollar"/>
    <m/>
    <s v="PWRLNG 7.125 11/08/22"/>
    <s v="XS2078556342"/>
    <n v="6000000"/>
    <n v="90.688000000000002"/>
    <n v="6037407.5"/>
    <n v="47253281.93"/>
    <n v="-5077376.54"/>
    <n v="1316233.67"/>
    <n v="42175905.390000001"/>
    <n v="9.4000000000000004E-3"/>
    <m/>
    <s v="Investments"/>
    <s v="BBG00QRVV8P5"/>
    <s v="BOND"/>
    <s v="Corp"/>
    <s v="#N/A Field Not Applicable"/>
    <n v="2"/>
    <n v="4.1144E-2"/>
    <s v="High"/>
    <n v="2"/>
    <n v="0.10750700000000001"/>
    <s v="High"/>
    <n v="5611092.4978390168"/>
    <s v=""/>
    <s v=""/>
    <s v=""/>
    <s v="B2"/>
    <s v=""/>
    <n v="0"/>
    <n v="7"/>
    <n v="0"/>
    <x v="8"/>
    <s v="CN"/>
    <x v="1"/>
    <s v="Real Estate"/>
    <s v="Real Estate Oper/Develop"/>
    <s v="N"/>
    <s v=" "/>
    <s v="ACTV"/>
    <x v="2"/>
    <s v="Financial"/>
    <s v="Non-Investment Grade"/>
    <x v="4"/>
    <s v="High"/>
    <s v="High"/>
    <s v="Real Estate"/>
    <s v="FINANCIAL"/>
    <s v="#N/A Field Not Applicable"/>
    <n v="7.8730332885677337E-2"/>
    <s v="11/8/2022"/>
    <n v="2.6082191780821917"/>
    <s v="2 - 3 yrs"/>
    <n v="2.9335137732745532E-2"/>
    <n v="2.2025398826153304"/>
    <n v="2.4772385450326524E-2"/>
    <n v="11.05183809838371"/>
    <n v="0.12430212749776583"/>
    <s v="XS2078556342"/>
    <s v="-"/>
    <n v="-5.38"/>
    <n v="5611092.4978390168"/>
    <n v="1.0256198601704776E-2"/>
  </r>
  <r>
    <s v="Investments"/>
    <s v="Investments Long"/>
    <s v="Avaliable for Trading"/>
    <s v="United States Dollar"/>
    <m/>
    <s v="PWRLNG 9.125 01/14/21"/>
    <s v="XS1932406314"/>
    <n v="1000000"/>
    <n v="95.513000000000005"/>
    <n v="1037500"/>
    <n v="8118852.5"/>
    <n v="-715544.36"/>
    <n v="151281.01999999999"/>
    <n v="7403308.1399999997"/>
    <n v="1.6999999999999999E-3"/>
    <m/>
    <s v="Investments"/>
    <s v="BBG00N0J9QB8"/>
    <s v="BOND"/>
    <s v="Corp"/>
    <s v="#N/A Field Not Applicable"/>
    <n v="1"/>
    <n v="2.3612999999999999E-2"/>
    <s v="High"/>
    <n v="2"/>
    <n v="5.9926E-2"/>
    <s v="High"/>
    <n v="974647.36101972614"/>
    <s v=""/>
    <s v=""/>
    <s v="B"/>
    <s v="B2"/>
    <s v=""/>
    <n v="7"/>
    <n v="7"/>
    <n v="0"/>
    <x v="8"/>
    <s v="CN"/>
    <x v="1"/>
    <s v="Real Estate"/>
    <s v="Real Estate Oper/Develop"/>
    <s v="N"/>
    <s v=" "/>
    <s v="ACTV"/>
    <x v="2"/>
    <s v="Financial"/>
    <s v="Non-Investment Grade"/>
    <x v="4"/>
    <s v="High"/>
    <s v="High"/>
    <s v="Real Estate"/>
    <s v="FINANCIAL"/>
    <s v="#N/A Field Not Applicable"/>
    <n v="1.3675467158807743E-2"/>
    <s v="1/14/2021"/>
    <n v="0.79178082191780819"/>
    <s v="0 - 1 yr"/>
    <n v="1.5468532324443983E-3"/>
    <n v="0.68429115996060574"/>
    <n v="1.3368573264433887E-3"/>
    <n v="18.246001183753865"/>
    <n v="3.5646084281141882E-2"/>
    <s v="XS1932406314"/>
    <s v="-"/>
    <n v="-2.31"/>
    <n v="974647.36101972614"/>
    <n v="1.7815027831203215E-3"/>
  </r>
  <r>
    <s v="Investments"/>
    <s v="Investments Long"/>
    <s v="Avaliable for Trading"/>
    <s v="United States Dollar"/>
    <m/>
    <s v="REDSUN 11.5 03/04/21"/>
    <s v="XS1958110089"/>
    <n v="3700000"/>
    <n v="96.513999999999996"/>
    <n v="3812161"/>
    <n v="29691192.649999999"/>
    <n v="-2011874.96"/>
    <n v="247356.97"/>
    <n v="27679317.690000001"/>
    <n v="6.1999999999999998E-3"/>
    <m/>
    <s v="Investments"/>
    <s v="BBG00NG9L0S8"/>
    <s v="BOND"/>
    <s v="Corp"/>
    <s v="#N/A Field Not Applicable"/>
    <n v="0.9"/>
    <n v="1.4886999999999999E-2"/>
    <s v="High"/>
    <n v="2"/>
    <n v="3.7331999999999997E-2"/>
    <s v="High"/>
    <n v="3602930.5079279072"/>
    <s v=""/>
    <s v=""/>
    <s v=""/>
    <s v=""/>
    <s v="B+"/>
    <n v="0"/>
    <n v="0"/>
    <n v="8"/>
    <x v="9"/>
    <s v="CN"/>
    <x v="1"/>
    <s v="Real Estate"/>
    <s v="Real Estate Oper/Develop"/>
    <s v="N"/>
    <s v=" "/>
    <s v="ACTV"/>
    <x v="2"/>
    <s v="Financial"/>
    <s v="Non-Investment Grade"/>
    <x v="4"/>
    <s v="High"/>
    <s v="High"/>
    <s v="Real Estate"/>
    <s v="FINANCIAL"/>
    <s v="#N/A Field Not Applicable"/>
    <n v="5.777533766244463E-2"/>
    <s v="3/4/2021"/>
    <n v="0.92602739726027394"/>
    <s v="0 - 1 yr"/>
    <n v="6.687693195173385E-3"/>
    <n v="0.82972793614594542"/>
    <n v="5.9922264598494118E-3"/>
    <n v="12.368650827318085"/>
    <n v="8.9325372247147192E-2"/>
    <s v="XS1958110089"/>
    <s v="-"/>
    <n v="-2.76"/>
    <n v="3602930.5079279072"/>
    <n v="6.5855928861769846E-3"/>
  </r>
  <r>
    <s v="Investments"/>
    <s v="Investments Long"/>
    <s v="Avaliable for Trading"/>
    <s v="United States Dollar"/>
    <m/>
    <s v="REDSUN 13.5 12/03/20"/>
    <s v="XS1908223545"/>
    <n v="1100000"/>
    <n v="100.251"/>
    <n v="1155000"/>
    <n v="9014775"/>
    <n v="-467164.21"/>
    <n v="377284.79"/>
    <n v="8547610.7899999991"/>
    <n v="1.9E-3"/>
    <m/>
    <s v="Investments"/>
    <s v="BBG00MNWHQT8"/>
    <s v="BOND"/>
    <s v="Corp"/>
    <s v="#N/A Field Not Applicable"/>
    <n v="1"/>
    <n v="1.4616000000000001E-2"/>
    <s v="High"/>
    <n v="2"/>
    <n v="3.6872000000000002E-2"/>
    <s v="High"/>
    <n v="1151436.0000516053"/>
    <s v=""/>
    <s v=""/>
    <s v=""/>
    <s v=""/>
    <s v="B+"/>
    <n v="0"/>
    <n v="0"/>
    <n v="8"/>
    <x v="9"/>
    <s v="CN"/>
    <x v="1"/>
    <s v="Real Estate"/>
    <s v="Real Estate Oper/Develop"/>
    <s v="N"/>
    <s v=" "/>
    <s v="ACTV"/>
    <x v="2"/>
    <s v="Financial"/>
    <s v="Non-Investment Grade"/>
    <x v="4"/>
    <s v="High"/>
    <s v="High"/>
    <s v="Real Estate"/>
    <s v="FINANCIAL"/>
    <s v="#N/A Field Not Applicable"/>
    <n v="1.8464026312274139E-2"/>
    <s v="12/3/2020"/>
    <n v="0.67671232876712328"/>
    <s v="0 - 1 yr"/>
    <n v="1.561854280524559E-3"/>
    <n v="0.59899329218480069"/>
    <n v="1.3824784884719839E-3"/>
    <n v="8.5586311052623181"/>
    <n v="1.975334874057642E-2"/>
    <s v="XS1908223545"/>
    <s v="-"/>
    <n v="-1.69"/>
    <n v="1151436.0000516053"/>
    <n v="2.104644736872528E-3"/>
  </r>
  <r>
    <s v="Investments"/>
    <s v="Investments Long"/>
    <s v="Avaliable for Trading"/>
    <s v="United States Dollar"/>
    <m/>
    <s v="REDSUN 9.95 04/11/22"/>
    <s v="XS1976473618"/>
    <n v="410000"/>
    <n v="84.558999999999997"/>
    <n v="415125"/>
    <n v="3224358.9"/>
    <n v="-537115.31000000006"/>
    <n v="149319.56"/>
    <n v="2687243.59"/>
    <n v="5.9999999999999995E-4"/>
    <m/>
    <s v="Investments"/>
    <s v="BBG00NTXM180"/>
    <s v="BOND"/>
    <s v="Corp"/>
    <s v="#N/A Field Not Applicable"/>
    <n v="0.5"/>
    <n v="2.1052000000000001E-2"/>
    <s v="High"/>
    <n v="1.9"/>
    <n v="5.6417000000000002E-2"/>
    <s v="High"/>
    <n v="365956.20621589193"/>
    <s v=""/>
    <s v=""/>
    <s v=""/>
    <s v="B3"/>
    <s v="B+"/>
    <n v="0"/>
    <n v="6"/>
    <n v="8"/>
    <x v="12"/>
    <s v="CN"/>
    <x v="1"/>
    <s v="Real Estate"/>
    <s v="Real Estate Oper/Develop"/>
    <s v="N"/>
    <s v=" "/>
    <s v="ACTV"/>
    <x v="2"/>
    <s v="Financial"/>
    <s v="Non-Investment Grade"/>
    <x v="4"/>
    <s v="High"/>
    <s v="High"/>
    <s v="Real Estate"/>
    <s v="FINANCIAL"/>
    <s v="#N/A Field Not Applicable"/>
    <n v="4.401259614347266E-3"/>
    <s v="4/11/2022"/>
    <n v="2.0301369863013701"/>
    <s v="2 - 3 yrs"/>
    <n v="1.4891933215668148E-3"/>
    <n v="1.6529672887920448"/>
    <n v="1.2125230286662535E-3"/>
    <n v="14.445036055115644"/>
    <n v="1.059605896952844E-2"/>
    <s v="XS1976473618"/>
    <s v="-"/>
    <n v="-6.59"/>
    <n v="365956.20621589193"/>
    <n v="6.6891065009570241E-4"/>
  </r>
  <r>
    <s v="Investments"/>
    <s v="Investments Long"/>
    <s v="Avaliable for Trading"/>
    <s v="United States Dollar"/>
    <m/>
    <s v="RIBL V3.174 02/25/30"/>
    <s v="XS2120069047"/>
    <n v="5000000"/>
    <n v="90.495999999999995"/>
    <n v="5000000"/>
    <n v="38838000"/>
    <n v="-3765822.72"/>
    <n v="123009.96"/>
    <n v="35072177.280000001"/>
    <n v="7.7999999999999996E-3"/>
    <m/>
    <s v="Investments"/>
    <s v="BBG00RPXTTD1"/>
    <s v="BOND"/>
    <s v="Corp"/>
    <s v="#N/A Field Not Applicable"/>
    <n v="0.5"/>
    <n v="2.3942000000000001E-2"/>
    <s v="High"/>
    <n v="1.8"/>
    <n v="6.6052E-2"/>
    <s v="High"/>
    <n v="4540670.0003870418"/>
    <s v=""/>
    <s v=""/>
    <s v=""/>
    <s v="Baa3"/>
    <s v="BBB-"/>
    <n v="0"/>
    <n v="12"/>
    <n v="12"/>
    <x v="11"/>
    <s v="SA"/>
    <x v="1"/>
    <s v="Banks"/>
    <s v="Commer Banks Non-US"/>
    <s v="N"/>
    <s v=" "/>
    <s v="ACTV"/>
    <x v="2"/>
    <s v="Financial"/>
    <s v="Investment Grade"/>
    <x v="12"/>
    <s v="High"/>
    <s v="High"/>
    <s v="Financials"/>
    <s v="BANK"/>
    <s v="#N/A Field Not Applicable"/>
    <n v="0.10921890190867228"/>
    <s v="2/25/2030"/>
    <n v="9.912328767123288"/>
    <s v="7 - 10 yrs"/>
    <n v="9.0217805275245727E-2"/>
    <n v="4.4083938038906636"/>
    <n v="4.0123327536827756E-2"/>
    <n v="3.8273294055728826"/>
    <n v="3.4834726243286804E-2"/>
    <s v="XS2120069047"/>
    <s v="-"/>
    <n v="-5.03"/>
    <n v="4540670.0003870418"/>
    <n v="8.2996338639414278E-3"/>
  </r>
  <r>
    <s v="Investments"/>
    <s v="Investments Long"/>
    <s v="Avaliable for Trading"/>
    <s v="United States Dollar"/>
    <m/>
    <s v="ROADKG 6.7 09/30/24"/>
    <s v="XS2057076387"/>
    <n v="1400000"/>
    <n v="90.08"/>
    <n v="1448300"/>
    <n v="11256911.75"/>
    <n v="-1481844.52"/>
    <n v="2019.59"/>
    <n v="9775067.2300000004"/>
    <n v="2.2000000000000001E-3"/>
    <m/>
    <s v="Investments"/>
    <s v="BBG00QDN9PZ4"/>
    <s v="BOND"/>
    <s v="Corp"/>
    <s v="#N/A Field Not Applicable"/>
    <n v="0.7"/>
    <n v="1.9406E-2"/>
    <s v="High"/>
    <n v="2"/>
    <n v="5.1122000000000001E-2"/>
    <s v="High"/>
    <n v="1261380.5550179975"/>
    <s v=""/>
    <s v=""/>
    <s v="BB-"/>
    <s v="Ba3"/>
    <s v=""/>
    <n v="9"/>
    <n v="9"/>
    <n v="0"/>
    <x v="3"/>
    <s v="CN"/>
    <x v="1"/>
    <s v="Real Estate"/>
    <s v="Real Estate Oper/Develop"/>
    <s v="N"/>
    <s v=" "/>
    <s v="ACTV"/>
    <x v="2"/>
    <s v="Financial"/>
    <s v="Non-Investment Grade"/>
    <x v="4"/>
    <s v="High"/>
    <s v="High"/>
    <s v="#N/A Field Not Applicable"/>
    <s v="SPECIAL PURPOSE"/>
    <s v="#N/A Field Not Applicable"/>
    <n v="2.2755441228322171E-2"/>
    <s v="9/30/2024"/>
    <n v="4.5041095890410956"/>
    <s v="3 - 5 yrs"/>
    <n v="1.1388111226594109E-2"/>
    <n v="3.7761216867606082"/>
    <n v="9.5474794571193122E-3"/>
    <n v="7.8657961603064237"/>
    <n v="1.988774024886834E-2"/>
    <s v="XS2057076387"/>
    <s v="-"/>
    <n v="-4.91"/>
    <n v="1261380.5550179975"/>
    <n v="2.3056061702022477E-3"/>
  </r>
  <r>
    <s v="Investments"/>
    <s v="Investments Long"/>
    <s v="Avaliable for Trading"/>
    <s v="United States Dollar"/>
    <m/>
    <s v="RONXIN 10.5 03/01/22"/>
    <s v="XS1957481440"/>
    <n v="6000000"/>
    <n v="95.944000000000003"/>
    <n v="6165609.4400000004"/>
    <n v="48393696.890000001"/>
    <n v="-3773404.58"/>
    <n v="406932.76"/>
    <n v="44620292.310000002"/>
    <n v="9.9000000000000008E-3"/>
    <m/>
    <s v="Investments"/>
    <s v="BBG00NG9J699"/>
    <s v="BOND"/>
    <s v="Corp"/>
    <s v="#N/A Field Not Applicable"/>
    <n v="2.2999999999999998"/>
    <n v="4.3303000000000001E-2"/>
    <s v="High"/>
    <n v="3.3"/>
    <n v="0.11279699999999999"/>
    <s v="Medium"/>
    <n v="5809140.0020642234"/>
    <s v=""/>
    <s v=""/>
    <s v=""/>
    <s v=""/>
    <s v="BB-"/>
    <n v="0"/>
    <n v="0"/>
    <n v="9"/>
    <x v="3"/>
    <s v="CN"/>
    <x v="1"/>
    <s v="Real Estate"/>
    <s v="Real Estate Oper/Develop"/>
    <s v="N"/>
    <s v=" "/>
    <s v="ACTV"/>
    <x v="2"/>
    <s v="Financial"/>
    <s v="Non-Investment Grade"/>
    <x v="4"/>
    <s v="High"/>
    <s v="Medium"/>
    <s v="Real Estate"/>
    <s v="FINANCIAL"/>
    <s v="#N/A Field Not Applicable"/>
    <n v="0.10479751204201947"/>
    <s v="3/1/2022"/>
    <n v="1.9178082191780821"/>
    <s v="1 - 2 yrs"/>
    <n v="2.2331281104844329E-2"/>
    <n v="1.6354107665588511"/>
    <n v="1.9042997722455497E-2"/>
    <n v="14.036555228425867"/>
    <n v="0.16344400728660347"/>
    <s v="XS1957481440"/>
    <s v="-"/>
    <n v="-4.5999999999999996"/>
    <n v="5809140.0020642234"/>
    <n v="1.0618198432698109E-2"/>
  </r>
  <r>
    <s v="Investments"/>
    <s v="Investments Long"/>
    <s v="Avaliable for Trading"/>
    <s v="United States Dollar"/>
    <m/>
    <s v="RONXIN 11.25 08/22/21"/>
    <s v="XS1950819729"/>
    <n v="4000000"/>
    <n v="98.454999999999998"/>
    <n v="4237681.24"/>
    <n v="33254139.190000001"/>
    <n v="-2728757.18"/>
    <n v="377866.14"/>
    <n v="30525382.010000002"/>
    <n v="6.7999999999999996E-3"/>
    <m/>
    <s v="Investments"/>
    <s v="BBG00NDFM319"/>
    <s v="BOND"/>
    <s v="Corp"/>
    <s v="#N/A Field Not Applicable"/>
    <n v="1.5"/>
    <n v="3.3452999999999997E-2"/>
    <s v="High"/>
    <n v="2"/>
    <n v="8.7932999999999997E-2"/>
    <s v="High"/>
    <n v="3986950.0006450699"/>
    <s v=""/>
    <s v=""/>
    <s v=""/>
    <s v=""/>
    <s v="BB-"/>
    <n v="0"/>
    <n v="0"/>
    <n v="9"/>
    <x v="3"/>
    <s v="CN"/>
    <x v="1"/>
    <s v="Real Estate"/>
    <s v="Real Estate Oper/Develop"/>
    <s v="N"/>
    <s v=" "/>
    <s v="ACTV"/>
    <x v="2"/>
    <s v="Financial"/>
    <s v="Non-Investment Grade"/>
    <x v="4"/>
    <s v="High"/>
    <s v="High"/>
    <s v="Real Estate"/>
    <s v="FINANCIAL"/>
    <s v="#N/A Field Not Applicable"/>
    <n v="7.1925007928034426E-2"/>
    <s v="8/22/2021"/>
    <n v="1.3945205479452054"/>
    <s v="1 - 2 yrs"/>
    <n v="1.1144544607418424E-2"/>
    <n v="1.2228778157632325"/>
    <n v="9.7728329548653244E-3"/>
    <n v="11.979280295754716"/>
    <n v="9.5734425582700511E-2"/>
    <s v="XS1950819729"/>
    <s v="-"/>
    <n v="-3.3"/>
    <n v="3986950.0006450699"/>
    <n v="7.2875203959711999E-3"/>
  </r>
  <r>
    <s v="Investments"/>
    <s v="Investments Long"/>
    <s v="Avaliable for Trading"/>
    <s v="United States Dollar"/>
    <m/>
    <s v="RONXIN 8.75 10/25/22"/>
    <s v="XS1976760782"/>
    <n v="3100000"/>
    <n v="94.179000000000002"/>
    <n v="3269250"/>
    <n v="25442212.329999998"/>
    <n v="-2812496.07"/>
    <n v="911077.21"/>
    <n v="22629716.260000002"/>
    <n v="5.0000000000000001E-3"/>
    <m/>
    <s v="Investments"/>
    <s v="BBG00NWVJPB7"/>
    <s v="BOND"/>
    <s v="Corp"/>
    <s v="#N/A Field Not Applicable"/>
    <n v="1.2"/>
    <n v="2.5087999999999999E-2"/>
    <s v="High"/>
    <n v="2.2000000000000002"/>
    <n v="6.5967999999999999E-2"/>
    <s v="High"/>
    <n v="3037090.6671311171"/>
    <s v=""/>
    <s v=""/>
    <s v=""/>
    <s v="B2"/>
    <s v="BB-"/>
    <n v="0"/>
    <n v="7"/>
    <n v="9"/>
    <x v="8"/>
    <s v="CN"/>
    <x v="1"/>
    <s v="Real Estate"/>
    <s v="Real Estate Oper/Develop"/>
    <s v="N"/>
    <s v=" "/>
    <s v="ACTV"/>
    <x v="2"/>
    <s v="Financial"/>
    <s v="Non-Investment Grade"/>
    <x v="4"/>
    <s v="High"/>
    <s v="High"/>
    <s v="Real Estate"/>
    <s v="FINANCIAL"/>
    <s v="#N/A Field Not Applicable"/>
    <n v="4.2614011321200795E-2"/>
    <s v="10/25/2022"/>
    <n v="2.56986301369863"/>
    <s v="2 - 3 yrs"/>
    <n v="1.5644595937098375E-2"/>
    <n v="2.1245614233218268"/>
    <n v="1.2933726363717545E-2"/>
    <n v="11.070964937272679"/>
    <n v="6.7396889310507871E-2"/>
    <s v="XS1976760782"/>
    <s v="-"/>
    <n v="-5.22"/>
    <n v="3037090.6671311171"/>
    <n v="5.5513262462661434E-3"/>
  </r>
  <r>
    <s v="Investments"/>
    <s v="Investments Long"/>
    <s v="Avaliable for Trading"/>
    <s v="United States Dollar"/>
    <m/>
    <s v="SHCMBK V5 01/17/29"/>
    <s v="XS1892105823"/>
    <n v="1500000"/>
    <n v="109.608"/>
    <n v="1495507.5"/>
    <n v="11723282.57"/>
    <n v="1020455.97"/>
    <n v="119496.12"/>
    <n v="12743738.539999999"/>
    <n v="2.8E-3"/>
    <m/>
    <s v="Investments"/>
    <s v="BBG00N14WRV0"/>
    <s v="BOND"/>
    <s v="Corp"/>
    <s v="#N/A Field Not Applicable"/>
    <n v="1.3"/>
    <n v="1.4227E-2"/>
    <s v="High"/>
    <n v="2"/>
    <n v="3.7482000000000001E-2"/>
    <s v="High"/>
    <n v="1659536.6670537083"/>
    <s v=""/>
    <s v=""/>
    <s v=""/>
    <s v="A3"/>
    <s v="BBB+"/>
    <n v="0"/>
    <n v="15"/>
    <n v="14"/>
    <x v="10"/>
    <s v="HK"/>
    <x v="1"/>
    <s v="Banks"/>
    <s v="Commer Banks Non-US"/>
    <s v="N"/>
    <s v=" "/>
    <s v="ACTV"/>
    <x v="2"/>
    <s v="Financial"/>
    <s v="Investment Grade"/>
    <x v="1"/>
    <s v="High"/>
    <s v="High"/>
    <s v="#N/A Field Not Applicable"/>
    <s v="BANK"/>
    <s v="#N/A Field Not Applicable"/>
    <n v="4.6570565102409214E-2"/>
    <s v="1/17/2029"/>
    <n v="8.8054794520547937"/>
    <s v="7 - 10 yrs"/>
    <n v="2.9291153862846031E-2"/>
    <n v="3.4293459420823802"/>
    <n v="1.1407612746745026E-2"/>
    <n v="2.6552067929181518"/>
    <n v="8.8324629149967131E-3"/>
    <s v="XS1892105823"/>
    <s v="-"/>
    <n v="-1.57"/>
    <n v="1659536.6670537083"/>
    <n v="3.0333732068521624E-3"/>
  </r>
  <r>
    <s v="Investments"/>
    <s v="Investments Long"/>
    <s v="Avaliable for Trading"/>
    <s v="United States Dollar"/>
    <m/>
    <s v="SHIMAO 6.125 02/21/24"/>
    <s v="XS1953029284"/>
    <n v="1500000"/>
    <n v="99.846000000000004"/>
    <n v="1500750"/>
    <n v="11778403.57"/>
    <n v="-169658.61"/>
    <n v="79125.8"/>
    <n v="11608744.960000001"/>
    <n v="2.5999999999999999E-3"/>
    <m/>
    <s v="Investments"/>
    <s v="BBG00NB7HXS0"/>
    <s v="BOND"/>
    <s v="Corp"/>
    <s v="#N/A Field Not Applicable"/>
    <n v="1"/>
    <n v="3.7827E-2"/>
    <s v="High"/>
    <n v="2"/>
    <n v="0.102607"/>
    <s v="High"/>
    <n v="1507898.3318496731"/>
    <s v=""/>
    <s v=""/>
    <s v=""/>
    <s v=""/>
    <s v="BBB-"/>
    <n v="0"/>
    <n v="0"/>
    <n v="12"/>
    <x v="11"/>
    <s v="CN"/>
    <x v="1"/>
    <s v="Real Estate"/>
    <s v="Real Estate Oper/Develop"/>
    <s v="N"/>
    <s v=" "/>
    <s v="ACTV"/>
    <x v="2"/>
    <s v="Financial"/>
    <s v="Investment Grade"/>
    <x v="4"/>
    <s v="High"/>
    <s v="High"/>
    <s v="Real Estate"/>
    <s v="FINANCIAL"/>
    <s v="#N/A Field Not Applicable"/>
    <n v="3.6270198006131682E-2"/>
    <s v="2/21/2024"/>
    <n v="3.8958904109589043"/>
    <s v="3 - 5 yrs"/>
    <n v="1.1775393051305766E-2"/>
    <n v="3.3783741024584106"/>
    <n v="1.0211191469579495E-2"/>
    <n v="6.0533207365365742"/>
    <n v="1.8296261809067033E-2"/>
    <s v="XS1953029284"/>
    <s v="-"/>
    <n v="-4.07"/>
    <n v="1507898.3318496731"/>
    <n v="2.756202070913229E-3"/>
  </r>
  <r>
    <s v="Investments"/>
    <s v="Investments Long"/>
    <s v="Avaliable for Trading"/>
    <s v="United States Dollar"/>
    <m/>
    <s v="SHINFN V5.875 PERP"/>
    <s v="XS1856024432"/>
    <n v="5000000"/>
    <n v="104.727"/>
    <n v="4979900"/>
    <n v="38970386.649999999"/>
    <n v="1617085.83"/>
    <n v="303584.75"/>
    <n v="40587472.479999997"/>
    <n v="8.9999999999999993E-3"/>
    <m/>
    <s v="Investments"/>
    <s v="BBG00LNF6KZ5"/>
    <s v="BOND"/>
    <s v="Corp"/>
    <s v="#N/A Field Not Applicable"/>
    <n v="4.5999999999999996"/>
    <n v="1.7232000000000001E-2"/>
    <s v="Medium"/>
    <n v="8.6"/>
    <n v="3.9209000000000001E-2"/>
    <s v="Low"/>
    <n v="5275516.6660215966"/>
    <s v=""/>
    <s v=""/>
    <s v=""/>
    <s v="Baa3"/>
    <s v=""/>
    <n v="0"/>
    <n v="12"/>
    <n v="0"/>
    <x v="11"/>
    <s v="KR"/>
    <x v="1"/>
    <s v="Banks"/>
    <s v="Commer Banks Non-US"/>
    <s v="N"/>
    <s v=" "/>
    <s v="ACTV"/>
    <x v="2"/>
    <s v="Financial"/>
    <s v="Investment Grade"/>
    <x v="13"/>
    <s v="Medium"/>
    <s v="Low"/>
    <s v="Financials"/>
    <s v="BANK"/>
    <s v="#N/A Field Not Applicable"/>
    <n v="0.12689451935830287"/>
    <s v="2/13/2169"/>
    <n v="148.97260273972603"/>
    <s v="10 yrs or Above"/>
    <n v="1.5753172351844107"/>
    <n v="2.9965954906894336"/>
    <n v="3.1687628708524457E-2"/>
    <n v="3.6054502307973517"/>
    <n v="3.8125989508942679E-2"/>
    <s v="XS1856024432"/>
    <s v="-"/>
    <n v="-2.42"/>
    <n v="5275516.6660215966"/>
    <n v="9.6428185195946963E-3"/>
  </r>
  <r>
    <s v="Investments"/>
    <s v="Investments Long"/>
    <s v="Avaliable for Trading"/>
    <s v="United States Dollar"/>
    <m/>
    <s v="SIB V5 PERP"/>
    <s v="XS2010323009"/>
    <n v="3000000"/>
    <n v="103.56"/>
    <n v="3000000"/>
    <n v="23431200"/>
    <n v="649917.48"/>
    <n v="287436.62"/>
    <n v="24081117.48"/>
    <n v="5.4000000000000003E-3"/>
    <m/>
    <s v="Investments"/>
    <s v="BBG00PKD4F69"/>
    <s v="BOND"/>
    <s v="Corp"/>
    <s v="#N/A Field Not Applicable"/>
    <n v="0.5"/>
    <n v="2.758E-3"/>
    <s v="High"/>
    <n v="1.5"/>
    <n v="8.6979999999999991E-3"/>
    <s v="High"/>
    <n v="3143883.3326882636"/>
    <s v=""/>
    <s v=""/>
    <s v=""/>
    <s v=""/>
    <s v=""/>
    <n v="0"/>
    <n v="0"/>
    <n v="0"/>
    <x v="1"/>
    <s v="AE"/>
    <x v="1"/>
    <s v="Banks"/>
    <s v="Commer Banks Non-US"/>
    <s v="N"/>
    <s v=" "/>
    <s v="ACTV"/>
    <x v="2"/>
    <s v="Financial"/>
    <s v="Non-Investment Grade"/>
    <x v="14"/>
    <s v="High"/>
    <s v="High"/>
    <s v="#N/A Field Not Applicable"/>
    <s v="SPECIAL PURPOSE"/>
    <s v="#N/A Field Not Applicable"/>
    <n v="0"/>
    <s v="1/2/2169"/>
    <n v="148.85753424657534"/>
    <s v="10 yrs or Above"/>
    <n v="0.9380670075806532"/>
    <n v="4.5300246444239072"/>
    <n v="2.8547205782827965E-2"/>
    <n v="3.8255925458395579"/>
    <n v="2.4108031681850387E-2"/>
    <s v="XS2010323009"/>
    <s v="-"/>
    <n v="-4.82"/>
    <n v="3143883.3326882636"/>
    <n v="5.7465265192221419E-3"/>
  </r>
  <r>
    <s v="Investments"/>
    <s v="Investments Long"/>
    <s v="Avaliable for Trading"/>
    <s v="United States Dollar"/>
    <m/>
    <s v="SMCGL V5.7 PERP"/>
    <s v="XS2098881654"/>
    <n v="3000000"/>
    <n v="79.17"/>
    <n v="3000000"/>
    <n v="23330999.989999998"/>
    <n v="-4921362.38"/>
    <n v="257724.08"/>
    <n v="18409637.609999999"/>
    <n v="4.1000000000000003E-3"/>
    <m/>
    <s v="Investments"/>
    <s v="BBG00R9SNYG2"/>
    <s v="BOND"/>
    <s v="Corp"/>
    <s v="#N/A Field Not Applicable"/>
    <n v="1.3"/>
    <n v="3.4928000000000001E-2"/>
    <s v="High"/>
    <n v="2"/>
    <n v="9.1260999999999995E-2"/>
    <s v="High"/>
    <n v="2408350.0006450694"/>
    <s v=""/>
    <s v=""/>
    <s v=""/>
    <s v=""/>
    <s v=""/>
    <n v="0"/>
    <n v="0"/>
    <n v="0"/>
    <x v="1"/>
    <s v="PH"/>
    <x v="5"/>
    <s v="Electric"/>
    <s v="Independ Power Producer"/>
    <s v="N"/>
    <s v=" "/>
    <s v="ACTV"/>
    <x v="2"/>
    <s v="Non-Financial"/>
    <s v="Non-Investment Grade"/>
    <x v="3"/>
    <s v="High"/>
    <s v="High"/>
    <s v="#N/A Field Not Applicable"/>
    <s v="INDUSTRIAL"/>
    <s v="#N/A Field Not Applicable"/>
    <n v="0"/>
    <s v="7/21/2168"/>
    <n v="148.40547945205481"/>
    <s v="10 yrs or Above"/>
    <n v="0.71641745457422445"/>
    <n v="4.5759561108741753"/>
    <n v="2.2090119861476944E-2"/>
    <n v="8.2230789044664512"/>
    <n v="3.9696359455542257E-2"/>
    <s v="XS2098881654"/>
    <s v="-"/>
    <n v="-12"/>
    <n v="2408350.0006450694"/>
    <n v="4.4020867448798058E-3"/>
  </r>
  <r>
    <s v="Investments"/>
    <s v="Investments Long"/>
    <s v="Avaliable for Trading"/>
    <s v="United States Dollar"/>
    <m/>
    <s v="SRENVX V5 04/02/49 REGS"/>
    <s v="XS1973748707"/>
    <n v="2000000"/>
    <n v="102.453"/>
    <n v="2000000"/>
    <n v="15698800"/>
    <n v="183668.97"/>
    <n v="385401.92"/>
    <n v="15882468.970000001"/>
    <n v="3.5000000000000001E-3"/>
    <m/>
    <s v="Investments"/>
    <s v="BBG00NQCT2V4"/>
    <s v="BOND"/>
    <s v="Corp"/>
    <s v="#N/A Field Not Applicable"/>
    <n v="0.7"/>
    <n v="6.5252000000000004E-2"/>
    <s v="High"/>
    <n v="2"/>
    <n v="0.18116599999999999"/>
    <s v="High"/>
    <n v="2098782.2231683247"/>
    <s v=""/>
    <s v=""/>
    <s v="A"/>
    <s v="A2"/>
    <s v=""/>
    <n v="16"/>
    <n v="16"/>
    <n v="0"/>
    <x v="13"/>
    <s v="CH"/>
    <x v="1"/>
    <s v="Insurance"/>
    <s v="Reinsurance"/>
    <s v="N"/>
    <s v=" "/>
    <s v="ACTV"/>
    <x v="2"/>
    <s v="Financial"/>
    <s v="Investment Grade"/>
    <x v="15"/>
    <s v="High"/>
    <s v="High"/>
    <s v="#N/A Field Not Applicable"/>
    <s v="FINANCIAL"/>
    <s v="#N/A Field Not Applicable"/>
    <n v="6.7310680212493562E-2"/>
    <s v="4/2/2049"/>
    <n v="29.024657534246575"/>
    <s v="10 yrs or Above"/>
    <n v="0.12210434009780081"/>
    <n v="7.1822711090653542"/>
    <n v="3.0215222113858096E-2"/>
    <n v="4.3531469946562318"/>
    <n v="1.8313330329705189E-2"/>
    <s v="XS1973748707"/>
    <s v="-"/>
    <n v="-7.44"/>
    <n v="2098782.2231683247"/>
    <n v="3.8362453142292475E-3"/>
  </r>
  <r>
    <s v="Investments"/>
    <s v="Investments Long"/>
    <s v="Avaliable for Trading"/>
    <s v="United States Dollar"/>
    <m/>
    <s v="SRILAN 7.55 03/28/30 REGS"/>
    <s v="USY8137FAR92"/>
    <n v="2000000"/>
    <n v="56.728000000000002"/>
    <n v="1690000"/>
    <n v="13127360"/>
    <n v="-4333271.9800000004"/>
    <n v="9753.4599999999991"/>
    <n v="8794088.0199999996"/>
    <n v="2E-3"/>
    <m/>
    <s v="Investments"/>
    <s v="BBG00PK1ZYS6"/>
    <s v="BOND"/>
    <s v="Govt"/>
    <s v="#N/A Field Not Applicable"/>
    <n v="1.3"/>
    <n v="0.11730500000000001"/>
    <s v="High"/>
    <n v="2"/>
    <n v="0.32538"/>
    <s v="High"/>
    <n v="1135818.3328817845"/>
    <s v=""/>
    <s v=""/>
    <s v="B"/>
    <s v="B2"/>
    <s v="B"/>
    <n v="7"/>
    <n v="7"/>
    <n v="7"/>
    <x v="8"/>
    <s v="LK"/>
    <x v="11"/>
    <s v="Sovereign"/>
    <s v="Sovereign"/>
    <s v="N"/>
    <s v=" "/>
    <s v="ACTV"/>
    <x v="3"/>
    <s v="Non-Financial"/>
    <s v="Non-Investment Grade"/>
    <x v="13"/>
    <s v="High"/>
    <s v="High"/>
    <s v="#N/A Field Not Applicable"/>
    <s v="GOVT NATIONAL"/>
    <s v="#N/A Field Not Applicable"/>
    <n v="1.5936888490053824E-2"/>
    <s v="3/28/2030"/>
    <n v="9.9972602739726035"/>
    <s v="7 - 10 yrs"/>
    <n v="2.2760746027478043E-2"/>
    <n v="5.6569911610385626"/>
    <n v="1.287926247467024E-2"/>
    <n v="16.517310780361729"/>
    <n v="3.7604934294598394E-2"/>
    <s v="USY8137FAR92"/>
    <s v="-"/>
    <n v="-15.76"/>
    <n v="1135818.3328817845"/>
    <n v="2.076098086420643E-3"/>
  </r>
  <r>
    <s v="Investments"/>
    <s v="Investments Long"/>
    <s v="Avaliable for Trading"/>
    <s v="United States Dollar"/>
    <m/>
    <s v="SUNAC 6.5 01/10/25"/>
    <s v="XS2100444772"/>
    <n v="3700000"/>
    <n v="88.02"/>
    <n v="3464005.94"/>
    <n v="26897436.140000001"/>
    <n v="-1654118.72"/>
    <n v="419431.4"/>
    <n v="25243317.420000002"/>
    <n v="5.5999999999999999E-3"/>
    <m/>
    <s v="Investments"/>
    <s v="BBG00R9SLKK9"/>
    <s v="BOND"/>
    <s v="Corp"/>
    <s v="#N/A Field Not Applicable"/>
    <n v="1.2"/>
    <n v="8.4473000000000006E-2"/>
    <s v="High"/>
    <n v="2.6"/>
    <n v="0.232018"/>
    <s v="High"/>
    <n v="3310852.500935351"/>
    <s v=""/>
    <s v=""/>
    <s v="B+"/>
    <s v="B1"/>
    <s v="BB"/>
    <n v="8"/>
    <n v="8"/>
    <n v="10"/>
    <x v="9"/>
    <s v="CN"/>
    <x v="1"/>
    <s v="Real Estate"/>
    <s v="Real Estate Oper/Develop"/>
    <s v="N"/>
    <s v=" "/>
    <s v="ACTV"/>
    <x v="2"/>
    <s v="Financial"/>
    <s v="Non-Investment Grade"/>
    <x v="4"/>
    <s v="High"/>
    <s v="High"/>
    <s v="Real Estate"/>
    <s v="FINANCIAL"/>
    <s v="#N/A Field Not Applicable"/>
    <n v="5.3091676559174066E-2"/>
    <s v="1/10/2025"/>
    <n v="4.7835616438356166"/>
    <s v="3 - 5 yrs"/>
    <n v="3.174591344942395E-2"/>
    <n v="3.8699652009322771"/>
    <n v="2.568286759289444E-2"/>
    <n v="9.5593053584007883"/>
    <n v="6.343994352732428E-2"/>
    <s v="XS2100444772"/>
    <s v="-"/>
    <n v="-7.88"/>
    <n v="3310852.500935351"/>
    <n v="6.0517200177365761E-3"/>
  </r>
  <r>
    <s v="Investments"/>
    <s v="Investments Long"/>
    <s v="Avaliable for Trading"/>
    <s v="United States Dollar"/>
    <m/>
    <s v="SUNAC 7.5 02/01/24"/>
    <s v="XS2075937297"/>
    <n v="1000000"/>
    <n v="90.468000000000004"/>
    <n v="907500"/>
    <n v="7034123.25"/>
    <n v="-21858.1"/>
    <n v="0"/>
    <n v="7012265.1500000004"/>
    <n v="1.6000000000000001E-3"/>
    <m/>
    <s v="Investments"/>
    <s v="BBG00QQ1W050"/>
    <s v="BOND"/>
    <s v="Corp"/>
    <s v="#N/A Field Not Applicable"/>
    <n v="0.6"/>
    <n v="5.8994999999999999E-2"/>
    <s v="High"/>
    <n v="2"/>
    <n v="0.16311300000000001"/>
    <s v="High"/>
    <n v="904680.00025802793"/>
    <s v=""/>
    <s v=""/>
    <s v="B+"/>
    <s v="B1"/>
    <s v="BB"/>
    <n v="8"/>
    <n v="8"/>
    <n v="10"/>
    <x v="9"/>
    <s v="CN"/>
    <x v="1"/>
    <s v="Real Estate"/>
    <s v="Real Estate Oper/Develop"/>
    <s v="N"/>
    <s v=" "/>
    <s v="ACTV"/>
    <x v="2"/>
    <s v="Financial"/>
    <s v="Non-Investment Grade"/>
    <x v="4"/>
    <s v="High"/>
    <s v="High"/>
    <s v="Real Estate"/>
    <s v="FINANCIAL"/>
    <s v="#N/A Field Not Applicable"/>
    <n v="1.4507133117432283E-2"/>
    <s v="2/1/2024"/>
    <n v="3.8410958904109589"/>
    <s v="3 - 5 yrs"/>
    <n v="6.9654111748767332E-3"/>
    <n v="3.0961170141821563"/>
    <n v="5.61447270898594E-3"/>
    <n v="10.500251789779334"/>
    <n v="1.9041068810110671E-2"/>
    <s v="XS2075937297"/>
    <s v="-"/>
    <n v="-6.93"/>
    <n v="904680.00025802793"/>
    <n v="1.6536134018838742E-3"/>
  </r>
  <r>
    <s v="Investments"/>
    <s v="Investments Long"/>
    <s v="Avaliable for Trading"/>
    <s v="United States Dollar"/>
    <m/>
    <s v="SUNAC 7.875 02/15/22"/>
    <s v="XS1953150197"/>
    <n v="1500000"/>
    <n v="96.453000000000003"/>
    <n v="1501875"/>
    <n v="11769743.810000001"/>
    <n v="-555491.09"/>
    <n v="116993.17"/>
    <n v="11214252.720000001"/>
    <n v="2.5000000000000001E-3"/>
    <m/>
    <s v="Investments"/>
    <s v="BBG00NB0B2N4"/>
    <s v="BOND"/>
    <s v="Corp"/>
    <s v="#N/A Field Not Applicable"/>
    <n v="1.3"/>
    <n v="3.9448999999999998E-2"/>
    <s v="High"/>
    <n v="2"/>
    <n v="0.106324"/>
    <s v="High"/>
    <n v="1461888.7499838732"/>
    <s v=""/>
    <s v=""/>
    <s v="B+"/>
    <s v="B1"/>
    <s v="BB"/>
    <n v="8"/>
    <n v="8"/>
    <n v="10"/>
    <x v="9"/>
    <s v="CN"/>
    <x v="1"/>
    <s v="Real Estate"/>
    <s v="Real Estate Oper/Develop"/>
    <s v="N"/>
    <s v=" "/>
    <s v="ACTV"/>
    <x v="2"/>
    <s v="Financial"/>
    <s v="Non-Investment Grade"/>
    <x v="4"/>
    <s v="High"/>
    <s v="High"/>
    <s v="Real Estate"/>
    <s v="FINANCIAL"/>
    <s v="#N/A Field Not Applicable"/>
    <n v="2.3442338387986861E-2"/>
    <s v="2/15/2022"/>
    <n v="1.8794520547945206"/>
    <s v="1 - 2 yrs"/>
    <n v="5.5073438815612967E-3"/>
    <n v="1.6600063401392631"/>
    <n v="4.8643037939685267E-3"/>
    <n v="9.9271481280889127"/>
    <n v="2.9089445705791327E-2"/>
    <s v="XS1953150197"/>
    <s v="-"/>
    <n v="-3.65"/>
    <n v="1461888.7499838732"/>
    <n v="2.6721037586186496E-3"/>
  </r>
  <r>
    <s v="Investments"/>
    <s v="Investments Long"/>
    <s v="Avaliable for Trading"/>
    <s v="United States Dollar"/>
    <m/>
    <s v="SUNAC 7.95 08/08/22"/>
    <s v="XS1594400449"/>
    <n v="3000000"/>
    <n v="95.35"/>
    <n v="3153750"/>
    <n v="24493914.75"/>
    <n v="-2321893.2000000002"/>
    <n v="272160.5"/>
    <n v="22172021.550000001"/>
    <n v="4.8999999999999998E-3"/>
    <m/>
    <s v="Investments"/>
    <s v="BBG00HC2ZDQ9"/>
    <s v="BOND"/>
    <s v="Corp"/>
    <s v="#N/A Field Not Applicable"/>
    <n v="1.7"/>
    <n v="4.8194000000000001E-2"/>
    <s v="High"/>
    <n v="2.2999999999999998"/>
    <n v="0.12929499999999999"/>
    <s v="High"/>
    <n v="2895612.5001612674"/>
    <s v=""/>
    <s v=""/>
    <s v="B+"/>
    <s v="B1"/>
    <s v="BB"/>
    <n v="8"/>
    <n v="8"/>
    <n v="10"/>
    <x v="9"/>
    <s v="CN"/>
    <x v="1"/>
    <s v="Real Estate"/>
    <s v="Real Estate Oper/Develop"/>
    <s v="N"/>
    <s v=" "/>
    <s v="ACTV"/>
    <x v="2"/>
    <s v="Financial"/>
    <s v="Non-Investment Grade"/>
    <x v="4"/>
    <s v="High"/>
    <s v="High"/>
    <s v="Real Estate"/>
    <s v="FINANCIAL"/>
    <s v="#N/A Field Not Applicable"/>
    <n v="4.6433032657248303E-2"/>
    <s v="8/8/2022"/>
    <n v="2.3561643835616439"/>
    <s v="2 - 3 yrs"/>
    <n v="1.3675482220970392E-2"/>
    <n v="2.0510299281055584"/>
    <n v="1.190444245408988E-2"/>
    <n v="9.4991866337458593"/>
    <n v="5.5134505397752262E-2"/>
    <s v="XS1594400449"/>
    <s v="-"/>
    <n v="-4.54"/>
    <n v="2895612.5001612674"/>
    <n v="5.2927263071621709E-3"/>
  </r>
  <r>
    <s v="Investments"/>
    <s v="Investments Long"/>
    <s v="Avaliable for Trading"/>
    <s v="United States Dollar"/>
    <m/>
    <s v="SUNAC 8.35 04/19/23"/>
    <s v="XS1810024338"/>
    <n v="263000"/>
    <n v="95.091999999999999"/>
    <n v="210400"/>
    <n v="1631168.08"/>
    <n v="307319.71000000002"/>
    <n v="76598.11"/>
    <n v="1938487.79"/>
    <n v="4.0000000000000002E-4"/>
    <m/>
    <s v="Investments"/>
    <s v="BBG00KMRGS75"/>
    <s v="BOND"/>
    <s v="Corp"/>
    <s v="#N/A Field Not Applicable"/>
    <n v="0.5"/>
    <n v="5.9076999999999998E-2"/>
    <s v="High"/>
    <n v="2"/>
    <n v="0.16355"/>
    <s v="High"/>
    <n v="259974.18430932384"/>
    <s v=""/>
    <s v=""/>
    <s v="B+"/>
    <s v="B1"/>
    <s v="BB"/>
    <n v="8"/>
    <n v="8"/>
    <n v="10"/>
    <x v="9"/>
    <s v="CN"/>
    <x v="1"/>
    <s v="Real Estate"/>
    <s v="Real Estate Oper/Develop"/>
    <s v="N"/>
    <s v=" "/>
    <s v="ACTV"/>
    <x v="2"/>
    <s v="Financial"/>
    <s v="Non-Investment Grade"/>
    <x v="4"/>
    <s v="High"/>
    <s v="High"/>
    <s v="Real Estate"/>
    <s v="FINANCIAL"/>
    <s v="#N/A Field Not Applicable"/>
    <n v="4.1688553939465394E-3"/>
    <s v="4/19/2023"/>
    <n v="3.0520547945205481"/>
    <s v="3 - 5 yrs"/>
    <n v="1.5904468865946728E-3"/>
    <n v="2.4160435056816061"/>
    <n v="1.2590170000837838E-3"/>
    <n v="14.734475728202677"/>
    <n v="7.6782373270615116E-3"/>
    <s v="XS1810024338"/>
    <s v="-"/>
    <n v="-5.52"/>
    <n v="259974.18430932384"/>
    <n v="4.7519210681690042E-4"/>
  </r>
  <r>
    <s v="Investments"/>
    <s v="Investments Long"/>
    <s v="Avaliable for Trading"/>
    <s v="United States Dollar"/>
    <m/>
    <s v="SUNAC 8.375 01/15/21"/>
    <s v="XS1936202644"/>
    <n v="2000000"/>
    <n v="99.251000000000005"/>
    <n v="2018125"/>
    <n v="15825245.060000001"/>
    <n v="-439156.53"/>
    <n v="274087.51"/>
    <n v="15386088.529999999"/>
    <n v="3.3999999999999998E-3"/>
    <m/>
    <s v="Investments"/>
    <s v="BBG00N14RT60"/>
    <s v="BOND"/>
    <s v="Corp"/>
    <s v="#N/A Field Not Applicable"/>
    <n v="1"/>
    <n v="2.5072000000000001E-2"/>
    <s v="High"/>
    <n v="2"/>
    <n v="6.6365999999999994E-2"/>
    <s v="High"/>
    <n v="2020381.1123582458"/>
    <s v=""/>
    <s v=""/>
    <s v="B+"/>
    <s v="B1"/>
    <s v="BB"/>
    <n v="8"/>
    <n v="8"/>
    <n v="10"/>
    <x v="9"/>
    <s v="CN"/>
    <x v="1"/>
    <s v="Real Estate"/>
    <s v="Real Estate Oper/Develop"/>
    <s v="N"/>
    <s v=" "/>
    <s v="ACTV"/>
    <x v="2"/>
    <s v="Financial"/>
    <s v="Non-Investment Grade"/>
    <x v="4"/>
    <s v="High"/>
    <s v="High"/>
    <s v="Real Estate"/>
    <s v="FINANCIAL"/>
    <s v="#N/A Field Not Applicable"/>
    <n v="3.2398127223512582E-2"/>
    <s v="1/15/2021"/>
    <n v="0.79452054794520544"/>
    <s v="0 - 1 yr"/>
    <n v="3.2176222242529615E-3"/>
    <n v="0.71556982921263945"/>
    <n v="2.8978902955172827E-3"/>
    <n v="10.170978602309665"/>
    <n v="4.1190082343156589E-2"/>
    <s v="XS1936202644"/>
    <s v="-"/>
    <n v="-1.52"/>
    <n v="2020381.1123582458"/>
    <n v="3.6929403583098588E-3"/>
  </r>
  <r>
    <s v="Investments"/>
    <s v="Investments Long"/>
    <s v="Avaliable for Trading"/>
    <s v="United States Dollar"/>
    <m/>
    <s v="SUNAC 8.625 07/27/20"/>
    <s v="XS1861032628"/>
    <n v="2000000"/>
    <n v="99.504000000000005"/>
    <n v="2014440.44"/>
    <n v="15792156.630000001"/>
    <n v="-366847.45"/>
    <n v="237700.39"/>
    <n v="15425309.18"/>
    <n v="3.3999999999999998E-3"/>
    <m/>
    <s v="Investments"/>
    <s v="BBG00LJTVJR4"/>
    <s v="BOND"/>
    <s v="Corp"/>
    <s v="#N/A Field Not Applicable"/>
    <n v="0.8"/>
    <n v="1.7103E-2"/>
    <s v="High"/>
    <n v="2"/>
    <n v="4.4645999999999998E-2"/>
    <s v="High"/>
    <n v="2020746.6772458104"/>
    <s v=""/>
    <s v=""/>
    <s v="B+"/>
    <s v="B1"/>
    <s v="BB"/>
    <n v="8"/>
    <n v="8"/>
    <n v="10"/>
    <x v="9"/>
    <s v="CN"/>
    <x v="1"/>
    <s v="Real Estate"/>
    <s v="Real Estate Oper/Develop"/>
    <s v="N"/>
    <s v=" "/>
    <s v="ACTV"/>
    <x v="2"/>
    <s v="Financial"/>
    <s v="Non-Investment Grade"/>
    <x v="4"/>
    <s v="High"/>
    <s v="High"/>
    <s v="Real Estate"/>
    <s v="FINANCIAL"/>
    <s v="#N/A Field Not Applicable"/>
    <n v="3.2403989294615562E-2"/>
    <s v="7/27/2020"/>
    <n v="0.32328767123287672"/>
    <s v="0 - 1 yr"/>
    <n v="1.3094762797139167E-3"/>
    <n v="0.29774793093960444"/>
    <n v="1.2060275958326095E-3"/>
    <n v="8.58183189533902"/>
    <n v="3.4760698608094498E-2"/>
    <s v="XS1861032628"/>
    <s v="-"/>
    <n v="-0.66"/>
    <n v="2020746.6772458104"/>
    <n v="3.6936085536907258E-3"/>
  </r>
  <r>
    <s v="Investments"/>
    <s v="Investments Long"/>
    <s v="Avaliable for Trading"/>
    <s v="United States Dollar"/>
    <m/>
    <s v="SUNSHI 10 02/12/23"/>
    <s v="XS2056435246"/>
    <n v="3700000"/>
    <n v="90.453000000000003"/>
    <n v="3708660"/>
    <n v="29026932.460000001"/>
    <n v="-3085853.27"/>
    <n v="1107330.77"/>
    <n v="25941079.190000001"/>
    <n v="5.7999999999999996E-3"/>
    <m/>
    <s v="Investments"/>
    <s v="BBG00QRVV6Z8"/>
    <s v="BOND"/>
    <s v="Corp"/>
    <s v="#N/A Field Not Applicable"/>
    <n v="1.6"/>
    <n v="5.4169000000000002E-2"/>
    <s v="High"/>
    <n v="2"/>
    <n v="0.14125399999999999"/>
    <s v="High"/>
    <n v="3489622.1129904143"/>
    <s v=""/>
    <s v=""/>
    <s v=""/>
    <s v=""/>
    <s v="B"/>
    <n v="0"/>
    <n v="0"/>
    <n v="7"/>
    <x v="8"/>
    <s v="CN"/>
    <x v="1"/>
    <s v="Real Estate"/>
    <s v="Real Estate Oper/Develop"/>
    <s v="N"/>
    <s v=" "/>
    <s v="ACTV"/>
    <x v="2"/>
    <s v="Financial"/>
    <s v="Non-Investment Grade"/>
    <x v="4"/>
    <s v="High"/>
    <s v="High"/>
    <s v="#N/A Field Not Applicable"/>
    <s v="SPECIAL PURPOSE"/>
    <s v="#N/A Field Not Applicable"/>
    <n v="4.8963568272447036E-2"/>
    <s v="2/12/2023"/>
    <n v="2.871232876712329"/>
    <s v="2 - 3 yrs"/>
    <n v="2.0083686712142661E-2"/>
    <n v="1.336678864143011"/>
    <n v="9.3497952604004678E-3"/>
    <n v="13.53158053914875"/>
    <n v="9.46506382232465E-2"/>
    <s v="XS2056435246"/>
    <s v="-"/>
    <n v="-5.13"/>
    <n v="3489622.1129904143"/>
    <n v="6.3784828800298957E-3"/>
  </r>
  <r>
    <s v="Investments"/>
    <s v="Investments Long"/>
    <s v="Avaliable for Trading"/>
    <s v="United States Dollar"/>
    <m/>
    <s v="SUNSHI 10.25 03/18/22"/>
    <s v="XS2008157856"/>
    <n v="1300000"/>
    <n v="89.474000000000004"/>
    <n v="1277250"/>
    <n v="9997929.8300000001"/>
    <n v="-982144.86"/>
    <n v="37296.79"/>
    <n v="9015784.9700000007"/>
    <n v="2E-3"/>
    <m/>
    <s v="Investments"/>
    <s v="BBG00PDYXN26"/>
    <s v="BOND"/>
    <s v="Corp"/>
    <s v="#N/A Field Not Applicable"/>
    <n v="1"/>
    <n v="3.3392999999999999E-2"/>
    <s v="High"/>
    <n v="2"/>
    <n v="8.7244000000000002E-2"/>
    <s v="High"/>
    <n v="1167973.8050083213"/>
    <s v=""/>
    <s v=""/>
    <s v=""/>
    <s v="B2"/>
    <s v=""/>
    <n v="0"/>
    <n v="7"/>
    <n v="0"/>
    <x v="8"/>
    <s v="CN"/>
    <x v="1"/>
    <s v="Real Estate"/>
    <s v="Real Estate Oper/Develop"/>
    <s v="N"/>
    <s v=" "/>
    <s v="ACTV"/>
    <x v="2"/>
    <s v="Financial"/>
    <s v="Non-Investment Grade"/>
    <x v="4"/>
    <s v="High"/>
    <s v="High"/>
    <s v="#N/A Field Not Applicable"/>
    <s v="SPECIAL PURPOSE"/>
    <s v="#N/A Field Not Applicable"/>
    <n v="1.6388068189121936E-2"/>
    <s v="3/18/2022"/>
    <n v="1.9643835616438357"/>
    <s v="1 - 2 yrs"/>
    <n v="4.5989216796870564E-3"/>
    <n v="1.7220547373294022"/>
    <n v="4.0315929229649584E-3"/>
    <n v="9.7856704113311412"/>
    <n v="2.2909747711023949E-2"/>
    <s v="XS2008157856"/>
    <s v="-"/>
    <n v="-5.9"/>
    <n v="1167973.8050083213"/>
    <n v="2.1348732551401666E-3"/>
  </r>
  <r>
    <s v="Investments"/>
    <s v="Investments Long"/>
    <s v="Avaliable for Trading"/>
    <s v="United States Dollar"/>
    <m/>
    <s v="SUNSHI 12 07/02/20"/>
    <s v="XS1923588096"/>
    <n v="1000000"/>
    <n v="97.650999999999996"/>
    <n v="959500"/>
    <n v="7443417.2000000002"/>
    <n v="125609.46"/>
    <n v="229949.3"/>
    <n v="7569026.6600000001"/>
    <n v="1.6999999999999999E-3"/>
    <m/>
    <s v="Investments"/>
    <s v="BBG00MTS9QX5"/>
    <s v="BOND"/>
    <s v="Corp"/>
    <s v="#N/A Field Not Applicable"/>
    <n v="0.6"/>
    <n v="1.0507000000000001E-2"/>
    <s v="High"/>
    <n v="2"/>
    <n v="2.6352E-2"/>
    <s v="High"/>
    <n v="1006176.6665376527"/>
    <s v=""/>
    <s v=""/>
    <s v=""/>
    <s v="B2"/>
    <s v=""/>
    <n v="0"/>
    <n v="7"/>
    <n v="0"/>
    <x v="8"/>
    <s v="CN"/>
    <x v="1"/>
    <s v="Real Estate"/>
    <s v="Real Estate Oper/Develop"/>
    <s v="N"/>
    <s v=" "/>
    <s v="ACTV"/>
    <x v="2"/>
    <s v="Financial"/>
    <s v="Non-Investment Grade"/>
    <x v="4"/>
    <s v="High"/>
    <s v="High"/>
    <s v="#N/A Field Not Applicable"/>
    <s v="SPECIAL PURPOSE"/>
    <s v="#N/A Field Not Applicable"/>
    <n v="1.4117860992100741E-2"/>
    <s v="7/2/2020"/>
    <n v="0.25479452054794521"/>
    <s v="0 - 1 yr"/>
    <n v="5.1387908894926383E-4"/>
    <n v="0.22337373351543754"/>
    <n v="4.5050847415107167E-4"/>
    <n v="24.150798779516116"/>
    <n v="4.8708231431057819E-2"/>
    <s v="XS1923588096"/>
    <s v="-"/>
    <n v="-1"/>
    <n v="1006176.6665376527"/>
    <n v="1.8391334173132564E-3"/>
  </r>
  <r>
    <s v="Investments"/>
    <s v="Investments Long"/>
    <s v="Avaliable for Trading"/>
    <s v="United States Dollar"/>
    <m/>
    <s v="SUNSHI 6.8 03/11/21 EMTN"/>
    <s v="XS2133059480"/>
    <n v="14200000"/>
    <n v="99.856999999999999"/>
    <n v="14109120"/>
    <n v="109599644.16"/>
    <n v="308582"/>
    <n v="395013.28"/>
    <n v="109908226.16"/>
    <n v="2.4500000000000001E-2"/>
    <m/>
    <s v="Investments"/>
    <s v="BBG00S6SWBM6"/>
    <s v="BOND"/>
    <s v="Corp"/>
    <s v="#N/A Field Not Applicable"/>
    <n v="0.7"/>
    <n v="5.77E-3"/>
    <s v="High"/>
    <n v="1.8"/>
    <n v="1.3776E-2"/>
    <s v="High"/>
    <n v="14230656.221697565"/>
    <s v=""/>
    <s v=""/>
    <s v=""/>
    <s v=""/>
    <s v=""/>
    <n v="0"/>
    <n v="0"/>
    <n v="0"/>
    <x v="1"/>
    <s v="CN"/>
    <x v="1"/>
    <s v="Real Estate"/>
    <s v="Real Estate Oper/Develop"/>
    <s v="N"/>
    <s v=" "/>
    <s v="ACTV"/>
    <x v="2"/>
    <s v="Financial"/>
    <s v="Non-Investment Grade"/>
    <x v="4"/>
    <s v="High"/>
    <s v="High"/>
    <s v="#N/A Field Not Applicable"/>
    <s v="SPECIAL PURPOSE"/>
    <s v="#N/A Field Not Applicable"/>
    <n v="0"/>
    <s v="3/11/2021"/>
    <n v="0.9452054794520548"/>
    <s v="0 - 1 yr"/>
    <n v="2.6961731384058177E-2"/>
    <n v="0.84800450553967732"/>
    <n v="2.4189099817836599E-2"/>
    <n v="14.814799328885204"/>
    <n v="0.42258815537726607"/>
    <s v="XS2133059480"/>
    <s v="-"/>
    <n v="-1.49"/>
    <n v="14230656.221697565"/>
    <n v="2.6011411592043111E-2"/>
  </r>
  <r>
    <s v="Investments"/>
    <s v="Investments Long"/>
    <s v="Avaliable for Trading"/>
    <s v="United States Dollar"/>
    <m/>
    <s v="SUNSHI 9.25 04/15/23"/>
    <s v="XS2100664544"/>
    <n v="3000000"/>
    <n v="83.588999999999999"/>
    <n v="2969655"/>
    <n v="23088134.489999998"/>
    <n v="-3650933.56"/>
    <n v="454085.27"/>
    <n v="19437200.93"/>
    <n v="4.3E-3"/>
    <m/>
    <s v="Investments"/>
    <s v="BBG00RB30509"/>
    <s v="BOND"/>
    <s v="Corp"/>
    <s v="#N/A Field Not Applicable"/>
    <n v="1"/>
    <n v="3.5355999999999999E-2"/>
    <s v="High"/>
    <n v="2"/>
    <n v="9.4119999999999995E-2"/>
    <s v="High"/>
    <n v="2566253.3317851657"/>
    <s v=""/>
    <s v=""/>
    <s v=""/>
    <s v=""/>
    <s v="B"/>
    <n v="0"/>
    <n v="0"/>
    <n v="7"/>
    <x v="8"/>
    <s v="CN"/>
    <x v="1"/>
    <s v="Real Estate"/>
    <s v="Real Estate Oper/Develop"/>
    <s v="N"/>
    <s v=" "/>
    <s v="ACTV"/>
    <x v="2"/>
    <s v="Financial"/>
    <s v="Non-Investment Grade"/>
    <x v="4"/>
    <s v="High"/>
    <s v="High"/>
    <s v="#N/A Field Not Applicable"/>
    <s v="SPECIAL PURPOSE"/>
    <s v="#N/A Field Not Applicable"/>
    <n v="3.6007600865292547E-2"/>
    <s v="4/15/2023"/>
    <n v="3.0410958904109591"/>
    <s v="3 - 5 yrs"/>
    <n v="1.5643223859285606E-2"/>
    <n v="2.4097282266008246"/>
    <n v="1.2395504596753103E-2"/>
    <n v="16.359831238097943"/>
    <n v="8.4154039063567929E-2"/>
    <s v="XS2100664544"/>
    <s v="-"/>
    <n v="-8.25"/>
    <n v="2566253.3317851657"/>
    <n v="4.6907093125290273E-3"/>
  </r>
  <r>
    <s v="Investments"/>
    <s v="Investments Long"/>
    <s v="Avaliable for Trading"/>
    <s v="United States Dollar"/>
    <m/>
    <s v="SUNSHI 9.5 04/03/21"/>
    <s v="XS1973241125"/>
    <n v="2350000"/>
    <n v="91.674000000000007"/>
    <n v="2327637.5"/>
    <n v="18220048.07"/>
    <n v="-1521551.06"/>
    <n v="855603.03"/>
    <n v="16698497.01"/>
    <n v="3.7000000000000002E-3"/>
    <m/>
    <s v="Investments"/>
    <s v="BBG00NQF0SC2"/>
    <s v="BOND"/>
    <s v="Corp"/>
    <s v="#N/A Field Not Applicable"/>
    <n v="1.4"/>
    <n v="2.7016999999999999E-2"/>
    <s v="High"/>
    <n v="2.1"/>
    <n v="7.0386000000000004E-2"/>
    <s v="High"/>
    <n v="2264723.7217943259"/>
    <s v=""/>
    <s v=""/>
    <s v=""/>
    <s v=""/>
    <s v="B"/>
    <n v="0"/>
    <n v="0"/>
    <n v="7"/>
    <x v="8"/>
    <s v="CN"/>
    <x v="1"/>
    <s v="Real Estate"/>
    <s v="Real Estate Oper/Develop"/>
    <s v="N"/>
    <s v=" "/>
    <s v="ACTV"/>
    <x v="2"/>
    <s v="Financial"/>
    <s v="Non-Investment Grade"/>
    <x v="4"/>
    <s v="High"/>
    <s v="High"/>
    <s v="#N/A Field Not Applicable"/>
    <s v="SPECIAL PURPOSE"/>
    <s v="#N/A Field Not Applicable"/>
    <n v="3.1776780115392235E-2"/>
    <s v="4/3/2021"/>
    <n v="1.0082191780821919"/>
    <s v="1 - 2 yrs"/>
    <n v="4.5768513042913272E-3"/>
    <n v="0.88181412849339003"/>
    <n v="4.0030305233972408E-3"/>
    <n v="18.922405060443864"/>
    <n v="8.5899014980015717E-2"/>
    <s v="XS1973241125"/>
    <s v="-"/>
    <n v="-3.4"/>
    <n v="2264723.7217943259"/>
    <n v="4.1395603935704354E-3"/>
  </r>
  <r>
    <s v="Investments"/>
    <s v="Investments Long"/>
    <s v="Avaliable for Trading"/>
    <s v="United States Dollar"/>
    <m/>
    <s v="TPHL 6.75 07/16/23"/>
    <s v="XS2027426027"/>
    <n v="1500000"/>
    <n v="90.963999999999999"/>
    <n v="1200000"/>
    <n v="9303240"/>
    <n v="1272825.9099999999"/>
    <n v="163499.76999999999"/>
    <n v="10576065.91"/>
    <n v="2.3999999999999998E-3"/>
    <m/>
    <s v="Investments"/>
    <s v="BBG00PNSNLZ7"/>
    <s v="BOND"/>
    <s v="Corp"/>
    <s v="#N/A Field Not Applicable"/>
    <n v="0.8"/>
    <n v="5.8012000000000001E-2"/>
    <s v="High"/>
    <n v="1.9"/>
    <n v="0.15702199999999999"/>
    <s v="High"/>
    <n v="1385553.7510804918"/>
    <s v=""/>
    <s v=""/>
    <s v="B+"/>
    <s v="B1"/>
    <s v="BB-"/>
    <n v="8"/>
    <n v="8"/>
    <n v="9"/>
    <x v="9"/>
    <s v="CN"/>
    <x v="1"/>
    <s v="Real Estate"/>
    <s v="Real Estate Oper/Develop"/>
    <s v="N"/>
    <s v=" "/>
    <s v="ACTV"/>
    <x v="2"/>
    <s v="Financial"/>
    <s v="Non-Investment Grade"/>
    <x v="4"/>
    <s v="High"/>
    <s v="High"/>
    <s v="Real Estate"/>
    <s v="FINANCIAL"/>
    <s v="#N/A Field Not Applicable"/>
    <n v="2.2218256955552681E-2"/>
    <s v="7/16/2023"/>
    <n v="3.2931506849315069"/>
    <s v="3 - 5 yrs"/>
    <n v="9.1460085138953141E-3"/>
    <n v="2.791987071023128"/>
    <n v="7.7541357700715956E-3"/>
    <n v="9.9543855863308703"/>
    <n v="2.764613709896865E-2"/>
    <s v="XS2027426027"/>
    <s v="-"/>
    <n v="-6.01"/>
    <n v="1385553.7510804918"/>
    <n v="2.5325753317899141E-3"/>
  </r>
  <r>
    <s v="Investments"/>
    <s v="Investments Long"/>
    <s v="Avaliable for Trading"/>
    <s v="United States Dollar"/>
    <m/>
    <s v="TPHL 7.625 02/21/22"/>
    <s v="XS1945401674"/>
    <n v="5000000"/>
    <n v="96.466999999999999"/>
    <n v="4994791.66"/>
    <n v="39195129.159999996"/>
    <n v="-1808860.91"/>
    <n v="328345.21000000002"/>
    <n v="37386268.25"/>
    <n v="8.3000000000000001E-3"/>
    <m/>
    <s v="Investments"/>
    <s v="BBG00NB7K829"/>
    <s v="BOND"/>
    <s v="Corp"/>
    <s v="#N/A Field Not Applicable"/>
    <n v="1.5"/>
    <n v="3.8018000000000003E-2"/>
    <s v="High"/>
    <n v="2"/>
    <n v="9.9346000000000004E-2"/>
    <s v="High"/>
    <n v="4865711.1197120408"/>
    <s v=""/>
    <s v=""/>
    <s v=""/>
    <s v="B1"/>
    <s v="BB-"/>
    <n v="0"/>
    <n v="8"/>
    <n v="9"/>
    <x v="9"/>
    <s v="CN"/>
    <x v="1"/>
    <s v="Real Estate"/>
    <s v="Real Estate Oper/Develop"/>
    <s v="N"/>
    <s v=" "/>
    <s v="ACTV"/>
    <x v="2"/>
    <s v="Financial"/>
    <s v="Non-Investment Grade"/>
    <x v="4"/>
    <s v="High"/>
    <s v="High"/>
    <s v="Real Estate"/>
    <s v="FINANCIAL"/>
    <s v="#N/A Field Not Applicable"/>
    <n v="7.8024847354313656E-2"/>
    <s v="2/21/2022"/>
    <n v="1.8958904109589041"/>
    <s v="1 - 2 yrs"/>
    <n v="1.8490819989446933E-2"/>
    <n v="1.6846694853046436"/>
    <n v="1.6430759929170619E-2"/>
    <n v="9.2842642088697218"/>
    <n v="9.0550412211772194E-2"/>
    <s v="XS1945401674"/>
    <s v="-"/>
    <n v="-3.56"/>
    <n v="4865711.1197120408"/>
    <n v="8.8937581409519219E-3"/>
  </r>
  <r>
    <s v="Investments"/>
    <s v="Investments Long"/>
    <s v="Avaliable for Trading"/>
    <s v="United States Dollar"/>
    <m/>
    <s v="TPHL 7.85 06/04/21"/>
    <s v="XS1831884702"/>
    <n v="3000000"/>
    <n v="97.754000000000005"/>
    <n v="2769500"/>
    <n v="21481625.050000001"/>
    <n v="1249405.83"/>
    <n v="593249.81999999995"/>
    <n v="22731030.879999999"/>
    <n v="5.1000000000000004E-3"/>
    <m/>
    <s v="Investments"/>
    <s v="BBG00L1B1VB5"/>
    <s v="BOND"/>
    <s v="Corp"/>
    <s v="#N/A Field Not Applicable"/>
    <n v="1.1000000000000001"/>
    <n v="2.5853999999999999E-2"/>
    <s v="High"/>
    <n v="2"/>
    <n v="6.7622000000000002E-2"/>
    <s v="High"/>
    <n v="3009157.5002257745"/>
    <s v=""/>
    <s v=""/>
    <s v=""/>
    <s v="B1"/>
    <s v="BB-"/>
    <n v="0"/>
    <n v="8"/>
    <n v="9"/>
    <x v="9"/>
    <s v="CN"/>
    <x v="1"/>
    <s v="Real Estate"/>
    <s v="Real Estate Oper/Develop"/>
    <s v="N"/>
    <s v=" "/>
    <s v="ACTV"/>
    <x v="2"/>
    <s v="Financial"/>
    <s v="Non-Investment Grade"/>
    <x v="4"/>
    <s v="High"/>
    <s v="High"/>
    <s v="Real Estate"/>
    <s v="FINANCIAL"/>
    <s v="#N/A Field Not Applicable"/>
    <n v="4.8253800697090961E-2"/>
    <s v="6/4/2021"/>
    <n v="1.178082191780822"/>
    <s v="1 - 2 yrs"/>
    <n v="7.1058679108729839E-3"/>
    <n v="1.0525979877817533"/>
    <n v="6.3489816895724634E-3"/>
    <n v="9.3422132232968824"/>
    <n v="5.6349661868336932E-2"/>
    <s v="XS1831884702"/>
    <s v="-"/>
    <n v="-2.29"/>
    <n v="3009157.5002257745"/>
    <n v="5.5002687904380501E-3"/>
  </r>
  <r>
    <s v="Investments"/>
    <s v="Investments Long"/>
    <s v="Avaliable for Trading"/>
    <s v="United States Dollar"/>
    <m/>
    <s v="VNET 7.875 10/15/21"/>
    <s v="XS1976766045"/>
    <n v="5500000"/>
    <n v="85.475999999999999"/>
    <n v="5523862.5099999998"/>
    <n v="43293036.490000002"/>
    <n v="-6853720.0899999999"/>
    <n v="1548040.02"/>
    <n v="36439316.399999999"/>
    <n v="8.0999999999999996E-3"/>
    <m/>
    <s v="Investments"/>
    <s v="BBG00NV0G541"/>
    <s v="BOND"/>
    <s v="Corp"/>
    <s v="#N/A Field Not Applicable"/>
    <n v="1"/>
    <n v="2.2721999999999999E-2"/>
    <s v="High"/>
    <n v="2"/>
    <n v="5.5194E-2"/>
    <s v="High"/>
    <n v="4900898.7653365331"/>
    <s v=""/>
    <s v=""/>
    <s v="B+"/>
    <s v="B2"/>
    <s v="B+"/>
    <n v="8"/>
    <n v="7"/>
    <n v="8"/>
    <x v="9"/>
    <s v="CN"/>
    <x v="2"/>
    <s v="Internet"/>
    <s v="Internet Connectiv Svcs"/>
    <s v="N"/>
    <s v=" "/>
    <s v="ACTV"/>
    <x v="2"/>
    <s v="Non-Financial"/>
    <s v="Non-Investment Grade"/>
    <x v="4"/>
    <s v="High"/>
    <s v="High"/>
    <s v="Information Technology"/>
    <s v="INDUSTRIAL"/>
    <s v="#N/A Field Not Applicable"/>
    <n v="7.8589104173319213E-2"/>
    <s v="10/15/2021"/>
    <n v="1.5424657534246575"/>
    <s v="1 - 2 yrs"/>
    <n v="1.5152625222458464E-2"/>
    <n v="1.279581573109932"/>
    <n v="1.2570146193424515E-2"/>
    <n v="18.63597470938916"/>
    <n v="0.18307306972594087"/>
    <s v="XS1976766045"/>
    <s v="-"/>
    <n v="-3.92"/>
    <n v="4900898.7653365331"/>
    <n v="8.9580756481023021E-3"/>
  </r>
  <r>
    <s v="Investments"/>
    <s v="Investments Long"/>
    <s v="Avaliable for Trading"/>
    <s v="United States Dollar"/>
    <m/>
    <s v="WB 3.5 07/05/24"/>
    <s v="US948596AD39"/>
    <n v="2000000"/>
    <n v="99.494"/>
    <n v="1947708.72"/>
    <n v="15100001.4"/>
    <n v="323757.46000000002"/>
    <n v="129615.62"/>
    <n v="15423758.859999999"/>
    <n v="3.3999999999999998E-3"/>
    <m/>
    <s v="Investments"/>
    <s v="BBG00PKGT0Y7"/>
    <s v="BOND"/>
    <s v="Corp"/>
    <s v="#N/A Field Not Applicable"/>
    <n v="0.8"/>
    <n v="2.8406000000000001E-2"/>
    <s v="High"/>
    <n v="2"/>
    <n v="7.8532000000000005E-2"/>
    <s v="High"/>
    <n v="2006602.2216201569"/>
    <s v=""/>
    <s v=""/>
    <s v="BBB"/>
    <s v="Baa1"/>
    <s v=""/>
    <n v="13"/>
    <n v="14"/>
    <n v="0"/>
    <x v="6"/>
    <s v="CN"/>
    <x v="2"/>
    <s v="Internet"/>
    <s v="Internet Content-Entmnt"/>
    <s v="N"/>
    <s v=" "/>
    <s v="ACTV"/>
    <x v="2"/>
    <s v="Non-Financial"/>
    <s v="Investment Grade"/>
    <x v="4"/>
    <s v="High"/>
    <s v="High"/>
    <s v="Communication Services"/>
    <s v="INDUSTRIAL"/>
    <s v="#N/A Field Not Applicable"/>
    <n v="5.2287907319189204E-2"/>
    <s v="7/5/2024"/>
    <n v="4.2657534246575342"/>
    <s v="3 - 5 yrs"/>
    <n v="1.7157486131923624E-2"/>
    <n v="3.8772010629628486"/>
    <n v="1.5594671526004869E-2"/>
    <n v="3.571330131883002"/>
    <n v="1.4364413764778936E-2"/>
    <s v="US948596AD39"/>
    <s v="-"/>
    <n v="-2.44"/>
    <n v="2006602.2216201569"/>
    <n v="3.6677547032925059E-3"/>
  </r>
  <r>
    <s v="Investments"/>
    <s v="Investments Long"/>
    <s v="Avaliable for Trading"/>
    <s v="United States Dollar"/>
    <m/>
    <s v="XIHUI 4.5 04/17/22"/>
    <s v="XS1958219922"/>
    <n v="2500000"/>
    <n v="102.46899999999999"/>
    <n v="2493075"/>
    <n v="19536982.239999998"/>
    <n v="319204.40999999997"/>
    <n v="397243.88"/>
    <n v="19856186.649999999"/>
    <n v="4.4000000000000003E-3"/>
    <m/>
    <s v="Investments"/>
    <s v="BBG00NV899R9"/>
    <s v="BOND"/>
    <s v="Corp"/>
    <s v="#N/A Field Not Applicable"/>
    <n v="1.7"/>
    <n v="3.7529999999999998E-3"/>
    <s v="High"/>
    <n v="2.6"/>
    <n v="9.1339999999999998E-3"/>
    <s v="High"/>
    <n v="2612975.0009676041"/>
    <s v=""/>
    <s v=""/>
    <s v=""/>
    <s v=""/>
    <s v="BBB+"/>
    <n v="0"/>
    <n v="0"/>
    <n v="14"/>
    <x v="10"/>
    <s v="CN"/>
    <x v="4"/>
    <s v="Engineering&amp;Construction"/>
    <s v="Building-Heavy Construct"/>
    <s v="N"/>
    <s v=" "/>
    <s v="ACTV"/>
    <x v="2"/>
    <s v="Non-Financial"/>
    <s v="Investment Grade"/>
    <x v="4"/>
    <s v="High"/>
    <s v="High"/>
    <s v="#N/A Field Not Applicable"/>
    <s v="SPECIAL PURPOSE"/>
    <s v="Chengtou Bond"/>
    <n v="7.3326323430726204E-2"/>
    <s v="4/17/2022"/>
    <n v="2.0465753424657533"/>
    <s v="2 - 3 yrs"/>
    <n v="1.0719131820499505E-2"/>
    <n v="1.8777390686975826"/>
    <n v="9.8348358764163962E-3"/>
    <n v="4.5146979283302757"/>
    <n v="2.3646157177483952E-2"/>
    <s v="XS1958219922"/>
    <s v="-"/>
    <n v="-1.24"/>
    <n v="2612975.0009676041"/>
    <n v="4.7761092089525468E-3"/>
  </r>
  <r>
    <s v="Investments"/>
    <s v="Investments Long"/>
    <s v="Avaliable for Trading"/>
    <s v="United States Dollar"/>
    <m/>
    <s v="YLLGSP 6.75 04/23/23"/>
    <s v="XS1809258210"/>
    <n v="500000"/>
    <n v="93.510999999999996"/>
    <n v="514750"/>
    <n v="4000894.38"/>
    <n v="-376828.82"/>
    <n v="114813.17"/>
    <n v="3624065.56"/>
    <n v="8.0000000000000004E-4"/>
    <m/>
    <s v="Investments"/>
    <s v="BBG00KMQKL04"/>
    <s v="BOND"/>
    <s v="Corp"/>
    <s v="#N/A Field Not Applicable"/>
    <n v="0.9"/>
    <n v="3.3966999999999997E-2"/>
    <s v="High"/>
    <n v="2"/>
    <n v="8.9076000000000002E-2"/>
    <s v="High"/>
    <n v="482367.50009676046"/>
    <s v=""/>
    <s v=""/>
    <s v="B+"/>
    <s v="Ba3"/>
    <s v=""/>
    <n v="8"/>
    <n v="9"/>
    <n v="0"/>
    <x v="9"/>
    <s v="SG"/>
    <x v="1"/>
    <s v="Real Estate"/>
    <s v="Real Estate Oper/Develop"/>
    <s v="N"/>
    <s v=" "/>
    <s v="ACTV"/>
    <x v="2"/>
    <s v="Financial"/>
    <s v="Non-Investment Grade"/>
    <x v="7"/>
    <s v="High"/>
    <s v="High"/>
    <s v="#N/A Field Not Applicable"/>
    <s v="FINANCIAL"/>
    <s v="#N/A Field Not Applicable"/>
    <n v="7.7350770807698499E-3"/>
    <s v="4/23/2023"/>
    <n v="3.0630136986301371"/>
    <s v="3 - 5 yrs"/>
    <n v="2.9615808822947578E-3"/>
    <n v="2.5609558722694503"/>
    <n v="2.4761488840567983E-3"/>
    <n v="10.585434706170414"/>
    <n v="1.0234894173210562E-2"/>
    <s v="XS1809258210"/>
    <s v="-"/>
    <n v="-3.94"/>
    <n v="482367.50009676046"/>
    <n v="8.8169226971495209E-4"/>
  </r>
  <r>
    <s v="Investments"/>
    <s v="Investments Long"/>
    <s v="Avaliable for Trading"/>
    <s v="United States Dollar"/>
    <m/>
    <s v="YLLGSP 6.8 02/27/24"/>
    <s v="XS2030531938"/>
    <n v="3000000"/>
    <n v="91.483000000000004"/>
    <n v="3082500"/>
    <n v="23958731.25"/>
    <n v="-2685914.81"/>
    <n v="149337.85999999999"/>
    <n v="21272816.440000001"/>
    <n v="4.7000000000000002E-3"/>
    <m/>
    <s v="Investments"/>
    <s v="BBG00Q2B8JR6"/>
    <s v="BOND"/>
    <s v="Corp"/>
    <s v="#N/A Field Not Applicable"/>
    <n v="1"/>
    <n v="4.0724999999999997E-2"/>
    <s v="High"/>
    <n v="2"/>
    <n v="0.101969"/>
    <s v="High"/>
    <n v="2763756.6667956808"/>
    <s v=""/>
    <s v=""/>
    <s v="B+"/>
    <s v="Ba3"/>
    <s v=""/>
    <n v="8"/>
    <n v="9"/>
    <n v="0"/>
    <x v="9"/>
    <s v="SG"/>
    <x v="1"/>
    <s v="Real Estate"/>
    <s v="Real Estate Oper/Develop"/>
    <s v="N"/>
    <s v=" "/>
    <s v="ACTV"/>
    <x v="2"/>
    <s v="Financial"/>
    <s v="Non-Investment Grade"/>
    <x v="7"/>
    <s v="High"/>
    <s v="High"/>
    <s v="#N/A Field Not Applicable"/>
    <s v="FINANCIAL"/>
    <s v="#N/A Field Not Applicable"/>
    <n v="4.4318638477650038E-2"/>
    <s v="2/27/2024"/>
    <n v="3.9123287671232876"/>
    <s v="3 - 5 yrs"/>
    <n v="2.1673635529480907E-2"/>
    <n v="3.2741961934784545"/>
    <n v="1.813848967545869E-2"/>
    <n v="9.638967685720381"/>
    <n v="5.3398240520149076E-2"/>
    <s v="XS2030531938"/>
    <s v="-"/>
    <n v="-5.0199999999999996"/>
    <n v="2763756.6667956808"/>
    <n v="5.0517144873941716E-3"/>
  </r>
  <r>
    <s v="Investments"/>
    <s v="Investments Long"/>
    <s v="Avaliable for Trading"/>
    <s v="United States Dollar"/>
    <m/>
    <s v="YUZHOU 6.375 03/06/21"/>
    <s v="XS1788498167"/>
    <n v="1800000"/>
    <n v="96.76"/>
    <n v="1824660"/>
    <n v="14198226.859999999"/>
    <n v="-698291.01"/>
    <n v="61766.58"/>
    <n v="13499935.85"/>
    <n v="3.0000000000000001E-3"/>
    <m/>
    <s v="Investments"/>
    <s v="BBG00K67R1J1"/>
    <s v="BOND"/>
    <s v="Corp"/>
    <s v="#N/A Field Not Applicable"/>
    <n v="1.5"/>
    <n v="1.6685999999999999E-2"/>
    <s v="High"/>
    <n v="2"/>
    <n v="4.2035000000000003E-2"/>
    <s v="High"/>
    <n v="1749648.7504999291"/>
    <s v=""/>
    <s v=""/>
    <s v="B+"/>
    <s v=""/>
    <s v="BB-"/>
    <n v="8"/>
    <n v="0"/>
    <n v="9"/>
    <x v="9"/>
    <s v="CN"/>
    <x v="1"/>
    <s v="Real Estate"/>
    <s v="Real Estate Oper/Develop"/>
    <s v="N"/>
    <s v=" "/>
    <s v="ACTV"/>
    <x v="2"/>
    <s v="Financial"/>
    <s v="Non-Investment Grade"/>
    <x v="4"/>
    <s v="High"/>
    <s v="High"/>
    <s v="Real Estate"/>
    <s v="FINANCIAL"/>
    <s v="#N/A Field Not Applicable"/>
    <n v="2.8056757444634688E-2"/>
    <s v="3/6/2021"/>
    <n v="0.93150684931506844"/>
    <s v="0 - 1 yr"/>
    <n v="3.2668827161560937E-3"/>
    <n v="0.85124910529449893"/>
    <n v="2.9854112090262558E-3"/>
    <n v="11.009399933333089"/>
    <n v="3.8611007942562975E-2"/>
    <s v="XS1788498167"/>
    <s v="-"/>
    <n v="-1.93"/>
    <n v="1749648.7504999291"/>
    <n v="3.1980839872561158E-3"/>
  </r>
  <r>
    <s v="Investments"/>
    <s v="Investments Long"/>
    <s v="Avaliable for Trading"/>
    <s v="United States Dollar"/>
    <m/>
    <s v="YUZHOU 7.375 01/13/26"/>
    <s v="XS2100653778"/>
    <n v="1000000"/>
    <n v="81.042000000000002"/>
    <n v="690000"/>
    <n v="5349363"/>
    <n v="932283.46"/>
    <n v="123856.12"/>
    <n v="6281646.46"/>
    <n v="1.4E-3"/>
    <m/>
    <s v="Investments"/>
    <s v="BBG00R9LVRX4"/>
    <s v="BOND"/>
    <s v="Corp"/>
    <s v="#N/A Field Not Applicable"/>
    <n v="1.2"/>
    <n v="0.11228"/>
    <s v="High"/>
    <n v="2.6"/>
    <n v="0.30938199999999999"/>
    <s v="High"/>
    <n v="826399.16656990617"/>
    <s v=""/>
    <s v=""/>
    <s v=""/>
    <s v="B1"/>
    <s v="BB-"/>
    <n v="0"/>
    <n v="8"/>
    <n v="9"/>
    <x v="9"/>
    <s v="CN"/>
    <x v="1"/>
    <s v="Real Estate"/>
    <s v="Real Estate Oper/Develop"/>
    <s v="N"/>
    <s v=" "/>
    <s v="ACTV"/>
    <x v="2"/>
    <s v="Financial"/>
    <s v="Non-Investment Grade"/>
    <x v="4"/>
    <s v="High"/>
    <s v="High"/>
    <s v="Real Estate"/>
    <s v="FINANCIAL"/>
    <s v="#N/A Field Not Applicable"/>
    <n v="1.3251848956697811E-2"/>
    <s v="1/13/2026"/>
    <n v="5.7917808219178086"/>
    <s v="5 - 7 yrs"/>
    <n v="9.5939755802942391E-3"/>
    <n v="4.3143863654225845"/>
    <n v="7.1466995569270672E-3"/>
    <n v="12.125359387290187"/>
    <n v="2.0085428893255937E-2"/>
    <s v="XS2100653778"/>
    <s v="-"/>
    <n v="-10.78"/>
    <n v="826399.16656990617"/>
    <n v="1.5105282937125863E-3"/>
  </r>
  <r>
    <s v="Investments"/>
    <s v="Investments Long"/>
    <s v="Avaliable for Trading"/>
    <s v="United States Dollar"/>
    <m/>
    <s v="YUZHOU 7.7 02/20/25"/>
    <s v="XS2121187962"/>
    <n v="5500000"/>
    <n v="84.385000000000005"/>
    <n v="4939555"/>
    <n v="38363783.229999997"/>
    <n v="-2389571.6800000002"/>
    <n v="373850.63"/>
    <n v="35974211.549999997"/>
    <n v="8.0000000000000002E-3"/>
    <m/>
    <s v="Investments"/>
    <s v="BBG00RPXWXD8"/>
    <s v="BOND"/>
    <s v="Corp"/>
    <s v="#N/A Field Not Applicable"/>
    <n v="1"/>
    <n v="6.3820000000000002E-2"/>
    <s v="High"/>
    <n v="2"/>
    <n v="0.174454"/>
    <s v="High"/>
    <n v="4689406.9461108744"/>
    <s v=""/>
    <s v=""/>
    <s v=""/>
    <s v="B1"/>
    <s v="BB-"/>
    <n v="0"/>
    <n v="8"/>
    <n v="9"/>
    <x v="9"/>
    <s v="CN"/>
    <x v="1"/>
    <s v="Real Estate"/>
    <s v="Real Estate Oper/Develop"/>
    <s v="N"/>
    <s v=" "/>
    <s v="ACTV"/>
    <x v="2"/>
    <s v="Financial"/>
    <s v="Non-Investment Grade"/>
    <x v="4"/>
    <s v="High"/>
    <s v="High"/>
    <s v="Real Estate"/>
    <s v="FINANCIAL"/>
    <s v="#N/A Field Not Applicable"/>
    <n v="7.5197695085156016E-2"/>
    <s v="2/20/2025"/>
    <n v="4.8958904109589039"/>
    <s v="3 - 5 yrs"/>
    <n v="4.6019959286703355E-2"/>
    <n v="3.7914802662509004"/>
    <n v="3.5638822122865177E-2"/>
    <n v="12.327253308257946"/>
    <n v="0.11587262943898273"/>
    <s v="XS2121187962"/>
    <s v="-"/>
    <n v="-9.52"/>
    <n v="4689406.9461108744"/>
    <n v="8.5715017141581393E-3"/>
  </r>
  <r>
    <s v="Investments"/>
    <s v="Investments Long"/>
    <s v="Avaliable for Trading"/>
    <s v="United States Dollar"/>
    <m/>
    <s v="YUZHOU 8.625 01/23/22"/>
    <s v="XS1938265474"/>
    <n v="4000000"/>
    <n v="95.492999999999995"/>
    <n v="4231250"/>
    <n v="32881885.879999999"/>
    <n v="-3274854.19"/>
    <n v="505113.35"/>
    <n v="29607031.690000001"/>
    <n v="6.6E-3"/>
    <m/>
    <s v="Investments"/>
    <s v="BBG00N2KDB12"/>
    <s v="BOND"/>
    <s v="Corp"/>
    <s v="#N/A Field Not Applicable"/>
    <n v="1.6"/>
    <n v="3.8859999999999999E-2"/>
    <s v="High"/>
    <n v="2"/>
    <n v="0.10048"/>
    <s v="High"/>
    <n v="3884886.6664086389"/>
    <s v=""/>
    <s v=""/>
    <s v=""/>
    <s v="B1"/>
    <s v="BB-"/>
    <n v="0"/>
    <n v="8"/>
    <n v="9"/>
    <x v="9"/>
    <s v="CN"/>
    <x v="1"/>
    <s v="Real Estate"/>
    <s v="Real Estate Oper/Develop"/>
    <s v="N"/>
    <s v=" "/>
    <s v="ACTV"/>
    <x v="2"/>
    <s v="Financial"/>
    <s v="Non-Investment Grade"/>
    <x v="4"/>
    <s v="High"/>
    <s v="High"/>
    <s v="Real Estate"/>
    <s v="FINANCIAL"/>
    <s v="#N/A Field Not Applicable"/>
    <n v="6.2296688331402908E-2"/>
    <s v="1/23/2022"/>
    <n v="1.8164383561643835"/>
    <s v="1 - 2 yrs"/>
    <n v="1.4144761768397303E-2"/>
    <n v="1.5274281868272446"/>
    <n v="1.189421471292209E-2"/>
    <n v="17.680205264542881"/>
    <n v="0.1376772796250571"/>
    <s v="XS1938265474"/>
    <s v="-"/>
    <n v="-3.94"/>
    <n v="3884886.6664086389"/>
    <n v="7.1009646002354937E-3"/>
  </r>
  <r>
    <s v="Investments"/>
    <s v="Investments Long"/>
    <s v="Avaliable for Trading"/>
    <s v="United States Dollar"/>
    <m/>
    <s v="YWSOAO 4 02/18/25"/>
    <s v="XS2114327302"/>
    <n v="3000000"/>
    <n v="96.837999999999994"/>
    <n v="3004250"/>
    <n v="23350533.129999999"/>
    <n v="-832502.47"/>
    <n v="111099.1"/>
    <n v="22518030.66"/>
    <n v="5.0000000000000001E-3"/>
    <m/>
    <s v="Investments"/>
    <s v="BBG00RPTBXS4"/>
    <s v="BOND"/>
    <s v="Corp"/>
    <s v="#N/A Field Not Applicable"/>
    <n v="0.5"/>
    <n v="1.3233E-2"/>
    <s v="High"/>
    <n v="1.8"/>
    <n v="3.5897999999999999E-2"/>
    <s v="High"/>
    <n v="2919473.3341074171"/>
    <s v=""/>
    <s v=""/>
    <s v=""/>
    <s v="Baa3"/>
    <s v="BBB"/>
    <n v="0"/>
    <n v="12"/>
    <n v="13"/>
    <x v="11"/>
    <s v="CN"/>
    <x v="1"/>
    <s v="Real Estate"/>
    <s v="Real Estate Oper/Develop"/>
    <s v="N"/>
    <s v=" "/>
    <s v="ACTV"/>
    <x v="2"/>
    <s v="Financial"/>
    <s v="Investment Grade"/>
    <x v="4"/>
    <s v="High"/>
    <s v="High"/>
    <s v="#N/A Field Not Applicable"/>
    <s v="SPECIAL PURPOSE"/>
    <s v="Chengtou Bond"/>
    <n v="7.0223485008970701E-2"/>
    <s v="2/18/2025"/>
    <n v="4.8904109589041092"/>
    <s v="3 - 5 yrs"/>
    <n v="2.8618475055025728E-2"/>
    <n v="4.3298118114286925"/>
    <n v="2.5337872902627255E-2"/>
    <n v="4.8603536103264444"/>
    <n v="2.8442580741087974E-2"/>
    <s v="XS2114327302"/>
    <s v="-"/>
    <n v="-4.54"/>
    <n v="2919473.3341074171"/>
    <n v="5.3363401759138011E-3"/>
  </r>
  <r>
    <s v="Investments"/>
    <s v="Investments Long"/>
    <s v="Avaliable for Trading"/>
    <s v="United States Dollar"/>
    <m/>
    <s v="YWSOAO 4.5 05/30/22"/>
    <s v="XS1831038143"/>
    <n v="5000000"/>
    <n v="99.992000000000004"/>
    <n v="4985803.2300000004"/>
    <n v="39136915.07"/>
    <n v="-384515.5"/>
    <n v="586176.93999999994"/>
    <n v="38752399.57"/>
    <n v="8.6E-3"/>
    <m/>
    <s v="Investments"/>
    <s v="BBG00P7N38J5"/>
    <s v="BOND"/>
    <s v="Corp"/>
    <s v="#N/A Field Not Applicable"/>
    <n v="1"/>
    <n v="6.2690000000000003E-3"/>
    <s v="High"/>
    <n v="2"/>
    <n v="1.5630999999999999E-2"/>
    <s v="High"/>
    <n v="5075225.0016126744"/>
    <s v=""/>
    <s v=""/>
    <s v=""/>
    <s v="Baa3"/>
    <s v="BBB"/>
    <n v="0"/>
    <n v="12"/>
    <n v="13"/>
    <x v="11"/>
    <s v="CN"/>
    <x v="1"/>
    <s v="Real Estate"/>
    <s v="Real Estate Oper/Develop"/>
    <s v="N"/>
    <s v=" "/>
    <s v="ACTV"/>
    <x v="2"/>
    <s v="Financial"/>
    <s v="Investment Grade"/>
    <x v="4"/>
    <s v="High"/>
    <s v="High"/>
    <s v="#N/A Field Not Applicable"/>
    <s v="SPECIAL PURPOSE"/>
    <s v="Chengtou Bond"/>
    <n v="0.12207680839354698"/>
    <s v="5/30/2022"/>
    <n v="2.1643835616438358"/>
    <s v="2 - 3 yrs"/>
    <n v="2.2018419778744778E-2"/>
    <n v="2.0017190413429304"/>
    <n v="2.0363622655644623E-2"/>
    <n v="7"/>
    <n v="7.1211471562902404E-2"/>
    <s v="XS1831038143"/>
    <s v="-"/>
    <n v="-2.2000000000000002"/>
    <n v="5075225.0016126744"/>
    <n v="9.2767167151359305E-3"/>
  </r>
  <r>
    <s v="Investments"/>
    <s v="Investments Long"/>
    <s v="Avaliable for Trading"/>
    <s v="United States Dollar"/>
    <m/>
    <s v="YZCOAL 4.75 11/30/20"/>
    <s v="XS1728036952"/>
    <n v="2000000"/>
    <n v="98.007000000000005"/>
    <n v="1942347.38"/>
    <n v="15234487.359999999"/>
    <n v="-41246.26"/>
    <n v="247496.91"/>
    <n v="15193241.1"/>
    <n v="3.3999999999999998E-3"/>
    <m/>
    <s v="Investments"/>
    <s v="BBG00JC8V4T3"/>
    <s v="BOND"/>
    <s v="Corp"/>
    <s v="#N/A Field Not Applicable"/>
    <n v="1"/>
    <n v="8.8000000000000005E-3"/>
    <s v="High"/>
    <n v="2"/>
    <n v="2.1021000000000001E-2"/>
    <s v="High"/>
    <n v="1992070.5461160352"/>
    <s v=""/>
    <s v=""/>
    <s v=""/>
    <s v=""/>
    <s v=""/>
    <n v="0"/>
    <n v="0"/>
    <n v="0"/>
    <x v="1"/>
    <s v="CN"/>
    <x v="7"/>
    <s v="Coal"/>
    <s v="Coal"/>
    <s v="N"/>
    <s v=" "/>
    <s v="ACTV"/>
    <x v="2"/>
    <s v="Non-Financial"/>
    <s v="Non-Investment Grade"/>
    <x v="4"/>
    <s v="High"/>
    <s v="High"/>
    <s v="#N/A Field Not Applicable"/>
    <s v="SPECIAL PURPOSE"/>
    <s v="#N/A Field Not Applicable"/>
    <n v="0"/>
    <s v="11/30/2020"/>
    <n v="0.66849315068493154"/>
    <s v="0 - 1 yr"/>
    <n v="2.6693055890167337E-3"/>
    <n v="0.61096702654974389"/>
    <n v="2.4396027049838967E-3"/>
    <n v="8.0119683694554027"/>
    <n v="3.1991938774092607E-2"/>
    <s v="XS1728036952"/>
    <s v="-"/>
    <n v="-0.81"/>
    <n v="1992070.5461160352"/>
    <n v="3.6411930755803983E-3"/>
  </r>
  <r>
    <s v="Investments"/>
    <s v="Investments Long"/>
    <s v="Avaliable for Trading"/>
    <s v="United States Dollar"/>
    <m/>
    <s v="YZCOAL V5.75 PERP"/>
    <s v="XS1577730895"/>
    <n v="4060000"/>
    <n v="99.078000000000003"/>
    <n v="4100600"/>
    <n v="32161825.920000002"/>
    <n v="-982508.4"/>
    <n v="844430.67"/>
    <n v="31179317.52"/>
    <n v="7.0000000000000001E-3"/>
    <m/>
    <s v="Investments"/>
    <s v="BBG00GDDTJZ0"/>
    <s v="BOND"/>
    <s v="Corp"/>
    <s v="#N/A Field Not Applicable"/>
    <n v="0.9"/>
    <n v="5.96E-3"/>
    <s v="High"/>
    <n v="2"/>
    <n v="1.3795E-2"/>
    <s v="High"/>
    <n v="4131510.1327553508"/>
    <s v=""/>
    <s v=""/>
    <s v="BB-"/>
    <s v=""/>
    <s v=""/>
    <n v="9"/>
    <n v="0"/>
    <n v="0"/>
    <x v="3"/>
    <s v="CN"/>
    <x v="7"/>
    <s v="Coal"/>
    <s v="Coal"/>
    <s v="N"/>
    <s v=" "/>
    <s v="ACTV"/>
    <x v="2"/>
    <s v="Non-Financial"/>
    <s v="Non-Investment Grade"/>
    <x v="4"/>
    <s v="High"/>
    <s v="High"/>
    <s v="#N/A Field Not Applicable"/>
    <s v="INDUSTRIAL"/>
    <s v="#N/A Field Not Applicable"/>
    <n v="7.4532888299352701E-2"/>
    <s v="10/13/2168"/>
    <n v="148.63561643835615"/>
    <s v="10 yrs or Above"/>
    <n v="1.2309157552561591"/>
    <n v="1.6511003105565785E-2"/>
    <n v="1.3673475001971114E-4"/>
    <n v="56.567209334652091"/>
    <n v="0.46845749941619175"/>
    <s v="XS1577730895"/>
    <s v="-"/>
    <n v="-0.08"/>
    <n v="4131510.1327553508"/>
    <n v="7.5517536848329903E-3"/>
  </r>
  <r>
    <s v="Investments"/>
    <s v="Investments Long"/>
    <s v="Avaliable for Trading"/>
    <s v="United States Dollar"/>
    <m/>
    <s v="ZHPRHK 5.6 02/28/21"/>
    <s v="XS2122877330"/>
    <n v="3000000"/>
    <n v="93.501000000000005"/>
    <n v="3000000"/>
    <n v="23316900"/>
    <n v="-1574831.97"/>
    <n v="104898.22"/>
    <n v="21742068.030000001"/>
    <n v="4.7999999999999996E-3"/>
    <m/>
    <s v="Investments"/>
    <s v="BBG00RT2L457"/>
    <s v="BOND"/>
    <s v="Corp"/>
    <s v="#N/A Field Not Applicable"/>
    <n v="0.7"/>
    <n v="3.4166000000000002E-2"/>
    <s v="High"/>
    <n v="2"/>
    <n v="9.0912000000000007E-2"/>
    <s v="High"/>
    <n v="2818563.3329462917"/>
    <s v=""/>
    <s v=""/>
    <s v=""/>
    <s v=""/>
    <s v=""/>
    <n v="0"/>
    <n v="0"/>
    <n v="0"/>
    <x v="1"/>
    <s v="CN"/>
    <x v="1"/>
    <s v="Real Estate"/>
    <s v="Real Estate Oper/Develop"/>
    <s v="N"/>
    <s v=" "/>
    <s v="ACTV"/>
    <x v="2"/>
    <s v="Financial"/>
    <s v="Non-Investment Grade"/>
    <x v="4"/>
    <s v="High"/>
    <s v="High"/>
    <s v="Real Estate"/>
    <s v="FINANCIAL"/>
    <s v="#N/A Field Not Applicable"/>
    <n v="0"/>
    <s v="2/28/2021"/>
    <n v="0.91506849315068495"/>
    <s v="0 - 1 yr"/>
    <n v="5.1698509211034445E-3"/>
    <n v="0.8305771256785579"/>
    <n v="4.6925011082527297E-3"/>
    <n v="11.417511936913112"/>
    <n v="6.4505373144827349E-2"/>
    <s v="XS2122877330"/>
    <s v="-"/>
    <n v="-2.3199999999999998"/>
    <n v="2818563.3329462917"/>
    <n v="5.1518924924715218E-3"/>
  </r>
  <r>
    <s v="Investments"/>
    <s v="Investments Long"/>
    <s v="Avaliable for Trading"/>
    <s v="United States Dollar"/>
    <m/>
    <s v="ZHPRHK 8.65 01/21/23"/>
    <s v="XS1973630889"/>
    <n v="2191000"/>
    <n v="84.409000000000006"/>
    <n v="2237093.75"/>
    <n v="17368750.539999999"/>
    <n v="-3033856.97"/>
    <n v="285638.90999999997"/>
    <n v="14334893.57"/>
    <n v="3.2000000000000002E-3"/>
    <m/>
    <s v="Investments"/>
    <s v="BBG00NQDZNG6"/>
    <s v="BOND"/>
    <s v="Corp"/>
    <s v="#N/A Field Not Applicable"/>
    <n v="1.2"/>
    <n v="5.8629000000000001E-2"/>
    <s v="High"/>
    <n v="2"/>
    <n v="0.15604199999999999"/>
    <s v="High"/>
    <n v="1886252.5938253927"/>
    <s v=""/>
    <s v=""/>
    <s v="B-"/>
    <s v="B2"/>
    <s v=""/>
    <n v="6"/>
    <n v="7"/>
    <n v="0"/>
    <x v="12"/>
    <s v="CN"/>
    <x v="1"/>
    <s v="Real Estate"/>
    <s v="Real Estate Oper/Develop"/>
    <s v="N"/>
    <s v=" "/>
    <s v="ACTV"/>
    <x v="2"/>
    <s v="Financial"/>
    <s v="Non-Investment Grade"/>
    <x v="4"/>
    <s v="High"/>
    <s v="High"/>
    <s v="Real Estate"/>
    <s v="FINANCIAL"/>
    <s v="#N/A Field Not Applicable"/>
    <n v="2.2685466792613622E-2"/>
    <s v="1/21/2023"/>
    <n v="2.8109589041095893"/>
    <s v="2 - 3 yrs"/>
    <n v="1.0627985812429944E-2"/>
    <n v="2.2780071911878723"/>
    <n v="8.6129427481712508E-3"/>
    <n v="16.039185241461517"/>
    <n v="6.0642734029292288E-2"/>
    <s v="XS1973630889"/>
    <s v="-"/>
    <n v="-7.56"/>
    <n v="1886252.5938253927"/>
    <n v="3.447774425872427E-3"/>
  </r>
  <r>
    <s v="Investments"/>
    <s v="Investments Long"/>
    <s v="Avaliable for Trading"/>
    <s v="United States Dollar"/>
    <m/>
    <s v="ZHPRHK 9.15 03/08/22"/>
    <s v="XS1960071303"/>
    <n v="3500000"/>
    <n v="92.974999999999994"/>
    <n v="3504664.99"/>
    <n v="27483627.359999999"/>
    <n v="-2260579.09"/>
    <n v="158590.72"/>
    <n v="25223048.27"/>
    <n v="5.5999999999999999E-3"/>
    <m/>
    <s v="Investments"/>
    <s v="BBG00NHNXCH9"/>
    <s v="BOND"/>
    <s v="Corp"/>
    <s v="#N/A Field Not Applicable"/>
    <n v="2"/>
    <n v="5.4580999999999998E-2"/>
    <s v="High"/>
    <n v="2.2000000000000002"/>
    <n v="0.14183000000000001"/>
    <s v="High"/>
    <n v="3274585.4123930796"/>
    <s v=""/>
    <s v=""/>
    <s v="B-"/>
    <s v="B2"/>
    <s v=""/>
    <n v="6"/>
    <n v="7"/>
    <n v="0"/>
    <x v="12"/>
    <s v="CN"/>
    <x v="1"/>
    <s v="Real Estate"/>
    <s v="Real Estate Oper/Develop"/>
    <s v="N"/>
    <s v=" "/>
    <s v="ACTV"/>
    <x v="2"/>
    <s v="Financial"/>
    <s v="Non-Investment Grade"/>
    <x v="4"/>
    <s v="High"/>
    <s v="High"/>
    <s v="Real Estate"/>
    <s v="FINANCIAL"/>
    <s v="#N/A Field Not Applicable"/>
    <n v="3.9382582627370356E-2"/>
    <s v="3/8/2022"/>
    <n v="1.9369863013698629"/>
    <s v="1 - 2 yrs"/>
    <n v="1.2713920510297188E-2"/>
    <n v="1.6710168406171775"/>
    <n v="1.0968159799555559E-2"/>
    <n v="13.762291530915613"/>
    <n v="9.0332430559707244E-2"/>
    <s v="XS1960071303"/>
    <s v="-"/>
    <n v="-4.82"/>
    <n v="3274585.4123930796"/>
    <n v="5.9854294579323314E-3"/>
  </r>
  <r>
    <s v="Investments"/>
    <s v="Investments Long"/>
    <s v="Avaliable for Trading"/>
    <s v="United States Dollar"/>
    <m/>
    <s v="ZHPRHK 9.8 08/20/21"/>
    <s v="XS1951935847"/>
    <n v="4000000"/>
    <n v="96.028999999999996"/>
    <n v="4003590.86"/>
    <n v="31423400.52"/>
    <n v="-1650185.34"/>
    <n v="346043.56"/>
    <n v="29773215.18"/>
    <n v="6.6E-3"/>
    <m/>
    <s v="Investments"/>
    <s v="BBG00N9X3LW2"/>
    <s v="BOND"/>
    <s v="Corp"/>
    <s v="#N/A Field Not Applicable"/>
    <n v="2.7"/>
    <n v="3.3236000000000002E-2"/>
    <s v="High"/>
    <n v="5.3"/>
    <n v="8.3331000000000002E-2"/>
    <s v="Medium"/>
    <n v="3885804.4329191982"/>
    <s v=""/>
    <s v=""/>
    <s v="B-"/>
    <s v="B2"/>
    <s v=""/>
    <n v="6"/>
    <n v="7"/>
    <n v="0"/>
    <x v="12"/>
    <s v="CN"/>
    <x v="1"/>
    <s v="Real Estate"/>
    <s v="Real Estate Oper/Develop"/>
    <s v="N"/>
    <s v=" "/>
    <s v="ACTV"/>
    <x v="2"/>
    <s v="Financial"/>
    <s v="Non-Investment Grade"/>
    <x v="4"/>
    <s v="High"/>
    <s v="Medium"/>
    <s v="Real Estate"/>
    <s v="FINANCIAL"/>
    <s v="#N/A Field Not Applicable"/>
    <n v="4.6733553986428228E-2"/>
    <s v="8/20/2021"/>
    <n v="1.3890410958904109"/>
    <s v="1 - 2 yrs"/>
    <n v="1.0819137840693658E-2"/>
    <n v="1.2164983313609083"/>
    <n v="9.4752150738424794E-3"/>
    <n v="13.496264743771881"/>
    <n v="0.1051214028363652"/>
    <s v="XS1951935847"/>
    <s v="-"/>
    <n v="-3.44"/>
    <n v="3885804.4329191982"/>
    <n v="7.1026421337293567E-3"/>
  </r>
  <r>
    <s v="Investments"/>
    <s v="Investments Long"/>
    <s v="Avaliable for Trading"/>
    <s v="United States Dollar"/>
    <m/>
    <s v="ZHPRHK V10.25 PERP"/>
    <s v="XS2013512608"/>
    <n v="1300000"/>
    <n v="86.527000000000001"/>
    <n v="1284140"/>
    <n v="9971256.8000000007"/>
    <n v="-1252424.21"/>
    <n v="189352.92"/>
    <n v="8718832.5899999999"/>
    <n v="1.9E-3"/>
    <m/>
    <s v="Investments"/>
    <s v="BBG00PF578H3"/>
    <s v="BOND"/>
    <s v="Corp"/>
    <s v="#N/A Field Not Applicable"/>
    <n v="1.4"/>
    <n v="3.0913E-2"/>
    <s v="High"/>
    <n v="2"/>
    <n v="7.5423000000000004E-2"/>
    <s v="High"/>
    <n v="1149280.1679761582"/>
    <s v=""/>
    <s v=""/>
    <s v=""/>
    <s v="B2"/>
    <s v=""/>
    <n v="0"/>
    <n v="7"/>
    <n v="0"/>
    <x v="8"/>
    <s v="CN"/>
    <x v="1"/>
    <s v="Real Estate"/>
    <s v="Real Estate Oper/Develop"/>
    <s v="N"/>
    <s v=" "/>
    <s v="ACTV"/>
    <x v="2"/>
    <s v="Financial"/>
    <s v="Non-Investment Grade"/>
    <x v="4"/>
    <s v="High"/>
    <s v="High"/>
    <s v="Real Estate"/>
    <s v="FINANCIAL"/>
    <s v="#N/A Field Not Applicable"/>
    <n v="1.6125774123046027E-2"/>
    <s v="1/25/2169"/>
    <n v="148.92054794520547"/>
    <s v="10 yrs or Above"/>
    <n v="0.34306558834923279"/>
    <n v="1.5005295515872388"/>
    <n v="3.4567429448359075E-3"/>
    <n v="14.893776199589121"/>
    <n v="3.4310524404824717E-2"/>
    <s v="XS2013512608"/>
    <s v="-"/>
    <n v="-15.36"/>
    <n v="1149280.1679761582"/>
    <n v="2.1007042133601773E-3"/>
  </r>
  <r>
    <s v="Receivable Investments"/>
    <s v="AccruedInterestReceivable"/>
    <s v="AccruedInterestReceivable"/>
    <s v="United States Dollar"/>
    <m/>
    <s v="United States Dollar"/>
    <s v="USD"/>
    <n v="-68045.66"/>
    <n v="1"/>
    <n v="-68045.66"/>
    <n v="-527204.18000000005"/>
    <n v="-224.54"/>
    <n v="0"/>
    <n v="-527428.72"/>
    <n v="-5.7000000000000002E-3"/>
    <m/>
    <s v="Receivable Investments"/>
    <s v="#N/A Invalid Security"/>
    <s v="Cash Adjustments"/>
    <s v="Cash Adjustments"/>
    <s v="Cash Adjustments"/>
    <n v="0"/>
    <n v="0"/>
    <s v="High"/>
    <n v="0"/>
    <n v="0"/>
    <s v="High"/>
    <n v="-68045.6606159125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68045.66061591258"/>
    <n v="-1.2437681423533412E-4"/>
  </r>
  <r>
    <s v="Receivable Investments"/>
    <s v="DividendsReceivable"/>
    <s v="DividendsReceivable"/>
    <s v="Hong Kong Dollar"/>
    <m/>
    <s v="Hong Kong Dollar"/>
    <s v="HKD"/>
    <n v="288947.25"/>
    <n v="1"/>
    <n v="288947.25"/>
    <n v="288947.25"/>
    <n v="0"/>
    <n v="0"/>
    <n v="288947.25"/>
    <n v="3.0999999999999999E-3"/>
    <m/>
    <s v="Receivable Investments"/>
    <s v="#N/A Invalid Security"/>
    <s v="Cash Adjustments"/>
    <s v="Cash Adjustments"/>
    <s v="Cash Adjustments"/>
    <n v="0"/>
    <n v="0"/>
    <s v="High"/>
    <n v="0"/>
    <n v="0"/>
    <s v="High"/>
    <n v="37278.225026125321"/>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37278.225026125321"/>
    <n v="6.8138758991092947E-5"/>
  </r>
  <r>
    <s v="Receivable Investments"/>
    <s v="NAV Adjustment"/>
    <s v="NAV Adjustment"/>
    <s v="Hong Kong Dollar"/>
    <m/>
    <s v="Hong Kong Dollar"/>
    <s v="HKD"/>
    <n v="-5380.39"/>
    <n v="1"/>
    <n v="-5380.39"/>
    <n v="-5380.39"/>
    <n v="0"/>
    <n v="0"/>
    <n v="-5380.39"/>
    <n v="-1E-4"/>
    <m/>
    <s v="Receivable Investments"/>
    <s v="#N/A Invalid Security"/>
    <s v="Cash Adjustments"/>
    <s v="Cash Adjustments"/>
    <s v="Cash Adjustments"/>
    <n v="0"/>
    <n v="0"/>
    <s v="High"/>
    <n v="0"/>
    <n v="0"/>
    <s v="High"/>
    <n v="-694.14534711202282"/>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94.14534711202282"/>
    <n v="-1.2687890176774018E-6"/>
  </r>
  <r>
    <s v="Receivable Investments"/>
    <s v="PurchasedAI"/>
    <s v="PurchasedAI"/>
    <s v="United States Dollar"/>
    <m/>
    <s v="United States Dollar"/>
    <s v="USD"/>
    <n v="95621.25"/>
    <n v="1"/>
    <n v="95621.25"/>
    <n v="741169.87"/>
    <n v="0"/>
    <n v="0"/>
    <n v="741169.87"/>
    <n v="8.0000000000000002E-3"/>
    <m/>
    <s v="Receivable Investments"/>
    <s v="#N/A Invalid Security"/>
    <s v="Cash Adjustments"/>
    <s v="Cash Adjustments"/>
    <s v="Cash Adjustments"/>
    <n v="0"/>
    <n v="0"/>
    <s v="High"/>
    <n v="0"/>
    <n v="0"/>
    <s v="High"/>
    <n v="95621.24988711279"/>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95621.24988711279"/>
    <n v="1.7478067413131528E-4"/>
  </r>
  <r>
    <s v="Receivable Investments"/>
    <s v="Receivable"/>
    <s v="Receivable"/>
    <s v="United States Dollar"/>
    <m/>
    <s v="United States Dollar"/>
    <s v="USD"/>
    <n v="11877325"/>
    <n v="1"/>
    <n v="11877325"/>
    <n v="92093603.109999999"/>
    <n v="-31269.3"/>
    <n v="0"/>
    <n v="92062333.810000002"/>
    <n v="0.99460000000000004"/>
    <m/>
    <s v="Receivable Investments"/>
    <s v="#N/A Invalid Security"/>
    <s v="Cash Adjustments"/>
    <s v="Cash Adjustments"/>
    <s v="Cash Adjustments"/>
    <n v="0"/>
    <n v="0"/>
    <s v="High"/>
    <n v="0"/>
    <n v="0"/>
    <s v="High"/>
    <n v="11877325.000322536"/>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11877325.000322536"/>
    <n v="2.1709890561814098E-2"/>
  </r>
  <r>
    <s v="Payable Investments"/>
    <s v="AccruedInterestPayable"/>
    <s v="AccruedInterestPayable"/>
    <s v="United States Dollar"/>
    <m/>
    <s v="United States Dollar"/>
    <s v="USD"/>
    <n v="-95621.25"/>
    <n v="1"/>
    <n v="-95621.25"/>
    <n v="-741169.87"/>
    <n v="0"/>
    <n v="0"/>
    <n v="-741169.87"/>
    <n v="4.4000000000000003E-3"/>
    <m/>
    <s v="Payable Investments"/>
    <s v="#N/A Invalid Security"/>
    <s v="Cash Adjustments"/>
    <s v="Cash Adjustments"/>
    <s v="Cash Adjustments"/>
    <n v="0"/>
    <n v="0"/>
    <s v="High"/>
    <n v="0"/>
    <n v="0"/>
    <s v="High"/>
    <n v="-95621.24988711279"/>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95621.24988711279"/>
    <n v="-1.7478067413131528E-4"/>
  </r>
  <r>
    <s v="Payable Investments"/>
    <s v="Audit Fees Payable"/>
    <s v="Audit Fees Payable"/>
    <s v="Hong Kong Dollar"/>
    <m/>
    <s v="Hong Kong Dollar"/>
    <s v="HKD"/>
    <n v="-117961.5"/>
    <n v="1"/>
    <n v="-117961.5"/>
    <n v="-117961.5"/>
    <n v="0"/>
    <n v="0"/>
    <n v="-117961.5"/>
    <n v="6.9999999999999999E-4"/>
    <m/>
    <s v="Payable Investments"/>
    <s v="#N/A Invalid Security"/>
    <s v="Cash Adjustments"/>
    <s v="Cash Adjustments"/>
    <s v="Cash Adjustments"/>
    <n v="0"/>
    <n v="0"/>
    <s v="High"/>
    <n v="0"/>
    <n v="0"/>
    <s v="High"/>
    <n v="-15218.678639160893"/>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15218.678639160893"/>
    <n v="-2.7817361884315603E-5"/>
  </r>
  <r>
    <s v="Payable Investments"/>
    <s v="CapitalPayable"/>
    <s v="CapitalPayable"/>
    <s v="Hong Kong Dollar"/>
    <m/>
    <s v="Hong Kong Dollar"/>
    <s v="HKD"/>
    <n v="-2429227.23"/>
    <n v="1"/>
    <n v="-2429227.23"/>
    <n v="-2429227.23"/>
    <n v="0"/>
    <n v="0"/>
    <n v="-2429227.23"/>
    <n v="1.44E-2"/>
    <m/>
    <s v="Payable Investments"/>
    <s v="#N/A Invalid Security"/>
    <s v="Cash Adjustments"/>
    <s v="Cash Adjustments"/>
    <s v="Cash Adjustments"/>
    <n v="0"/>
    <n v="0"/>
    <s v="High"/>
    <n v="0"/>
    <n v="0"/>
    <s v="High"/>
    <n v="-313404.1916631187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313404.19166311878"/>
    <n v="-5.7285379514624324E-4"/>
  </r>
  <r>
    <s v="Payable Investments"/>
    <s v="Legal Fee Payable"/>
    <s v="Legal Fee Payable"/>
    <s v="Hong Kong Dollar"/>
    <m/>
    <s v="Hong Kong Dollar"/>
    <s v="HKD"/>
    <n v="-48000"/>
    <n v="1"/>
    <n v="-48000"/>
    <n v="-48000"/>
    <n v="0"/>
    <n v="0"/>
    <n v="-48000"/>
    <n v="2.9999999999999997E-4"/>
    <m/>
    <s v="Payable Investments"/>
    <s v="#N/A Invalid Security"/>
    <s v="Cash Adjustments"/>
    <s v="Cash Adjustments"/>
    <s v="Cash Adjustments"/>
    <n v="0"/>
    <n v="0"/>
    <s v="High"/>
    <n v="0"/>
    <n v="0"/>
    <s v="High"/>
    <n v="-6192.669427565119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192.6694275651198"/>
    <n v="-1.1319230176346934E-5"/>
  </r>
  <r>
    <s v="Payable Investments"/>
    <s v="Management Fee Payable"/>
    <s v="Management Fee Payable"/>
    <s v="Hong Kong Dollar"/>
    <m/>
    <s v="Hong Kong Dollar"/>
    <s v="HKD"/>
    <n v="-4880302.93"/>
    <n v="1"/>
    <n v="-4880302.93"/>
    <n v="-4880302.93"/>
    <n v="0"/>
    <n v="0"/>
    <n v="-4880302.93"/>
    <n v="2.8899999999999999E-2"/>
    <m/>
    <s v="Payable Investments"/>
    <s v="#N/A Invalid Security"/>
    <s v="Cash Adjustments"/>
    <s v="Cash Adjustments"/>
    <s v="Cash Adjustments"/>
    <n v="0"/>
    <n v="0"/>
    <s v="High"/>
    <n v="0"/>
    <n v="0"/>
    <s v="High"/>
    <n v="-629627.14066390577"/>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29627.14066390577"/>
    <n v="-1.1508598373952158E-3"/>
  </r>
  <r>
    <s v="Payable Investments"/>
    <s v="Payable"/>
    <s v="Payable"/>
    <s v="United States Dollar"/>
    <m/>
    <s v="United States Dollar"/>
    <s v="USD"/>
    <n v="-19568820"/>
    <n v="1"/>
    <n v="-19568820"/>
    <n v="-151716756.18000001"/>
    <n v="37194.86"/>
    <n v="0"/>
    <n v="-151679561.31999999"/>
    <n v="0.89939999999999998"/>
    <m/>
    <s v="Payable Investments"/>
    <s v="#N/A Invalid Security"/>
    <s v="Cash Adjustments"/>
    <s v="Cash Adjustments"/>
    <s v="Cash Adjustments"/>
    <n v="0"/>
    <n v="0"/>
    <s v="High"/>
    <n v="0"/>
    <n v="0"/>
    <s v="High"/>
    <n v="-19568778.79526776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19568778.795267768"/>
    <n v="-3.5768663908925191E-2"/>
  </r>
  <r>
    <s v="Payable Investments"/>
    <s v="SFC Annual Fee Payable"/>
    <s v="SFC Annual Fee Payable"/>
    <s v="Hong Kong Dollar"/>
    <m/>
    <s v="Hong Kong Dollar"/>
    <s v="HKD"/>
    <n v="1482.29"/>
    <n v="1"/>
    <n v="1482.29"/>
    <n v="1482.29"/>
    <n v="0"/>
    <n v="0"/>
    <n v="1482.29"/>
    <n v="0"/>
    <m/>
    <s v="Payable Investments"/>
    <s v="#N/A Invalid Security"/>
    <s v="Cash Adjustments"/>
    <s v="Cash Adjustments"/>
    <s v="Cash Adjustments"/>
    <n v="0"/>
    <n v="0"/>
    <s v="High"/>
    <n v="0"/>
    <n v="0"/>
    <s v="High"/>
    <n v="191.2360826205312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191.23608262053128"/>
    <n v="3.4954961871036036E-7"/>
  </r>
  <r>
    <s v="Payable Investments"/>
    <s v="SoldAI"/>
    <s v="SoldAI"/>
    <s v="United States Dollar"/>
    <m/>
    <s v="United States Dollar"/>
    <s v="USD"/>
    <n v="-60683.5"/>
    <n v="1"/>
    <n v="-60683.5"/>
    <n v="-470588.41"/>
    <n v="224.54"/>
    <n v="0"/>
    <n v="-470363.87"/>
    <n v="2.8E-3"/>
    <m/>
    <s v="Payable Investments"/>
    <s v="#N/A Invalid Security"/>
    <s v="Cash Adjustments"/>
    <s v="Cash Adjustments"/>
    <s v="Cash Adjustments"/>
    <n v="0"/>
    <n v="0"/>
    <s v="High"/>
    <n v="0"/>
    <n v="0"/>
    <s v="High"/>
    <n v="-60683.49911625446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60683.499116254468"/>
    <n v="-1.1091993564931931E-4"/>
  </r>
  <r>
    <s v="Payable Investments"/>
    <s v="SubscriptionsInAdvance"/>
    <s v="SubscriptionsInAdvance"/>
    <s v="Hong Kong Dollar"/>
    <m/>
    <s v="Hong Kong Dollar"/>
    <s v="HKD"/>
    <n v="-6184998.5099999998"/>
    <n v="1"/>
    <n v="-6184998.5099999998"/>
    <n v="-6184998.5099999998"/>
    <n v="0"/>
    <n v="0"/>
    <n v="-6184998.5099999998"/>
    <n v="3.6700000000000003E-2"/>
    <m/>
    <s v="Payable Investments"/>
    <s v="#N/A Invalid Security"/>
    <s v="Cash Adjustments"/>
    <s v="Cash Adjustments"/>
    <s v="Cash Adjustments"/>
    <n v="0"/>
    <n v="0"/>
    <s v="High"/>
    <n v="0"/>
    <n v="0"/>
    <s v="High"/>
    <n v="-797951.066300267"/>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797951.066300267"/>
    <n v="-1.4585296203136005E-3"/>
  </r>
  <r>
    <s v="Payable Investments"/>
    <s v="System Fee Payable"/>
    <s v="System Fee Payable"/>
    <s v="United States Dollar"/>
    <m/>
    <s v="United States Dollar"/>
    <s v="USD"/>
    <n v="-8550"/>
    <n v="1"/>
    <n v="-8550"/>
    <n v="-66591.28"/>
    <n v="0"/>
    <n v="0"/>
    <n v="-66591.28"/>
    <n v="4.0000000000000002E-4"/>
    <m/>
    <s v="Payable Investments"/>
    <s v="#N/A Invalid Security"/>
    <s v="Cash Adjustments"/>
    <s v="Cash Adjustments"/>
    <s v="Cash Adjustments"/>
    <n v="0"/>
    <n v="0"/>
    <s v="High"/>
    <n v="0"/>
    <n v="0"/>
    <s v="High"/>
    <n v="-8591.2038291339286"/>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8591.2038291339286"/>
    <n v="-1.5703375542865999E-5"/>
  </r>
  <r>
    <s v="Payable Investments"/>
    <s v="Trustee Directors and Officers Fees Payable"/>
    <s v="Trustee Directors and Officers Fees Payable"/>
    <s v="Hong Kong Dollar"/>
    <m/>
    <s v="Hong Kong Dollar"/>
    <s v="HKD"/>
    <n v="-2033459.56"/>
    <n v="1"/>
    <n v="-2033459.56"/>
    <n v="-2033459.56"/>
    <n v="0"/>
    <n v="0"/>
    <n v="-2033459.56"/>
    <n v="1.21E-2"/>
    <m/>
    <s v="Payable Investments"/>
    <s v="#N/A Invalid Security"/>
    <s v="Cash Adjustments"/>
    <s v="Cash Adjustments"/>
    <s v="Cash Adjustments"/>
    <n v="0"/>
    <n v="0"/>
    <s v="High"/>
    <n v="0"/>
    <n v="0"/>
    <s v="High"/>
    <n v="-262344.64269587543"/>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262344.64269587543"/>
    <n v="-4.7952493362360751E-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1">
  <r>
    <s v="Investments"/>
    <s v="Cash Long"/>
    <s v="BOCHK Custody account"/>
    <s v="Euro"/>
    <m/>
    <s v="Euro"/>
    <s v="EUR"/>
    <n v="200713.05"/>
    <n v="1"/>
    <n v="200713.05"/>
    <n v="1735858.17"/>
    <n v="-44228.51"/>
    <n v="0"/>
    <n v="1691629.66"/>
    <n v="4.0000000000000002E-4"/>
    <m/>
    <s v="Cash"/>
    <m/>
    <s v="Cash"/>
    <s v="Cash"/>
    <s v="Cash"/>
    <n v="0"/>
    <n v="0"/>
    <s v="High"/>
    <n v="0"/>
    <n v="0"/>
    <s v="High"/>
    <n v="218218.48039215687"/>
    <s v=""/>
    <s v=""/>
    <s v=""/>
    <s v=""/>
    <s v=""/>
    <n v="21"/>
    <n v="21"/>
    <n v="21"/>
    <n v="21"/>
    <s v="EU"/>
    <s v="Cash"/>
    <x v="0"/>
    <s v="Cash"/>
    <s v="Cash"/>
    <s v="Cash"/>
    <s v="Cash"/>
    <x v="0"/>
    <x v="0"/>
    <s v=""/>
    <s v="Cash"/>
    <s v="High"/>
    <s v="High"/>
    <s v="Cash"/>
    <s v="Cash"/>
    <s v="Cash"/>
    <s v=""/>
    <s v=""/>
    <s v=""/>
    <s v=""/>
    <s v=""/>
    <s v=""/>
    <s v=""/>
    <s v=""/>
    <m/>
    <s v="-"/>
    <s v="-"/>
    <s v="-"/>
    <n v="218218.48039215687"/>
    <n v="4.2806803601528172E-4"/>
  </r>
  <r>
    <s v="Investments"/>
    <s v="Cash Long"/>
    <s v="BOCHK Custody account"/>
    <s v="Hong Kong Dollar"/>
    <m/>
    <s v="Hong Kong Dollar"/>
    <s v="HKD"/>
    <n v="13174815.09"/>
    <n v="1"/>
    <n v="13174815.09"/>
    <n v="13174815.09"/>
    <n v="0"/>
    <n v="0"/>
    <n v="13174815.09"/>
    <n v="2.8999999999999998E-3"/>
    <m/>
    <s v="Cash"/>
    <m/>
    <s v="Cash"/>
    <s v="Cash"/>
    <s v="Cash"/>
    <n v="0"/>
    <n v="0"/>
    <s v="High"/>
    <n v="0"/>
    <n v="0"/>
    <s v="High"/>
    <n v="1699537.5503095975"/>
    <s v=""/>
    <s v=""/>
    <s v=""/>
    <s v=""/>
    <s v=""/>
    <n v="21"/>
    <n v="21"/>
    <n v="21"/>
    <n v="21"/>
    <s v="HK"/>
    <s v="Cash"/>
    <x v="0"/>
    <s v="Cash"/>
    <s v="Cash"/>
    <s v="Cash"/>
    <s v="Cash"/>
    <x v="0"/>
    <x v="0"/>
    <s v=""/>
    <s v="Cash"/>
    <s v="High"/>
    <s v="High"/>
    <s v="Cash"/>
    <s v="Cash"/>
    <s v="Cash"/>
    <s v=""/>
    <s v=""/>
    <s v=""/>
    <s v=""/>
    <s v=""/>
    <s v=""/>
    <s v=""/>
    <s v=""/>
    <s v=""/>
    <s v="-"/>
    <s v="-"/>
    <s v="-"/>
    <n v="1699537.5503095975"/>
    <n v="3.3338959192999711E-3"/>
  </r>
  <r>
    <s v="Investments"/>
    <s v="Cash Long"/>
    <s v="BOCHK Custody account"/>
    <s v="United States Dollar"/>
    <m/>
    <s v="United States Dollar"/>
    <s v="USD"/>
    <n v="5629628.0700000003"/>
    <n v="1"/>
    <n v="5629628.0700000003"/>
    <n v="43631153.719999999"/>
    <n v="-410.25"/>
    <n v="0"/>
    <n v="43630743.469999999"/>
    <n v="9.5999999999999992E-3"/>
    <m/>
    <s v="Cash"/>
    <m/>
    <s v="Cash"/>
    <s v="Cash"/>
    <s v="Cash"/>
    <n v="0"/>
    <n v="0"/>
    <s v="High"/>
    <n v="0"/>
    <n v="0"/>
    <s v="High"/>
    <n v="5628320.8810629519"/>
    <s v=""/>
    <s v=""/>
    <s v=""/>
    <s v=""/>
    <s v=""/>
    <n v="21"/>
    <n v="21"/>
    <n v="21"/>
    <n v="21"/>
    <s v="US"/>
    <s v="Cash"/>
    <x v="0"/>
    <s v="Cash"/>
    <s v="Cash"/>
    <s v="Cash"/>
    <s v="Cash"/>
    <x v="0"/>
    <x v="0"/>
    <s v=""/>
    <s v="Cash"/>
    <s v="High"/>
    <s v="High"/>
    <s v="Cash"/>
    <s v="Cash"/>
    <s v="Cash"/>
    <s v=""/>
    <s v=""/>
    <s v=""/>
    <s v=""/>
    <s v=""/>
    <s v=""/>
    <s v=""/>
    <s v=""/>
    <s v=""/>
    <s v="-"/>
    <s v="-"/>
    <s v="-"/>
    <n v="5628320.8810629519"/>
    <n v="1.1040789310285255E-2"/>
  </r>
  <r>
    <s v="Investments"/>
    <s v="Cash Long"/>
    <s v="Morgan Stanley Future Account"/>
    <s v="United States Dollar"/>
    <m/>
    <s v="United States Dollar"/>
    <s v="USD"/>
    <n v="2554047.4"/>
    <n v="1"/>
    <n v="2554047.4"/>
    <n v="19973608.77"/>
    <n v="-179230.61"/>
    <n v="0"/>
    <n v="19794378.16"/>
    <n v="4.4000000000000003E-3"/>
    <m/>
    <s v="Cash"/>
    <m/>
    <s v="Cash"/>
    <s v="Cash"/>
    <s v="Cash"/>
    <n v="0"/>
    <n v="0"/>
    <s v="High"/>
    <n v="0"/>
    <n v="0"/>
    <s v="High"/>
    <n v="2553454.35500516"/>
    <s v=""/>
    <s v=""/>
    <s v=""/>
    <s v=""/>
    <s v=""/>
    <n v="21"/>
    <n v="21"/>
    <n v="21"/>
    <n v="21"/>
    <s v="US"/>
    <s v="Cash"/>
    <x v="0"/>
    <s v="Cash"/>
    <s v="Cash"/>
    <s v="Cash"/>
    <s v="Cash"/>
    <x v="0"/>
    <x v="0"/>
    <s v=""/>
    <s v="Cash"/>
    <s v="High"/>
    <s v="High"/>
    <s v="Cash"/>
    <s v="Cash"/>
    <s v="Cash"/>
    <s v=""/>
    <s v=""/>
    <s v=""/>
    <s v=""/>
    <s v=""/>
    <s v=""/>
    <s v=""/>
    <s v=""/>
    <s v=""/>
    <s v="-"/>
    <s v="-"/>
    <s v="-"/>
    <n v="2553454.35500516"/>
    <n v="5.0089808564216035E-3"/>
  </r>
  <r>
    <s v="Investments"/>
    <s v="Investments Long"/>
    <m/>
    <s v="Hong Kong Dollar"/>
    <m/>
    <s v="AIA GROUP LTD"/>
    <s v="1299 HK"/>
    <n v="177200"/>
    <n v="71.95"/>
    <n v="12571534.66"/>
    <n v="12571534.66"/>
    <n v="178005.34"/>
    <n v="0"/>
    <n v="12749540"/>
    <n v="2.8E-3"/>
    <m/>
    <s v="Investments"/>
    <s v="BBG0016XR1Q8"/>
    <s v="EQUI"/>
    <s v="Equity"/>
    <s v="Common Stock"/>
    <n v="0.2"/>
    <n v="1.6579E-2"/>
    <s v="High"/>
    <n v="0.4"/>
    <n v="2.9774999999999999E-2"/>
    <s v="High"/>
    <n v="1644677.5025799794"/>
    <s v=""/>
    <s v=""/>
    <s v=""/>
    <s v=""/>
    <s v=""/>
    <n v="0"/>
    <n v="0"/>
    <n v="0"/>
    <n v="0"/>
    <s v="HK"/>
    <s v="Financial"/>
    <x v="1"/>
    <s v="Life/Health Insurance"/>
    <s v="N"/>
    <s v=" "/>
    <s v="ACTV"/>
    <x v="1"/>
    <x v="1"/>
    <s v=""/>
    <s v="Hong Kong"/>
    <s v="High"/>
    <s v="High"/>
    <s v="Financials"/>
    <s v="Life/Health Insurance"/>
    <s v="#N/A Field Not Applicable"/>
    <s v=""/>
    <s v=""/>
    <s v=""/>
    <s v=""/>
    <s v=""/>
    <s v=""/>
    <s v=""/>
    <s v=""/>
    <s v=""/>
    <s v="HK0000069689"/>
    <s v="-"/>
    <n v="-9.0500000000000007"/>
    <n v="1644677.5025799794"/>
    <n v="3.22627976852704E-3"/>
  </r>
  <r>
    <s v="Investments"/>
    <s v="Investments Long"/>
    <m/>
    <s v="Hong Kong Dollar"/>
    <m/>
    <s v="ALIBABA GROUP HOLDING LTD"/>
    <s v="9988 HK"/>
    <n v="127000"/>
    <n v="197"/>
    <n v="22577241.100000001"/>
    <n v="22577241.100000001"/>
    <n v="2441758.9"/>
    <n v="0"/>
    <n v="25019000"/>
    <n v="5.4999999999999997E-3"/>
    <m/>
    <s v="Investments"/>
    <s v="BBG00QV37ZP9"/>
    <s v="EQUI"/>
    <s v="Equity"/>
    <s v="Common Stock"/>
    <n v="0.2"/>
    <n v="1.5845999999999999E-2"/>
    <s v="High"/>
    <n v="0.5"/>
    <n v="2.852E-2"/>
    <s v="High"/>
    <n v="3227425.1805985551"/>
    <s v=""/>
    <s v=""/>
    <s v=""/>
    <s v=""/>
    <s v=""/>
    <n v="0"/>
    <n v="0"/>
    <n v="0"/>
    <n v="0"/>
    <s v="HK"/>
    <s v="Communications"/>
    <x v="2"/>
    <s v="E-Commerce/Products"/>
    <s v="N"/>
    <s v=" "/>
    <s v="ACTV"/>
    <x v="1"/>
    <x v="2"/>
    <s v=""/>
    <s v="Hong Kong"/>
    <s v="High"/>
    <s v="High"/>
    <s v="Consumer Discretionary"/>
    <s v="E-Commerce/Products"/>
    <s v="#N/A Field Not Applicable"/>
    <s v=""/>
    <s v=""/>
    <s v=""/>
    <s v=""/>
    <s v=""/>
    <s v=""/>
    <s v=""/>
    <s v=""/>
    <s v=""/>
    <s v="KYG017191142"/>
    <s v="-"/>
    <n v="-6.44"/>
    <n v="3227425.1805985551"/>
    <n v="6.3310749665304008E-3"/>
  </r>
  <r>
    <s v="Investments"/>
    <s v="Investments Long"/>
    <m/>
    <s v="Hong Kong Dollar"/>
    <m/>
    <s v="ANTA SPORTS PRODUCTS LTD"/>
    <s v="2020 HK"/>
    <n v="50000"/>
    <n v="65.45"/>
    <n v="2505192.5"/>
    <n v="2505192.5"/>
    <n v="767307.5"/>
    <n v="0"/>
    <n v="3272500"/>
    <n v="6.9999999999999999E-4"/>
    <m/>
    <s v="Investments"/>
    <s v="BBG000QWR4M8"/>
    <s v="EQUI"/>
    <s v="Equity"/>
    <s v="Common Stock"/>
    <n v="0.2"/>
    <n v="3.9952000000000001E-2"/>
    <s v="High"/>
    <n v="0.3"/>
    <n v="7.0986999999999995E-2"/>
    <s v="High"/>
    <n v="422149.12280701753"/>
    <s v=""/>
    <s v=""/>
    <s v=""/>
    <s v=""/>
    <s v=""/>
    <n v="0"/>
    <n v="0"/>
    <n v="0"/>
    <n v="0"/>
    <s v="HK"/>
    <s v="Consumer, Cyclical"/>
    <x v="3"/>
    <s v="Retail-Apparel/Shoe"/>
    <s v="N"/>
    <s v=" "/>
    <s v="ACTV"/>
    <x v="1"/>
    <x v="2"/>
    <s v=""/>
    <s v="Hong Kong"/>
    <s v="High"/>
    <s v="High"/>
    <s v="Consumer Discretionary"/>
    <s v="Retail-Apparel/Shoe"/>
    <s v="#N/A Field Not Applicable"/>
    <s v=""/>
    <s v=""/>
    <s v=""/>
    <s v=""/>
    <s v=""/>
    <s v=""/>
    <s v=""/>
    <s v=""/>
    <s v=""/>
    <s v="KYG040111059"/>
    <s v="-"/>
    <n v="-10.46"/>
    <n v="422149.12280701753"/>
    <n v="8.2810835077224256E-4"/>
  </r>
  <r>
    <s v="Investments"/>
    <s v="Investments Long"/>
    <m/>
    <s v="Hong Kong Dollar"/>
    <m/>
    <s v="CHINA MENGNIU DAIRY CO"/>
    <s v="2319 HK"/>
    <n v="110000"/>
    <n v="27.65"/>
    <n v="3463883.29"/>
    <n v="3463883.29"/>
    <n v="-422383.29"/>
    <n v="0"/>
    <n v="3041500"/>
    <n v="6.9999999999999999E-4"/>
    <m/>
    <s v="Investments"/>
    <s v="BBG000PXTGY5"/>
    <s v="EQUI"/>
    <s v="Equity"/>
    <s v="Common Stock"/>
    <n v="0.3"/>
    <n v="2.1010000000000001E-2"/>
    <s v="High"/>
    <n v="0.7"/>
    <n v="3.7441000000000002E-2"/>
    <s v="High"/>
    <n v="392350.36119711044"/>
    <s v=""/>
    <s v=""/>
    <s v=""/>
    <s v=""/>
    <s v=""/>
    <n v="0"/>
    <n v="0"/>
    <n v="0"/>
    <n v="0"/>
    <s v="HK"/>
    <s v="Consumer, Non-cyclical"/>
    <x v="4"/>
    <s v="Food-Dairy Products"/>
    <s v="N"/>
    <s v=" "/>
    <s v="ACTV"/>
    <x v="1"/>
    <x v="2"/>
    <s v=""/>
    <s v="Hong Kong"/>
    <s v="High"/>
    <s v="High"/>
    <s v="Consumer Staples"/>
    <s v="Food-Dairy Products"/>
    <s v="#N/A Field Not Applicable"/>
    <s v=""/>
    <s v=""/>
    <s v=""/>
    <s v=""/>
    <s v=""/>
    <s v=""/>
    <s v=""/>
    <s v=""/>
    <s v=""/>
    <s v="KYG210961051"/>
    <s v="-"/>
    <n v="-7.92"/>
    <n v="392350.36119711044"/>
    <n v="7.6965364365890788E-4"/>
  </r>
  <r>
    <s v="Investments"/>
    <s v="Investments Long"/>
    <m/>
    <s v="Hong Kong Dollar"/>
    <m/>
    <s v="CHINA MERCHANTS BANK-H"/>
    <s v="3968 HK"/>
    <n v="290000"/>
    <n v="37.15"/>
    <n v="10831349.199999999"/>
    <n v="10831349.199999999"/>
    <n v="-57849.2"/>
    <n v="0"/>
    <n v="10773500"/>
    <n v="2.3999999999999998E-3"/>
    <m/>
    <s v="Investments"/>
    <s v="BBG000DVPPK1"/>
    <s v="EQUI"/>
    <s v="Equity"/>
    <s v="Common Stock"/>
    <n v="0.6"/>
    <n v="1.8598E-2"/>
    <s v="High"/>
    <n v="1.3"/>
    <n v="3.3168999999999997E-2"/>
    <s v="High"/>
    <n v="1389770.3818369454"/>
    <s v=""/>
    <s v=""/>
    <s v=""/>
    <s v=""/>
    <s v=""/>
    <n v="0"/>
    <n v="0"/>
    <n v="0"/>
    <n v="0"/>
    <s v="HK"/>
    <s v="Financial"/>
    <x v="5"/>
    <s v="Commer Banks Non-US"/>
    <s v="N"/>
    <s v=" "/>
    <s v="ACTV"/>
    <x v="1"/>
    <x v="1"/>
    <s v=""/>
    <s v="Hong Kong"/>
    <s v="High"/>
    <s v="High"/>
    <s v="Financials"/>
    <s v="Commer Banks Non-US"/>
    <s v="#N/A Field Not Applicable"/>
    <s v=""/>
    <s v=""/>
    <s v=""/>
    <s v=""/>
    <s v=""/>
    <s v=""/>
    <s v=""/>
    <s v=""/>
    <s v=""/>
    <s v="CNE1000002M1"/>
    <s v="-"/>
    <n v="-8.77"/>
    <n v="1389770.3818369454"/>
    <n v="2.7262415025346848E-3"/>
  </r>
  <r>
    <s v="Investments"/>
    <s v="Investments Long"/>
    <m/>
    <s v="Hong Kong Dollar"/>
    <m/>
    <s v="CHINA MOBILE LTD"/>
    <s v="941 HK"/>
    <n v="125000"/>
    <n v="62.45"/>
    <n v="8479164.1300000008"/>
    <n v="8479164.1300000008"/>
    <n v="-672914.13"/>
    <n v="0"/>
    <n v="7806250"/>
    <n v="1.6999999999999999E-3"/>
    <m/>
    <s v="Investments"/>
    <s v="BBG000BZWNT2"/>
    <s v="EQUI"/>
    <s v="Equity"/>
    <s v="Common Stock"/>
    <n v="0.2"/>
    <n v="1.8037000000000001E-2"/>
    <s v="High"/>
    <n v="0.4"/>
    <n v="3.2431000000000001E-2"/>
    <s v="High"/>
    <n v="1006998.1940144479"/>
    <s v=""/>
    <s v=""/>
    <s v=""/>
    <s v=""/>
    <s v=""/>
    <n v="0"/>
    <n v="0"/>
    <n v="0"/>
    <n v="0"/>
    <s v="HK"/>
    <s v="Communications"/>
    <x v="6"/>
    <s v="Cellular Telecom"/>
    <s v="N"/>
    <s v=" "/>
    <s v="ACTV"/>
    <x v="1"/>
    <x v="2"/>
    <s v=""/>
    <s v="Hong Kong"/>
    <s v="High"/>
    <s v="High"/>
    <s v="Communication Services"/>
    <s v="Cellular Telecom"/>
    <s v="#N/A Field Not Applicable"/>
    <s v=""/>
    <s v=""/>
    <s v=""/>
    <s v=""/>
    <s v=""/>
    <s v=""/>
    <s v=""/>
    <s v=""/>
    <s v=""/>
    <s v="HK0941009539"/>
    <s v="-"/>
    <n v="-6.34"/>
    <n v="1006998.1940144479"/>
    <n v="1.9753768718764916E-3"/>
  </r>
  <r>
    <s v="Investments"/>
    <s v="Investments Long"/>
    <m/>
    <s v="Hong Kong Dollar"/>
    <m/>
    <s v="CHINA TOWER CORP LTD-H"/>
    <s v="788 HK"/>
    <n v="3500000"/>
    <n v="1.74"/>
    <n v="5643848.8300000001"/>
    <n v="5643848.8300000001"/>
    <n v="446151.17"/>
    <n v="0"/>
    <n v="6090000"/>
    <n v="1.2999999999999999E-3"/>
    <m/>
    <s v="Investments"/>
    <s v="BBG00LD1QR26"/>
    <s v="EQUI"/>
    <s v="Equity"/>
    <s v="Common Stock"/>
    <n v="0.3"/>
    <n v="1.8851E-2"/>
    <s v="High"/>
    <n v="0.5"/>
    <n v="3.3730000000000003E-2"/>
    <s v="High"/>
    <n v="785603.71517027868"/>
    <s v=""/>
    <s v=""/>
    <s v=""/>
    <s v=""/>
    <s v=""/>
    <n v="0"/>
    <n v="0"/>
    <n v="0"/>
    <n v="0"/>
    <s v="HK"/>
    <s v="Industrial"/>
    <x v="7"/>
    <s v="Building-Heavy Construct"/>
    <s v="N"/>
    <s v=" "/>
    <s v="ACTV"/>
    <x v="1"/>
    <x v="2"/>
    <s v=""/>
    <s v="Hong Kong"/>
    <s v="High"/>
    <s v="High"/>
    <s v="Communication Services"/>
    <s v="Building-Heavy Construct"/>
    <s v="#N/A Field Not Applicable"/>
    <s v=""/>
    <s v=""/>
    <s v=""/>
    <s v=""/>
    <s v=""/>
    <s v=""/>
    <s v=""/>
    <s v=""/>
    <s v=""/>
    <s v="CNE100003688"/>
    <s v="-"/>
    <n v="-9.6300000000000008"/>
    <n v="785603.71517027868"/>
    <n v="1.5410786420788259E-3"/>
  </r>
  <r>
    <s v="Investments"/>
    <s v="Investments Long"/>
    <m/>
    <s v="Hong Kong Dollar"/>
    <m/>
    <s v="CLP HOLDINGS LTD"/>
    <s v="2 HK"/>
    <n v="55000"/>
    <n v="82.8"/>
    <n v="4743347.9400000004"/>
    <n v="4743347.9400000004"/>
    <n v="-189347.94"/>
    <n v="0"/>
    <n v="4554000"/>
    <n v="1E-3"/>
    <m/>
    <s v="Investments"/>
    <s v="BBG000BDV566"/>
    <s v="EQUI"/>
    <s v="Equity"/>
    <s v="Common Stock"/>
    <n v="0.4"/>
    <n v="1.6756E-2"/>
    <s v="High"/>
    <n v="0.8"/>
    <n v="2.9912000000000001E-2"/>
    <s v="High"/>
    <n v="587461.30030959751"/>
    <s v=""/>
    <s v=""/>
    <s v=""/>
    <s v=""/>
    <s v=""/>
    <n v="0"/>
    <n v="0"/>
    <n v="0"/>
    <n v="0"/>
    <s v="HK"/>
    <s v="Utilities"/>
    <x v="8"/>
    <s v="Electric-Integrated"/>
    <s v="N"/>
    <s v=" "/>
    <s v="ACTV"/>
    <x v="1"/>
    <x v="2"/>
    <s v=""/>
    <s v="Hong Kong"/>
    <s v="High"/>
    <s v="High"/>
    <s v="Utilities"/>
    <s v="Electric-Integrated"/>
    <s v="#N/A Field Not Applicable"/>
    <s v=""/>
    <s v=""/>
    <s v=""/>
    <s v=""/>
    <s v=""/>
    <s v=""/>
    <s v=""/>
    <s v=""/>
    <s v=""/>
    <s v="HK0002007356"/>
    <s v="-"/>
    <n v="-7.32"/>
    <n v="587461.30030959751"/>
    <n v="1.1523927973771711E-3"/>
  </r>
  <r>
    <s v="Investments"/>
    <s v="Investments Long"/>
    <m/>
    <s v="Hong Kong Dollar"/>
    <m/>
    <s v="GUANGDONG INVESTMENT LTD"/>
    <s v="270 HK"/>
    <n v="750000"/>
    <n v="16.12"/>
    <n v="11300550.470000001"/>
    <n v="11300550.470000001"/>
    <n v="789449.53"/>
    <n v="0"/>
    <n v="12090000"/>
    <n v="2.7000000000000001E-3"/>
    <m/>
    <s v="Investments"/>
    <s v="BBG000BDW8M1"/>
    <s v="EQUI"/>
    <s v="Equity"/>
    <s v="Common Stock"/>
    <n v="2"/>
    <n v="1.43E-2"/>
    <s v="High"/>
    <n v="5.7"/>
    <n v="2.5059000000000001E-2"/>
    <s v="Medium"/>
    <n v="1559597.5232198143"/>
    <s v=""/>
    <s v=""/>
    <s v=""/>
    <s v=""/>
    <s v=""/>
    <n v="0"/>
    <n v="0"/>
    <n v="0"/>
    <n v="0"/>
    <s v="HK"/>
    <s v="Utilities"/>
    <x v="9"/>
    <s v="Water"/>
    <s v="N"/>
    <s v=" "/>
    <s v="ACTV"/>
    <x v="1"/>
    <x v="2"/>
    <s v=""/>
    <s v="Hong Kong"/>
    <s v="High"/>
    <s v="Medium"/>
    <s v="Utilities"/>
    <s v="Water"/>
    <s v="#N/A Field Not Applicable"/>
    <s v=""/>
    <s v=""/>
    <s v=""/>
    <s v=""/>
    <s v=""/>
    <s v=""/>
    <s v=""/>
    <s v=""/>
    <s v=""/>
    <s v="HK0270001396"/>
    <s v="-"/>
    <n v="-6.88"/>
    <n v="1559597.5232198143"/>
    <n v="3.059382722944664E-3"/>
  </r>
  <r>
    <s v="Investments"/>
    <s v="Investments Long"/>
    <m/>
    <s v="Hong Kong Dollar"/>
    <m/>
    <s v="HK ELECTRIC INVESTMENTS -SS"/>
    <s v="2638 HK"/>
    <n v="1052500"/>
    <n v="8"/>
    <n v="8185153.1399999997"/>
    <n v="8185153.1399999997"/>
    <n v="234846.86"/>
    <n v="0"/>
    <n v="8420000"/>
    <n v="1.9E-3"/>
    <m/>
    <s v="Investments"/>
    <s v="BBG005Q0XWK0"/>
    <s v="EQUI"/>
    <s v="Equity"/>
    <s v="Unit"/>
    <n v="3.5"/>
    <n v="1.2414E-2"/>
    <s v="Medium"/>
    <n v="10.4"/>
    <n v="2.1561E-2"/>
    <s v="Illiquid"/>
    <n v="1086171.310629515"/>
    <s v=""/>
    <s v=""/>
    <s v=""/>
    <s v=""/>
    <s v=""/>
    <n v="0"/>
    <n v="0"/>
    <n v="0"/>
    <n v="0"/>
    <s v="HK"/>
    <s v="Utilities"/>
    <x v="8"/>
    <s v="Electric-Distribution"/>
    <s v="N"/>
    <s v=" "/>
    <s v="ACTV"/>
    <x v="1"/>
    <x v="2"/>
    <s v=""/>
    <s v="Hong Kong"/>
    <s v="Medium"/>
    <s v="Illiquid"/>
    <s v="Utilities"/>
    <s v="Electric-Distribution"/>
    <s v="#N/A Field Not Applicable"/>
    <s v=""/>
    <s v=""/>
    <s v=""/>
    <s v=""/>
    <s v=""/>
    <s v=""/>
    <s v=""/>
    <s v=""/>
    <s v=""/>
    <s v="HK0000179108"/>
    <s v="-"/>
    <n v="-6.41"/>
    <n v="1086171.310629515"/>
    <n v="2.1306867268150597E-3"/>
  </r>
  <r>
    <s v="Investments"/>
    <s v="Investments Long"/>
    <m/>
    <s v="Hong Kong Dollar"/>
    <m/>
    <s v="HKT TRUST AND HKT LTD-SS"/>
    <s v="6823 HK"/>
    <n v="957000"/>
    <n v="12.46"/>
    <n v="9928959.3200000003"/>
    <n v="9928959.3200000003"/>
    <n v="1995260.68"/>
    <n v="0"/>
    <n v="11924220"/>
    <n v="2.5999999999999999E-3"/>
    <m/>
    <s v="Investments"/>
    <s v="BBG00226B1T3"/>
    <s v="EQUI"/>
    <s v="Equity"/>
    <s v="Unit"/>
    <n v="1.6"/>
    <n v="2.0095999999999999E-2"/>
    <s v="High"/>
    <n v="4.4000000000000004"/>
    <n v="3.5222999999999997E-2"/>
    <s v="Medium"/>
    <n v="1538212.0743034056"/>
    <s v=""/>
    <s v=""/>
    <s v=""/>
    <s v=""/>
    <s v=""/>
    <n v="0"/>
    <n v="0"/>
    <n v="0"/>
    <n v="0"/>
    <s v="HK"/>
    <s v="Communications"/>
    <x v="6"/>
    <s v="Telecom Services"/>
    <s v="N"/>
    <s v=" "/>
    <s v="ACTV"/>
    <x v="1"/>
    <x v="2"/>
    <s v=""/>
    <s v="Hong Kong"/>
    <s v="High"/>
    <s v="Medium"/>
    <s v="Communication Services"/>
    <s v="Telecom Services"/>
    <s v="#N/A Field Not Applicable"/>
    <s v=""/>
    <s v=""/>
    <s v=""/>
    <s v=""/>
    <s v=""/>
    <s v=""/>
    <s v=""/>
    <s v=""/>
    <s v=""/>
    <s v="HK0000093390"/>
    <s v="-"/>
    <n v="-6.26"/>
    <n v="1538212.0743034056"/>
    <n v="3.0174319811903409E-3"/>
  </r>
  <r>
    <s v="Investments"/>
    <s v="Investments Long"/>
    <m/>
    <s v="Hong Kong Dollar"/>
    <m/>
    <s v="HONG KONG EXCHANGES &amp; CLEAR"/>
    <s v="388 HK"/>
    <n v="40000"/>
    <n v="252"/>
    <n v="9792037.1600000001"/>
    <n v="9792037.1600000001"/>
    <n v="287962.84000000003"/>
    <n v="0"/>
    <n v="10080000"/>
    <n v="2.2000000000000001E-3"/>
    <m/>
    <s v="Investments"/>
    <s v="BBG000BGW354"/>
    <s v="EQUI"/>
    <s v="Equity"/>
    <s v="Common Stock"/>
    <n v="0.3"/>
    <n v="1.1353E-2"/>
    <s v="High"/>
    <n v="0.7"/>
    <n v="2.035E-2"/>
    <s v="High"/>
    <n v="1300309.5975232199"/>
    <s v=""/>
    <s v=""/>
    <s v=""/>
    <s v=""/>
    <s v=""/>
    <n v="0"/>
    <n v="0"/>
    <n v="0"/>
    <n v="0"/>
    <s v="HK"/>
    <s v="Financial"/>
    <x v="10"/>
    <s v="Finance-Other Services"/>
    <s v="N"/>
    <s v=" "/>
    <s v="ACTV"/>
    <x v="1"/>
    <x v="1"/>
    <s v=""/>
    <s v="Hong Kong"/>
    <s v="High"/>
    <s v="High"/>
    <s v="Financials"/>
    <s v="Finance-Other Services"/>
    <s v="#N/A Field Not Applicable"/>
    <s v=""/>
    <s v=""/>
    <s v=""/>
    <s v=""/>
    <s v=""/>
    <s v=""/>
    <s v=""/>
    <s v=""/>
    <s v=""/>
    <s v="HK0388045442"/>
    <s v="-"/>
    <n v="-9.1300000000000008"/>
    <n v="1300309.5975232199"/>
    <n v="2.5507508558546082E-3"/>
  </r>
  <r>
    <s v="Investments"/>
    <s v="Investments Long"/>
    <m/>
    <s v="Hong Kong Dollar"/>
    <m/>
    <s v="IND &amp; COMM BK OF CHINA-H"/>
    <s v="1398 HK"/>
    <n v="1500000"/>
    <n v="5.27"/>
    <n v="8332270.2599999998"/>
    <n v="8332270.2599999998"/>
    <n v="-427270.26"/>
    <n v="0"/>
    <n v="7905000"/>
    <n v="1.6999999999999999E-3"/>
    <m/>
    <s v="Investments"/>
    <s v="BBG000Q16VR4"/>
    <s v="EQUI"/>
    <s v="Equity"/>
    <s v="Common Stock"/>
    <n v="0.2"/>
    <n v="1.2282E-2"/>
    <s v="High"/>
    <n v="0.5"/>
    <n v="2.2110000000000001E-2"/>
    <s v="High"/>
    <n v="1019736.8421052631"/>
    <s v=""/>
    <s v=""/>
    <s v=""/>
    <s v=""/>
    <s v=""/>
    <n v="0"/>
    <n v="0"/>
    <n v="0"/>
    <n v="0"/>
    <s v="HK"/>
    <s v="Financial"/>
    <x v="5"/>
    <s v="Commer Banks Non-US"/>
    <s v="N"/>
    <s v=" "/>
    <s v="ACTV"/>
    <x v="1"/>
    <x v="1"/>
    <s v=""/>
    <s v="Hong Kong"/>
    <s v="High"/>
    <s v="High"/>
    <s v="Financials"/>
    <s v="Commer Banks Non-US"/>
    <s v="#N/A Field Not Applicable"/>
    <s v=""/>
    <s v=""/>
    <s v=""/>
    <s v=""/>
    <s v=""/>
    <s v=""/>
    <s v=""/>
    <s v=""/>
    <s v=""/>
    <s v="CNE1000003G1"/>
    <s v="-"/>
    <n v="-8.18"/>
    <n v="1019736.8421052631"/>
    <n v="2.0003656265407416E-3"/>
  </r>
  <r>
    <s v="Investments"/>
    <s v="Investments Long"/>
    <m/>
    <s v="Hong Kong Dollar"/>
    <m/>
    <s v="ISHARES FTSE A50 CHINA INDEX"/>
    <s v="2823 HK"/>
    <n v="530000"/>
    <n v="13.94"/>
    <n v="6837593.1699999999"/>
    <n v="6837593.1699999999"/>
    <n v="550606.82999999996"/>
    <n v="0"/>
    <n v="7388200"/>
    <n v="1.6000000000000001E-3"/>
    <m/>
    <s v="Investments"/>
    <s v="BBG000P9FRH8"/>
    <s v="EQUI"/>
    <s v="Equity"/>
    <s v="Mutual Fund"/>
    <n v="0.5"/>
    <n v="1.0976E-2"/>
    <s v="High"/>
    <n v="1"/>
    <n v="1.9488999999999999E-2"/>
    <s v="High"/>
    <n v="953070.17543859652"/>
    <s v=""/>
    <s v=""/>
    <s v=""/>
    <s v=""/>
    <s v=""/>
    <n v="0"/>
    <n v="0"/>
    <n v="0"/>
    <n v="0"/>
    <s v="HK"/>
    <s v="Funds"/>
    <x v="11"/>
    <s v="Country Fund-China"/>
    <s v="N"/>
    <s v=" "/>
    <s v="ACTV"/>
    <x v="1"/>
    <x v="2"/>
    <s v=""/>
    <s v="Hong Kong"/>
    <s v="High"/>
    <s v="High"/>
    <s v="Equity Fund"/>
    <s v="Country Fund-China"/>
    <s v="#N/A Field Not Applicable"/>
    <s v=""/>
    <s v=""/>
    <s v=""/>
    <s v=""/>
    <s v=""/>
    <s v=""/>
    <s v=""/>
    <s v=""/>
    <s v=""/>
    <s v="HK2823028546"/>
    <s v="-"/>
    <n v="-7.89"/>
    <n v="953070.17543859652"/>
    <n v="1.8695890350421643E-3"/>
  </r>
  <r>
    <s v="Investments"/>
    <s v="Investments Long"/>
    <m/>
    <s v="Hong Kong Dollar"/>
    <m/>
    <s v="LINK REIT"/>
    <s v="823 HK"/>
    <n v="92000"/>
    <n v="69.599999999999994"/>
    <n v="6817556.8899999997"/>
    <n v="6817556.8899999997"/>
    <n v="-414356.89"/>
    <n v="0"/>
    <n v="6403200"/>
    <n v="1.4E-3"/>
    <m/>
    <s v="Investments"/>
    <s v="BBG000P9D267"/>
    <s v="EQUI"/>
    <s v="Equity"/>
    <s v="REIT"/>
    <n v="0.4"/>
    <n v="1.7929E-2"/>
    <s v="High"/>
    <n v="0.8"/>
    <n v="3.1961999999999997E-2"/>
    <s v="High"/>
    <n v="826006.19195046439"/>
    <s v=""/>
    <s v=""/>
    <s v=""/>
    <s v=""/>
    <s v=""/>
    <n v="0"/>
    <n v="0"/>
    <n v="0"/>
    <n v="0"/>
    <s v="HK"/>
    <s v="Financial"/>
    <x v="12"/>
    <s v="REITS-Shopping Centers"/>
    <s v="N"/>
    <s v=" "/>
    <s v="ACTV"/>
    <x v="1"/>
    <x v="1"/>
    <s v=""/>
    <s v="Hong Kong"/>
    <s v="High"/>
    <s v="High"/>
    <s v="Real Estate"/>
    <s v="REITS-Shopping Centers"/>
    <s v="#N/A Field Not Applicable"/>
    <s v=""/>
    <s v=""/>
    <s v=""/>
    <s v=""/>
    <s v=""/>
    <s v=""/>
    <s v=""/>
    <s v=""/>
    <s v=""/>
    <s v="HK0823032773"/>
    <s v="-"/>
    <n v="-11.45"/>
    <n v="826006.19195046439"/>
    <n v="1.6203341151000226E-3"/>
  </r>
  <r>
    <s v="Investments"/>
    <s v="Investments Long"/>
    <m/>
    <s v="Hong Kong Dollar"/>
    <m/>
    <s v="MEITUAN DIANPING-CLASS B"/>
    <s v="3690 HK"/>
    <n v="70000"/>
    <n v="103.8"/>
    <n v="6445939.8899999997"/>
    <n v="6445939.8899999997"/>
    <n v="820060.11"/>
    <n v="0"/>
    <n v="7266000"/>
    <n v="1.6000000000000001E-3"/>
    <m/>
    <s v="Investments"/>
    <s v="BBG00LLV9WW6"/>
    <s v="EQUI"/>
    <s v="Equity"/>
    <s v="Common Stock"/>
    <n v="0.1"/>
    <n v="1.487E-2"/>
    <s v="High"/>
    <n v="0.2"/>
    <n v="2.6790999999999999E-2"/>
    <s v="High"/>
    <n v="937306.50154798769"/>
    <s v=""/>
    <s v=""/>
    <s v=""/>
    <s v=""/>
    <s v=""/>
    <n v="0"/>
    <n v="0"/>
    <n v="0"/>
    <n v="0"/>
    <s v="HK"/>
    <s v="Communications"/>
    <x v="2"/>
    <s v="E-Commerce/Products"/>
    <s v="N"/>
    <s v=" "/>
    <s v="ACTV"/>
    <x v="1"/>
    <x v="2"/>
    <s v=""/>
    <s v="Hong Kong"/>
    <s v="High"/>
    <s v="High"/>
    <s v="Consumer Discretionary"/>
    <s v="E-Commerce/Products"/>
    <s v="#N/A Field Not Applicable"/>
    <s v=""/>
    <s v=""/>
    <s v=""/>
    <s v=""/>
    <s v=""/>
    <s v=""/>
    <s v=""/>
    <s v=""/>
    <s v=""/>
    <s v="KYG596691041"/>
    <s v="-"/>
    <n v="-9.49"/>
    <n v="937306.50154798769"/>
    <n v="1.8386662419285302E-3"/>
  </r>
  <r>
    <s v="Investments"/>
    <s v="Investments Long"/>
    <m/>
    <s v="Hong Kong Dollar"/>
    <m/>
    <s v="MTR CORP"/>
    <s v="66 HK"/>
    <n v="331500"/>
    <n v="43.05"/>
    <n v="13948001.720000001"/>
    <n v="13948001.720000001"/>
    <n v="323073.28000000003"/>
    <n v="0"/>
    <n v="14271075"/>
    <n v="3.0999999999999999E-3"/>
    <m/>
    <s v="Investments"/>
    <s v="BBG000MKLJD1"/>
    <s v="EQUI"/>
    <s v="Equity"/>
    <s v="Common Stock"/>
    <n v="1.6"/>
    <n v="1.6282999999999999E-2"/>
    <s v="High"/>
    <n v="4.2"/>
    <n v="2.8695999999999999E-2"/>
    <s v="Medium"/>
    <n v="1840953.9473684211"/>
    <s v=""/>
    <s v=""/>
    <s v=""/>
    <s v=""/>
    <s v=""/>
    <n v="0"/>
    <n v="0"/>
    <n v="0"/>
    <n v="0"/>
    <s v="HK"/>
    <s v="Industrial"/>
    <x v="13"/>
    <s v="Transport-Rail"/>
    <s v="N"/>
    <s v=" "/>
    <s v="ACTV"/>
    <x v="1"/>
    <x v="2"/>
    <s v=""/>
    <s v="Hong Kong"/>
    <s v="High"/>
    <s v="Medium"/>
    <s v="Industrials"/>
    <s v="Transport-Rail"/>
    <s v="#N/A Field Not Applicable"/>
    <s v=""/>
    <s v=""/>
    <s v=""/>
    <s v=""/>
    <s v=""/>
    <s v=""/>
    <s v=""/>
    <s v=""/>
    <s v=""/>
    <s v="HK0066009694"/>
    <s v="-"/>
    <n v="-8.56"/>
    <n v="1840953.9473684211"/>
    <n v="3.6113052351404071E-3"/>
  </r>
  <r>
    <s v="Investments"/>
    <s v="Investments Long"/>
    <m/>
    <s v="Hong Kong Dollar"/>
    <m/>
    <s v="PING AN INSURANCE GROUP CO-H"/>
    <s v="2318 HK"/>
    <n v="125000"/>
    <n v="79.7"/>
    <n v="10459443.83"/>
    <n v="10459443.83"/>
    <n v="-496943.83"/>
    <n v="0"/>
    <n v="9962500"/>
    <n v="2.2000000000000001E-3"/>
    <m/>
    <s v="Investments"/>
    <s v="BBG000GD4N44"/>
    <s v="EQUI"/>
    <s v="Equity"/>
    <s v="Common Stock"/>
    <n v="0.1"/>
    <n v="1.1383000000000001E-2"/>
    <s v="High"/>
    <n v="0.3"/>
    <n v="2.0555E-2"/>
    <s v="High"/>
    <n v="1285152.2187822498"/>
    <s v=""/>
    <s v=""/>
    <s v=""/>
    <s v=""/>
    <s v=""/>
    <n v="0"/>
    <n v="0"/>
    <n v="0"/>
    <n v="0"/>
    <s v="HK"/>
    <s v="Financial"/>
    <x v="1"/>
    <s v="Multi-line Insurance"/>
    <s v="N"/>
    <s v=" "/>
    <s v="ACTV"/>
    <x v="1"/>
    <x v="1"/>
    <s v=""/>
    <s v="Hong Kong"/>
    <s v="High"/>
    <s v="High"/>
    <s v="Financials"/>
    <s v="Multi-line Insurance"/>
    <s v="#N/A Field Not Applicable"/>
    <s v=""/>
    <s v=""/>
    <s v=""/>
    <s v=""/>
    <s v=""/>
    <s v=""/>
    <s v=""/>
    <s v=""/>
    <s v=""/>
    <s v="CNE1000003X6"/>
    <s v="-"/>
    <n v="-9.9600000000000009"/>
    <n v="1285152.2187822498"/>
    <n v="2.5210174009376524E-3"/>
  </r>
  <r>
    <s v="Investments"/>
    <s v="Investments Long"/>
    <m/>
    <s v="Hong Kong Dollar"/>
    <m/>
    <s v="POWER ASSETS HOLDINGS LTD"/>
    <s v="6 HK"/>
    <n v="100000"/>
    <n v="51.85"/>
    <n v="5320129.91"/>
    <n v="5320129.91"/>
    <n v="-135129.91"/>
    <n v="0"/>
    <n v="5185000"/>
    <n v="1.1000000000000001E-3"/>
    <m/>
    <s v="Investments"/>
    <s v="BBG000BDWNL9"/>
    <s v="EQUI"/>
    <s v="Equity"/>
    <s v="Common Stock"/>
    <n v="0.7"/>
    <n v="1.6961E-2"/>
    <s v="High"/>
    <n v="1.6"/>
    <n v="3.0074E-2"/>
    <s v="High"/>
    <n v="668859.64912280708"/>
    <s v=""/>
    <s v=""/>
    <s v=""/>
    <s v=""/>
    <s v=""/>
    <n v="0"/>
    <n v="0"/>
    <n v="0"/>
    <n v="0"/>
    <s v="HK"/>
    <s v="Utilities"/>
    <x v="8"/>
    <s v="Electric-Integrated"/>
    <s v="N"/>
    <s v=" "/>
    <s v="ACTV"/>
    <x v="1"/>
    <x v="2"/>
    <s v=""/>
    <s v="Hong Kong"/>
    <s v="High"/>
    <s v="High"/>
    <s v="Utilities"/>
    <s v="Electric-Integrated"/>
    <s v="#N/A Field Not Applicable"/>
    <s v=""/>
    <s v=""/>
    <s v=""/>
    <s v=""/>
    <s v=""/>
    <s v=""/>
    <s v=""/>
    <s v=""/>
    <s v=""/>
    <s v="HK0006000050"/>
    <s v="-"/>
    <n v="-7.01"/>
    <n v="668859.64912280708"/>
    <n v="1.3120677765482286E-3"/>
  </r>
  <r>
    <s v="Investments"/>
    <s v="Investments Long"/>
    <m/>
    <s v="Hong Kong Dollar"/>
    <m/>
    <s v="TENCENT HOLDINGS LTD"/>
    <s v="700 HK"/>
    <n v="43000"/>
    <n v="417"/>
    <n v="15311258.85"/>
    <n v="15311258.85"/>
    <n v="2619741.15"/>
    <n v="0"/>
    <n v="17931000"/>
    <n v="3.8999999999999998E-3"/>
    <m/>
    <s v="Investments"/>
    <s v="BBG000BJ35N5"/>
    <s v="EQUI"/>
    <s v="Equity"/>
    <s v="Common Stock"/>
    <n v="0.1"/>
    <n v="1.3261E-2"/>
    <s v="High"/>
    <n v="0.2"/>
    <n v="2.3987999999999999E-2"/>
    <s v="High"/>
    <n v="2313080.4953560373"/>
    <s v=""/>
    <s v=""/>
    <s v=""/>
    <s v=""/>
    <s v=""/>
    <n v="0"/>
    <n v="0"/>
    <n v="0"/>
    <n v="0"/>
    <s v="HK"/>
    <s v="Communications"/>
    <x v="2"/>
    <s v="Internet Content-Info/Ne"/>
    <s v="N"/>
    <s v=" "/>
    <s v="ACTV"/>
    <x v="1"/>
    <x v="2"/>
    <s v=""/>
    <s v="Hong Kong"/>
    <s v="High"/>
    <s v="High"/>
    <s v="Communication Services"/>
    <s v="Internet Content-Info/Ne"/>
    <s v="#N/A Field Not Applicable"/>
    <s v=""/>
    <s v=""/>
    <s v=""/>
    <s v=""/>
    <s v=""/>
    <s v=""/>
    <s v=""/>
    <s v=""/>
    <s v=""/>
    <s v="KYG875721634"/>
    <s v="-"/>
    <n v="-8"/>
    <n v="2313080.4953560373"/>
    <n v="4.5374517456675577E-3"/>
  </r>
  <r>
    <s v="Investments"/>
    <s v="Investments Long"/>
    <m/>
    <s v="Hong Kong Dollar"/>
    <m/>
    <s v="WUXI BIOLOGICS CAYMAN INC"/>
    <s v="2269 HK"/>
    <n v="25000"/>
    <n v="121"/>
    <n v="2397419.67"/>
    <n v="2397419.67"/>
    <n v="627580.32999999996"/>
    <n v="0"/>
    <n v="3025000"/>
    <n v="6.9999999999999999E-4"/>
    <m/>
    <s v="Investments"/>
    <s v="BBG00GTY47H0"/>
    <s v="EQUI"/>
    <s v="Equity"/>
    <s v="Common Stock"/>
    <n v="0.1"/>
    <n v="2.1759000000000001E-2"/>
    <s v="High"/>
    <n v="0.2"/>
    <n v="3.9018999999999998E-2"/>
    <s v="High"/>
    <n v="390221.87822497421"/>
    <s v=""/>
    <s v=""/>
    <s v=""/>
    <s v=""/>
    <s v=""/>
    <n v="0"/>
    <n v="0"/>
    <n v="0"/>
    <n v="0"/>
    <s v="HK"/>
    <s v="Consumer, Non-cyclical"/>
    <x v="14"/>
    <s v="Medical Labs&amp;Testing Srv"/>
    <s v="N"/>
    <s v=" "/>
    <s v="ACTV"/>
    <x v="1"/>
    <x v="2"/>
    <s v=""/>
    <s v="Hong Kong"/>
    <s v="High"/>
    <s v="High"/>
    <s v="Health Care"/>
    <s v="Medical Labs&amp;Testing Srv"/>
    <s v="#N/A Field Not Applicable"/>
    <s v=""/>
    <s v=""/>
    <s v=""/>
    <s v=""/>
    <s v=""/>
    <s v=""/>
    <s v=""/>
    <s v=""/>
    <s v=""/>
    <s v="KYG970081090"/>
    <s v="-"/>
    <n v="-8.65"/>
    <n v="390221.87822497421"/>
    <n v="7.6547830743652675E-4"/>
  </r>
  <r>
    <s v="Investments"/>
    <s v="Investments Long"/>
    <s v="Avaliable for Trading"/>
    <s v="Euro"/>
    <m/>
    <s v="T V2.875 PERP B"/>
    <s v="XS2114413565"/>
    <n v="10000000"/>
    <n v="92.674999999999997"/>
    <n v="9993000"/>
    <n v="86492412.900000006"/>
    <n v="-8384996.1500000004"/>
    <n v="476671.22"/>
    <n v="78107416.75"/>
    <n v="1.72E-2"/>
    <m/>
    <s v="Investments"/>
    <s v="BBG00RPJBQ56"/>
    <s v="EQUI"/>
    <s v="Corp"/>
    <s v="#N/A Field Not Applicable"/>
    <n v="0.5"/>
    <n v="1.6903000000000001E-2"/>
    <s v="High"/>
    <n v="1.7"/>
    <n v="4.5705999999999997E-2"/>
    <s v="High"/>
    <n v="10137266.25"/>
    <s v=""/>
    <s v=""/>
    <s v="BB+"/>
    <s v="Ba1"/>
    <s v="BBB"/>
    <n v="11"/>
    <n v="11"/>
    <n v="13"/>
    <n v="11"/>
    <s v="US"/>
    <s v="Communications"/>
    <x v="6"/>
    <s v="Telephone-Integrated"/>
    <s v="N"/>
    <s v=" "/>
    <s v="ACTV"/>
    <x v="2"/>
    <x v="2"/>
    <s v="Non-Investment Grade"/>
    <s v="United States of America"/>
    <s v="High"/>
    <s v="High"/>
    <s v="Communication Services"/>
    <s v="TELEPHONE"/>
    <s v="#N/A Field Not Applicable"/>
    <n v="0.20258679312357672"/>
    <s v="5/1/2169"/>
    <n v="149.1013698630137"/>
    <s v="10 yrs or Above"/>
    <n v="2.7459971246254775"/>
    <n v="4.3125657203030627"/>
    <n v="7.9424441764624112E-2"/>
    <n v="3.1640828857582166"/>
    <n v="5.8272855000268138E-2"/>
    <s v="XS2114413565"/>
    <s v="-"/>
    <n v="-23.87"/>
    <n v="10137266.25"/>
    <n v="1.9885756909328502E-2"/>
  </r>
  <r>
    <s v="Investments"/>
    <s v="Investments Long"/>
    <s v="Avaliable for Trading"/>
    <s v="United States Dollar"/>
    <m/>
    <s v="ADROIJ 4.25 10/31/24 REGS"/>
    <s v="USY70902AB04"/>
    <n v="3000000"/>
    <n v="88.314999999999998"/>
    <n v="2390000"/>
    <n v="18534786.5"/>
    <n v="1998980.89"/>
    <n v="494075.25"/>
    <n v="20533767.390000001"/>
    <n v="4.4999999999999997E-3"/>
    <m/>
    <s v="Investments"/>
    <s v="BBG00QN3F2R0"/>
    <s v="BOND"/>
    <s v="Corp"/>
    <s v="#N/A Field Not Applicable"/>
    <n v="0.3"/>
    <n v="1.7609E-2"/>
    <s v="High"/>
    <n v="0.7"/>
    <n v="4.8388E-2"/>
    <s v="High"/>
    <n v="2712570"/>
    <s v=""/>
    <s v=""/>
    <s v=""/>
    <s v="Ba1"/>
    <s v="BBB-"/>
    <n v="0"/>
    <n v="11"/>
    <n v="12"/>
    <n v="11"/>
    <s v="ID"/>
    <s v="Energy"/>
    <x v="15"/>
    <s v="Coal"/>
    <s v="N"/>
    <s v=" "/>
    <s v="ACTV"/>
    <x v="2"/>
    <x v="2"/>
    <s v="Non-Investment Grade"/>
    <s v="Asia - others (1)"/>
    <s v="High"/>
    <s v="High"/>
    <s v="#N/A Field Not Applicable"/>
    <s v="INDUSTRIAL"/>
    <s v="#N/A Field Not Applicable"/>
    <n v="5.4208979410323814E-2"/>
    <s v="10/31/2024"/>
    <n v="4.506849315068493"/>
    <s v="3 - 5 yrs"/>
    <n v="2.221015470236181E-2"/>
    <n v="3.9460604791151641"/>
    <n v="1.9446537387658766E-2"/>
    <n v="7.5028466637457152"/>
    <n v="3.6974696392164379E-2"/>
    <s v="USY70902AB04"/>
    <s v="-"/>
    <n v="-4.04"/>
    <n v="2712570"/>
    <n v="5.3211098820194471E-3"/>
  </r>
  <r>
    <s v="Investments"/>
    <s v="Investments Long"/>
    <s v="Avaliable for Trading"/>
    <s v="United States Dollar"/>
    <m/>
    <s v="AGILE 6.7 03/07/22"/>
    <s v="XS1959497782"/>
    <n v="5000000"/>
    <n v="100.011"/>
    <n v="5002486.1100000003"/>
    <n v="39268740.189999998"/>
    <n v="-513477.57"/>
    <n v="382235.55"/>
    <n v="38755262.619999997"/>
    <n v="8.5000000000000006E-3"/>
    <m/>
    <s v="Investments"/>
    <s v="BBG00NGWHP25"/>
    <s v="BOND"/>
    <s v="Corp"/>
    <s v="#N/A Field Not Applicable"/>
    <n v="0.3"/>
    <n v="6.5409999999999999E-3"/>
    <s v="High"/>
    <n v="1.3"/>
    <n v="1.7408E-2"/>
    <s v="High"/>
    <n v="5048696.8743550042"/>
    <s v=""/>
    <s v=""/>
    <s v="BB"/>
    <s v="Ba3"/>
    <s v=""/>
    <n v="10"/>
    <n v="9"/>
    <n v="0"/>
    <n v="9"/>
    <s v="CN"/>
    <s v="Financial"/>
    <x v="16"/>
    <s v="Real Estate Oper/Develop"/>
    <s v="N"/>
    <s v=" "/>
    <s v="ACTV"/>
    <x v="2"/>
    <x v="1"/>
    <s v="Non-Investment Grade"/>
    <s v="China"/>
    <s v="High"/>
    <s v="High"/>
    <s v="Real Estate"/>
    <s v="FINANCIAL"/>
    <s v="#N/A Field Not Applicable"/>
    <n v="8.2550440900155717E-2"/>
    <s v="3/7/2022"/>
    <n v="1.8520547945205479"/>
    <s v="1 - 2 yrs"/>
    <n v="1.698754887321317E-2"/>
    <n v="1.6815247157579927"/>
    <n v="1.5423400741147926E-2"/>
    <n v="6.733979707781522"/>
    <n v="6.1765888210007378E-2"/>
    <s v="XS1959497782"/>
    <s v="-"/>
    <n v="-2.72"/>
    <n v="5048696.8743550042"/>
    <n v="9.9037705310650436E-3"/>
  </r>
  <r>
    <s v="Investments"/>
    <s v="Investments Long"/>
    <s v="Avaliable for Trading"/>
    <s v="United States Dollar"/>
    <m/>
    <s v="AGILE V7.875 PERP"/>
    <s v="XS2071413483"/>
    <n v="3400000"/>
    <n v="91.962000000000003"/>
    <n v="3104000"/>
    <n v="24057552"/>
    <n v="175060.33"/>
    <n v="518779.01"/>
    <n v="24232612.329999998"/>
    <n v="5.3E-3"/>
    <m/>
    <s v="Investments"/>
    <s v="BBG00QNT5B76"/>
    <s v="BOND"/>
    <s v="Corp"/>
    <s v="#N/A Field Not Applicable"/>
    <n v="0.3"/>
    <n v="2.1676000000000001E-2"/>
    <s v="High"/>
    <n v="2"/>
    <n v="5.7248E-2"/>
    <s v="High"/>
    <n v="3192903.9396284833"/>
    <s v=""/>
    <s v=""/>
    <s v=""/>
    <s v="Ba3"/>
    <s v=""/>
    <n v="0"/>
    <n v="9"/>
    <n v="0"/>
    <n v="9"/>
    <s v="CN"/>
    <s v="Financial"/>
    <x v="16"/>
    <s v="Real Estate Oper/Develop"/>
    <s v="N"/>
    <s v=" "/>
    <s v="ACTV"/>
    <x v="2"/>
    <x v="1"/>
    <s v="Non-Investment Grade"/>
    <s v="China"/>
    <s v="High"/>
    <s v="High"/>
    <s v="Real Estate"/>
    <s v="FINANCIAL"/>
    <s v="#N/A Field Not Applicable"/>
    <n v="5.2206665309421758E-2"/>
    <s v="1/31/2169"/>
    <n v="148.85479452054796"/>
    <s v="10 yrs or Above"/>
    <n v="0.86346804858188841"/>
    <n v="3.3963106595413568"/>
    <n v="1.9701117098833012E-2"/>
    <n v="11.177193787640112"/>
    <n v="6.4836001685541711E-2"/>
    <s v="XS2071413483"/>
    <s v="-"/>
    <n v="-7.83"/>
    <n v="3192903.9396284833"/>
    <n v="6.2633564131048952E-3"/>
  </r>
  <r>
    <s v="Investments"/>
    <s v="Investments Long"/>
    <s v="Avaliable for Trading"/>
    <s v="United States Dollar"/>
    <m/>
    <s v="AIA 3.375 04/07/30 REGS"/>
    <s v="US00131MAJ27"/>
    <n v="2000000"/>
    <n v="107.73399999999999"/>
    <n v="2025319.99"/>
    <n v="15700226.560000001"/>
    <n v="998974.46"/>
    <n v="33422.74"/>
    <n v="16699201.02"/>
    <n v="3.7000000000000002E-3"/>
    <m/>
    <s v="Investments"/>
    <s v="BBG00SY1QXH9"/>
    <s v="BOND"/>
    <s v="Corp"/>
    <s v="#N/A Field Not Applicable"/>
    <n v="0.3"/>
    <n v="1.2966999999999999E-2"/>
    <s v="High"/>
    <n v="1.4"/>
    <n v="3.5829E-2"/>
    <s v="High"/>
    <n v="2158491.1971104234"/>
    <s v=""/>
    <s v=""/>
    <s v="A"/>
    <s v="A2"/>
    <s v="A+"/>
    <n v="16"/>
    <n v="16"/>
    <n v="17"/>
    <n v="16"/>
    <s v="HK"/>
    <s v="Financial"/>
    <x v="1"/>
    <s v="Life/Health Insurance"/>
    <s v="N"/>
    <s v=" "/>
    <s v="ACTV"/>
    <x v="2"/>
    <x v="1"/>
    <s v="Investment Grade"/>
    <s v="Hong Kong"/>
    <s v="High"/>
    <s v="High"/>
    <s v="Financials"/>
    <s v="FINANCIAL"/>
    <s v="#N/A Field Not Applicable"/>
    <n v="6.2743372111867951E-2"/>
    <s v="4/7/2030"/>
    <n v="9.9424657534246581"/>
    <s v="7 - 10 yrs"/>
    <n v="3.898898927978918E-2"/>
    <n v="8.2603468312294801"/>
    <n v="3.2392625937807541E-2"/>
    <n v="2.5201731560982421"/>
    <n v="9.8827601324632929E-3"/>
    <s v="US00131MAJ27"/>
    <s v="-"/>
    <n v="-3.83"/>
    <n v="2158491.1971104234"/>
    <n v="4.2342018230667813E-3"/>
  </r>
  <r>
    <s v="Investments"/>
    <s v="Investments Long"/>
    <s v="Avaliable for Trading"/>
    <s v="United States Dollar"/>
    <m/>
    <s v="ANHUII 4.875 10/18/21"/>
    <s v="XS1891659358"/>
    <n v="8000000"/>
    <n v="101.508"/>
    <n v="7984000"/>
    <n v="62525095.200000003"/>
    <n v="411488.92"/>
    <n v="100752.6"/>
    <n v="62936584.119999997"/>
    <n v="1.38E-2"/>
    <m/>
    <s v="Investments"/>
    <s v="BBG00M5BYXF5"/>
    <s v="BOND"/>
    <s v="Corp"/>
    <s v="#N/A Field Not Applicable"/>
    <n v="1.4"/>
    <n v="5.5149999999999999E-3"/>
    <s v="High"/>
    <n v="10.5"/>
    <n v="1.3475000000000001E-2"/>
    <s v="Illiquid"/>
    <n v="8131751.3828689372"/>
    <s v=""/>
    <s v=""/>
    <s v=""/>
    <s v="A3"/>
    <s v="A-"/>
    <n v="0"/>
    <n v="15"/>
    <n v="15"/>
    <n v="15"/>
    <s v="CN"/>
    <s v="Consumer, Cyclical"/>
    <x v="17"/>
    <s v="Distribution/Wholesale"/>
    <s v="N"/>
    <s v=" "/>
    <s v="ACTV"/>
    <x v="2"/>
    <x v="2"/>
    <s v="Investment Grade"/>
    <s v="China"/>
    <s v="High"/>
    <s v="Illiquid"/>
    <s v="#N/A Field Not Applicable"/>
    <s v="INDUSTRIAL"/>
    <s v="Chengtou Bond"/>
    <n v="0.2216016260077148"/>
    <s v="10/18/2021"/>
    <n v="1.4684931506849315"/>
    <s v="1 - 2 yrs"/>
    <n v="2.1694697998198197E-2"/>
    <n v="1.3856055810050216"/>
    <n v="2.0470163317071813E-2"/>
    <n v="3.8246707320723998"/>
    <n v="5.6503550211424051E-2"/>
    <s v="XS1891659358"/>
    <s v="-"/>
    <n v="-1.05"/>
    <n v="8131751.3828689372"/>
    <n v="1.5951640931481659E-2"/>
  </r>
  <r>
    <s v="Investments"/>
    <s v="Investments Long"/>
    <s v="Avaliable for Trading"/>
    <s v="United States Dollar"/>
    <m/>
    <s v="BABA 4.4 12/06/57"/>
    <s v="US01609WAW29"/>
    <n v="3200000"/>
    <n v="128.286"/>
    <n v="4106037.26"/>
    <n v="31998758.969999999"/>
    <n v="-183009.94"/>
    <n v="436491.27"/>
    <n v="31815749.030000001"/>
    <n v="7.0000000000000001E-3"/>
    <m/>
    <s v="Investments"/>
    <s v="BBG00JCQ6Y42"/>
    <s v="BOND"/>
    <s v="Corp"/>
    <s v="#N/A Field Not Applicable"/>
    <n v="0.3"/>
    <n v="2.7265999999999999E-2"/>
    <s v="High"/>
    <n v="1.3"/>
    <n v="7.4343000000000006E-2"/>
    <s v="High"/>
    <n v="4160505.7146542831"/>
    <s v=""/>
    <s v=""/>
    <s v="A+"/>
    <s v="A1"/>
    <s v="A+"/>
    <n v="17"/>
    <n v="17"/>
    <n v="17"/>
    <n v="17"/>
    <s v="CN"/>
    <s v="Communications"/>
    <x v="2"/>
    <s v="E-Commerce/Products"/>
    <s v="N"/>
    <s v=" "/>
    <s v="ACTV"/>
    <x v="2"/>
    <x v="2"/>
    <s v="Investment Grade"/>
    <s v="China"/>
    <s v="High"/>
    <s v="High"/>
    <s v="Consumer Discretionary"/>
    <s v="INDUSTRIAL"/>
    <s v="#N/A Field Not Applicable"/>
    <n v="0.12849689565038075"/>
    <s v="12/6/2057"/>
    <n v="37.627397260273973"/>
    <s v="10 yrs or Above"/>
    <n v="0.28441198466757922"/>
    <n v="20.110408975810007"/>
    <n v="0.15200736021477285"/>
    <n v="3.1249891613385676"/>
    <n v="2.3620670951358398E-2"/>
    <s v="US01609WAW29"/>
    <s v="-"/>
    <n v="-9.42"/>
    <n v="4160505.7146542831"/>
    <n v="8.1614513440926087E-3"/>
  </r>
  <r>
    <s v="Investments"/>
    <s v="Investments Long"/>
    <s v="Avaliable for Trading"/>
    <s v="United States Dollar"/>
    <m/>
    <s v="BBTNIJ 4.2 01/23/25"/>
    <s v="XS2099372802"/>
    <n v="3800000"/>
    <n v="89.221000000000004"/>
    <n v="3800000"/>
    <n v="29530940"/>
    <n v="-3254677.42"/>
    <n v="333284.43"/>
    <n v="26276262.579999998"/>
    <n v="5.7999999999999996E-3"/>
    <m/>
    <s v="Investments"/>
    <s v="BBG00RDBJ3B2"/>
    <s v="BOND"/>
    <s v="Corp"/>
    <s v="#N/A Field Not Applicable"/>
    <n v="0.3"/>
    <n v="8.4060000000000003E-3"/>
    <s v="High"/>
    <n v="1.3"/>
    <n v="2.1482000000000001E-2"/>
    <s v="High"/>
    <n v="3432604.1034571724"/>
    <s v=""/>
    <s v=""/>
    <s v=""/>
    <s v="Ba3"/>
    <s v=""/>
    <n v="0"/>
    <n v="9"/>
    <n v="0"/>
    <n v="9"/>
    <s v="ID"/>
    <s v="Financial"/>
    <x v="5"/>
    <s v="Commer Banks Non-US"/>
    <s v="N"/>
    <s v=" "/>
    <s v="ACTV"/>
    <x v="2"/>
    <x v="1"/>
    <s v="Non-Investment Grade"/>
    <s v="Asia - others (1)"/>
    <s v="High"/>
    <s v="High"/>
    <s v="Financials"/>
    <s v="BANK"/>
    <s v="#N/A Field Not Applicable"/>
    <n v="5.6125964625728164E-2"/>
    <s v="1/23/2025"/>
    <n v="4.7369863013698632"/>
    <s v="3 - 5 yrs"/>
    <n v="2.9540880620360428E-2"/>
    <n v="4.0960357043623183"/>
    <n v="2.5543772783195449E-2"/>
    <n v="6.9691908560535127"/>
    <n v="4.3461395495200852E-2"/>
    <s v="XS2099372802"/>
    <s v="-"/>
    <n v="-5.95"/>
    <n v="3432604.1034571724"/>
    <n v="6.7335639692123941E-3"/>
  </r>
  <r>
    <s v="Investments"/>
    <s v="Investments Long"/>
    <s v="Avaliable for Trading"/>
    <s v="United States Dollar"/>
    <m/>
    <s v="BCHINA V3.6 PERP"/>
    <s v="XS2125922349"/>
    <n v="12600000"/>
    <n v="98.78"/>
    <n v="12548854.279999999"/>
    <n v="97647748.900000006"/>
    <n v="-1186589.56"/>
    <n v="546854.11"/>
    <n v="96461159.340000004"/>
    <n v="2.12E-2"/>
    <m/>
    <s v="Investments"/>
    <s v="BBG00RYF5CJ7"/>
    <s v="BOND"/>
    <s v="Corp"/>
    <s v="#N/A Field Not Applicable"/>
    <n v="0.5"/>
    <n v="5.5789999999999998E-3"/>
    <s v="High"/>
    <n v="1.2"/>
    <n v="1.4991000000000001E-2"/>
    <s v="High"/>
    <n v="12513933.623581013"/>
    <s v=""/>
    <s v=""/>
    <s v="BB+"/>
    <s v="Ba1"/>
    <s v="BB+"/>
    <n v="11"/>
    <n v="11"/>
    <n v="11"/>
    <n v="11"/>
    <s v="CN"/>
    <s v="Financial"/>
    <x v="5"/>
    <s v="Commer Banks Non-US"/>
    <s v="Y"/>
    <s v="Common Equity Tier 1 Ratio"/>
    <s v="ACTV"/>
    <x v="2"/>
    <x v="1"/>
    <s v="Non-Investment Grade"/>
    <s v="China"/>
    <s v="High"/>
    <s v="High"/>
    <s v="Financials"/>
    <s v="BANK"/>
    <s v="#N/A Field Not Applicable"/>
    <n v="0.25008297302663601"/>
    <s v="3/4/2169"/>
    <n v="148.94246575342467"/>
    <s v="10 yrs or Above"/>
    <n v="3.3861795132303962"/>
    <n v="4.3177720201017324"/>
    <n v="9.8163751239842292E-2"/>
    <n v="2.9543722664962835"/>
    <n v="6.7167109075711953E-2"/>
    <s v="XS2125922349"/>
    <s v="-"/>
    <n v="-7.09"/>
    <n v="12513933.623581013"/>
    <n v="2.4547943782970524E-2"/>
  </r>
  <r>
    <s v="Investments"/>
    <s v="Investments Long"/>
    <s v="Avaliable for Trading"/>
    <s v="United States Dollar"/>
    <m/>
    <s v="BEICAP 2.8 03/18/23 EMTN"/>
    <s v="XS2127809528"/>
    <n v="10000000"/>
    <n v="99.45"/>
    <n v="10000000"/>
    <n v="77692000"/>
    <n v="-616261"/>
    <n v="253173.2"/>
    <n v="77075739"/>
    <n v="1.6899999999999998E-2"/>
    <m/>
    <s v="Investments"/>
    <s v="BBG00S9HKR72"/>
    <s v="BOND"/>
    <s v="Corp"/>
    <s v="#N/A Field Not Applicable"/>
    <n v="1.8"/>
    <n v="5.7780000000000001E-3"/>
    <s v="High"/>
    <n v="6.9"/>
    <n v="1.3828999999999999E-2"/>
    <s v="High"/>
    <n v="9975349.8710010331"/>
    <s v=""/>
    <s v=""/>
    <s v=""/>
    <s v=""/>
    <s v="BBB"/>
    <n v="0"/>
    <n v="0"/>
    <n v="13"/>
    <n v="13"/>
    <s v="CN"/>
    <s v="Financial"/>
    <x v="16"/>
    <s v="Real Estate Oper/Develop"/>
    <s v="N"/>
    <s v=" "/>
    <s v="ACTV"/>
    <x v="2"/>
    <x v="1"/>
    <s v="Investment Grade"/>
    <s v="China"/>
    <s v="High"/>
    <s v="High"/>
    <s v="#N/A Field Not Applicable"/>
    <s v="SPECIAL PURPOSE"/>
    <s v="Chengtou Bond"/>
    <n v="0.23559663361791172"/>
    <s v="3/18/2023"/>
    <n v="2.882191780821918"/>
    <s v="2 - 3 yrs"/>
    <n v="5.2233437000219839E-2"/>
    <n v="2.7205943942539057"/>
    <n v="4.9304836978921684E-2"/>
    <n v="3.0307456880580168"/>
    <n v="5.4925652419882343E-2"/>
    <s v="XS2127809528"/>
    <s v="-"/>
    <n v="-2.21"/>
    <n v="9975349.8710010331"/>
    <n v="1.9568133827029353E-2"/>
  </r>
  <r>
    <s v="Investments"/>
    <s v="Investments Long"/>
    <s v="Avaliable for Trading"/>
    <s v="United States Dollar"/>
    <m/>
    <s v="BHARTI V5.65 PERP REGS"/>
    <s v="USV6703DAA29"/>
    <n v="5375000"/>
    <n v="90.162999999999997"/>
    <n v="4947766.6100000003"/>
    <n v="38435201.670000002"/>
    <n v="-875707.72"/>
    <n v="98068.29"/>
    <n v="37559493.950000003"/>
    <n v="8.3000000000000001E-3"/>
    <m/>
    <s v="Investments"/>
    <s v="BBG00QJ3FR72"/>
    <s v="BOND"/>
    <s v="Corp"/>
    <s v="#N/A Field Not Applicable"/>
    <n v="0.3"/>
    <n v="1.8931E-2"/>
    <s v="High"/>
    <n v="1.4"/>
    <n v="5.1484000000000002E-2"/>
    <s v="High"/>
    <n v="4857786.666666667"/>
    <s v=""/>
    <s v=""/>
    <s v="BB"/>
    <s v=""/>
    <s v="BB"/>
    <n v="10"/>
    <n v="0"/>
    <n v="10"/>
    <n v="10"/>
    <s v="IN"/>
    <s v="Communications"/>
    <x v="6"/>
    <s v="Telecom Services"/>
    <s v="N"/>
    <s v=" "/>
    <s v="ACTV"/>
    <x v="2"/>
    <x v="2"/>
    <s v="Non-Investment Grade"/>
    <s v="India"/>
    <s v="High"/>
    <s v="High"/>
    <s v="#N/A Field Not Applicable"/>
    <s v="INDUSTRIAL"/>
    <s v="#N/A Field Not Applicable"/>
    <n v="8.8254331565831026E-2"/>
    <s v="4/15/2169"/>
    <n v="149.05753424657533"/>
    <s v="10 yrs or Above"/>
    <n v="1.3154973049782475"/>
    <n v="3.9736799536890439"/>
    <n v="3.5069446816936897E-2"/>
    <n v="5.3913476689795807"/>
    <n v="4.7580978476479414E-2"/>
    <s v="USV6703DAA29"/>
    <s v="-"/>
    <n v="-7.15"/>
    <n v="4857786.666666667"/>
    <n v="9.5292717374085498E-3"/>
  </r>
  <r>
    <s v="Investments"/>
    <s v="Investments Long"/>
    <s v="Avaliable for Trading"/>
    <s v="United States Dollar"/>
    <m/>
    <s v="BOCAVI 3.25 04/29/25 REGS"/>
    <s v="US09681MAM01"/>
    <n v="5300000"/>
    <n v="100.417"/>
    <n v="5271910"/>
    <n v="40857829.689999998"/>
    <n v="389517.48"/>
    <n v="3708.26"/>
    <n v="41247347.170000002"/>
    <n v="9.1000000000000004E-3"/>
    <m/>
    <s v="Investments"/>
    <s v="BBG00TDCM8F7"/>
    <s v="BOND"/>
    <s v="Corp"/>
    <s v="#N/A Field Not Applicable"/>
    <n v="0.5"/>
    <n v="5.3499999999999997E-3"/>
    <s v="High"/>
    <n v="1.6"/>
    <n v="1.4475999999999999E-2"/>
    <s v="High"/>
    <n v="5321343.5797213623"/>
    <s v=""/>
    <s v=""/>
    <s v="A-"/>
    <s v=""/>
    <s v="A-"/>
    <n v="15"/>
    <n v="0"/>
    <n v="15"/>
    <n v="15"/>
    <s v="SG"/>
    <s v="Financial"/>
    <x v="10"/>
    <s v="Finance-Leasing Compan"/>
    <s v="N"/>
    <s v=" "/>
    <s v="ACTV"/>
    <x v="2"/>
    <x v="1"/>
    <s v="Investment Grade"/>
    <s v="Singapore"/>
    <s v="High"/>
    <s v="High"/>
    <s v="Industrials"/>
    <s v="FINANCIAL"/>
    <s v="#N/A Field Not Applicable"/>
    <n v="0.14501407314249828"/>
    <s v="4/29/2025"/>
    <n v="5"/>
    <s v="3 - 5 yrs"/>
    <n v="4.8338024380832761E-2"/>
    <n v="4.4909856738655041"/>
    <n v="4.3417074999456275E-2"/>
    <n v="3.1526947936649719"/>
    <n v="3.0479007560300385E-2"/>
    <s v="US09681MAM01"/>
    <s v="-"/>
    <n v="-2.73"/>
    <n v="5321343.5797213623"/>
    <n v="1.0438607633231983E-2"/>
  </r>
  <r>
    <s v="Investments"/>
    <s v="Investments Long"/>
    <s v="Avaliable for Trading"/>
    <s v="United States Dollar"/>
    <m/>
    <s v="BYANIJ 6.125 01/24/23 REGS"/>
    <s v="USY711AJAA00"/>
    <n v="3000000"/>
    <n v="78.090999999999994"/>
    <n v="2912533.12"/>
    <n v="22638828.719999999"/>
    <n v="-4482202.59"/>
    <n v="379759.8"/>
    <n v="18156626.129999999"/>
    <n v="4.0000000000000001E-3"/>
    <m/>
    <s v="Investments"/>
    <s v="BBG00RCY5V08"/>
    <s v="BOND"/>
    <s v="Corp"/>
    <s v="#N/A Field Not Applicable"/>
    <n v="0.3"/>
    <n v="4.2373000000000001E-2"/>
    <s v="High"/>
    <n v="2"/>
    <n v="0.113251"/>
    <s v="High"/>
    <n v="2391174.6555727553"/>
    <s v=""/>
    <s v=""/>
    <s v=""/>
    <s v="Ba3"/>
    <s v="BB-"/>
    <n v="0"/>
    <n v="9"/>
    <n v="9"/>
    <n v="9"/>
    <s v="ID"/>
    <s v="Energy"/>
    <x v="15"/>
    <s v="Coal"/>
    <s v="N"/>
    <s v=" "/>
    <s v="ACTV"/>
    <x v="2"/>
    <x v="2"/>
    <s v="Non-Investment Grade"/>
    <s v="Asia - others (1)"/>
    <s v="High"/>
    <s v="High"/>
    <s v="Energy"/>
    <s v="INDUSTRIAL"/>
    <s v="#N/A Field Not Applicable"/>
    <n v="3.9097717093983152E-2"/>
    <s v="1/24/2023"/>
    <n v="2.7369863013698632"/>
    <s v="2 - 3 yrs"/>
    <n v="1.1889990677896247E-2"/>
    <n v="2.2730964607170425"/>
    <n v="9.8747647053832564E-3"/>
    <n v="16.600958734576029"/>
    <n v="7.2117732010371347E-2"/>
    <s v="USY711AJAA00"/>
    <s v="-"/>
    <n v="-4.75"/>
    <n v="2391174.6555727553"/>
    <n v="4.6906450670038506E-3"/>
  </r>
  <r>
    <s v="Investments"/>
    <s v="Investments Long"/>
    <s v="Avaliable for Trading"/>
    <s v="United States Dollar"/>
    <m/>
    <s v="C V3.106 04/08/26"/>
    <s v="US172967MQ12"/>
    <n v="5000000"/>
    <n v="104.48099999999999"/>
    <n v="5000000"/>
    <n v="38762000"/>
    <n v="1725432.31"/>
    <n v="73553.7"/>
    <n v="40487432.310000002"/>
    <n v="8.8999999999999999E-3"/>
    <m/>
    <s v="Investments"/>
    <s v="BBG00SYNG075"/>
    <s v="BOND"/>
    <s v="Corp"/>
    <s v="#N/A Field Not Applicable"/>
    <n v="0.3"/>
    <n v="1.073E-2"/>
    <s v="High"/>
    <n v="1.5"/>
    <n v="2.9752000000000001E-2"/>
    <s v="High"/>
    <n v="5232325.3366873078"/>
    <s v=""/>
    <s v=""/>
    <s v="BBB+"/>
    <s v="A3"/>
    <s v="A"/>
    <n v="14"/>
    <n v="15"/>
    <n v="16"/>
    <n v="15"/>
    <s v="US"/>
    <s v="Financial"/>
    <x v="5"/>
    <s v="Diversified Banking Inst"/>
    <s v="N"/>
    <s v=" "/>
    <s v="ACTV"/>
    <x v="2"/>
    <x v="1"/>
    <s v="Investment Grade"/>
    <s v="United States of America"/>
    <s v="High"/>
    <s v="High"/>
    <s v="Financials"/>
    <s v="FINANCIAL"/>
    <s v="#N/A Field Not Applicable"/>
    <n v="0.14258820121504925"/>
    <s v="4/8/2026"/>
    <n v="5.9424657534246572"/>
    <s v="5 - 7 yrs"/>
    <n v="5.6488366837523625E-2"/>
    <n v="4.549885846918702"/>
    <n v="4.3250669243063249E-2"/>
    <n v="2.2250028585512913"/>
    <n v="2.1150610353278088E-2"/>
    <s v="US172967MQ12"/>
    <s v="-"/>
    <n v="-4.42"/>
    <n v="5232325.3366873078"/>
    <n v="1.0263985097154198E-2"/>
  </r>
  <r>
    <s v="Investments"/>
    <s v="Investments Long"/>
    <s v="Avaliable for Trading"/>
    <s v="United States Dollar"/>
    <m/>
    <s v="CAPG 4.8 02/18/21"/>
    <s v="XS2123967452"/>
    <n v="4200000"/>
    <n v="98.816000000000003"/>
    <n v="4200000"/>
    <n v="32625180"/>
    <n v="-459741.95"/>
    <n v="299467.73"/>
    <n v="32165438.050000001"/>
    <n v="7.1000000000000004E-3"/>
    <m/>
    <s v="Investments"/>
    <s v="BBG00RRMFK74"/>
    <s v="BOND"/>
    <s v="Corp"/>
    <s v="#N/A Field Not Applicable"/>
    <n v="0.5"/>
    <n v="5.2490000000000002E-3"/>
    <s v="High"/>
    <n v="2.4"/>
    <n v="1.32E-2"/>
    <s v="High"/>
    <n v="4187939.3421052634"/>
    <s v=""/>
    <s v=""/>
    <s v=""/>
    <s v=""/>
    <s v=""/>
    <n v="0"/>
    <n v="0"/>
    <n v="0"/>
    <n v="0"/>
    <s v="CN"/>
    <s v="Financial"/>
    <x v="16"/>
    <s v="Real Estate Oper/Develop"/>
    <s v="N"/>
    <s v=" "/>
    <s v="ACTV"/>
    <x v="2"/>
    <x v="1"/>
    <s v="Non-Investment Grade"/>
    <s v="China"/>
    <s v="High"/>
    <s v="High"/>
    <s v="Real Estate"/>
    <s v="FINANCIAL"/>
    <s v="#N/A Field Not Applicable"/>
    <n v="0"/>
    <s v="2/18/2021"/>
    <n v="0.80547945205479454"/>
    <s v="0 - 1 yr"/>
    <n v="6.1284753012121745E-3"/>
    <n v="0.74563432385319206"/>
    <n v="5.6731447659070381E-3"/>
    <n v="6.2533034158428524"/>
    <n v="4.7578141735602743E-2"/>
    <s v="XS2123967452"/>
    <s v="-"/>
    <n v="-1.18"/>
    <n v="4187939.3421052634"/>
    <n v="8.2152664884498228E-3"/>
  </r>
  <r>
    <s v="Investments"/>
    <s v="Investments Long"/>
    <s v="Avaliable for Trading"/>
    <s v="United States Dollar"/>
    <m/>
    <s v="CAPG 7.95 09/07/21"/>
    <s v="XS1876052025"/>
    <n v="10000000"/>
    <n v="100.97799999999999"/>
    <n v="9797196.1799999997"/>
    <n v="76504402.870000005"/>
    <n v="1755566.61"/>
    <n v="907096.33"/>
    <n v="78259969.480000004"/>
    <n v="1.72E-2"/>
    <m/>
    <s v="Investments"/>
    <s v="BBG00LVCWLT9"/>
    <s v="BOND"/>
    <s v="Corp"/>
    <s v="#N/A Field Not Applicable"/>
    <n v="0.3"/>
    <n v="5.398E-3"/>
    <s v="High"/>
    <n v="2.5"/>
    <n v="1.3894E-2"/>
    <s v="High"/>
    <n v="10212469.789731683"/>
    <s v=""/>
    <s v=""/>
    <s v="B"/>
    <s v="B2"/>
    <s v="BB-"/>
    <n v="7"/>
    <n v="7"/>
    <n v="9"/>
    <n v="7"/>
    <s v="CN"/>
    <s v="Financial"/>
    <x v="16"/>
    <s v="Real Estate Oper/Develop"/>
    <s v="N"/>
    <s v=" "/>
    <s v="ACTV"/>
    <x v="2"/>
    <x v="1"/>
    <s v="Non-Investment Grade"/>
    <s v="China"/>
    <s v="High"/>
    <s v="High"/>
    <s v="Real Estate"/>
    <s v="FINANCIAL"/>
    <s v="#N/A Field Not Applicable"/>
    <n v="0.12987525590192836"/>
    <s v="9/7/2021"/>
    <n v="1.3561643835616439"/>
    <s v="1 - 2 yrs"/>
    <n v="2.51617423371642E-2"/>
    <n v="1.2324574202265706"/>
    <n v="2.2866531834308042E-2"/>
    <n v="7.2320845703213603"/>
    <n v="0.13418126203926775"/>
    <s v="XS1876052025"/>
    <s v="-"/>
    <n v="-1.18"/>
    <n v="10212469.789731683"/>
    <n v="2.0033279848249565E-2"/>
  </r>
  <r>
    <s v="Investments"/>
    <s v="Investments Long"/>
    <s v="Avaliable for Trading"/>
    <s v="United States Dollar"/>
    <m/>
    <s v="CAPG 8.5 01/23/22"/>
    <s v="XS1937690128"/>
    <n v="6000000"/>
    <n v="102.06399999999999"/>
    <n v="6152708.3300000001"/>
    <n v="48237073.630000003"/>
    <n v="-776088.86"/>
    <n v="1065006.6499999999"/>
    <n v="47460984.770000003"/>
    <n v="1.04E-2"/>
    <m/>
    <s v="Investments"/>
    <s v="BBG00N2K8LG0"/>
    <s v="BOND"/>
    <s v="Corp"/>
    <s v="#N/A Field Not Applicable"/>
    <n v="0.3"/>
    <n v="7.5100000000000002E-3"/>
    <s v="High"/>
    <n v="0.9"/>
    <n v="2.0025999999999999E-2"/>
    <s v="High"/>
    <n v="6259802.8147574821"/>
    <s v=""/>
    <s v=""/>
    <s v=""/>
    <s v="B2"/>
    <s v="BB-"/>
    <n v="0"/>
    <n v="7"/>
    <n v="9"/>
    <n v="7"/>
    <s v="CN"/>
    <s v="Financial"/>
    <x v="16"/>
    <s v="Real Estate Oper/Develop"/>
    <s v="N"/>
    <s v=" "/>
    <s v="ACTV"/>
    <x v="2"/>
    <x v="1"/>
    <s v="Non-Investment Grade"/>
    <s v="China"/>
    <s v="High"/>
    <s v="High"/>
    <s v="Real Estate"/>
    <s v="FINANCIAL"/>
    <s v="#N/A Field Not Applicable"/>
    <n v="7.9607921413846303E-2"/>
    <s v="1/23/2022"/>
    <n v="1.7342465753424658"/>
    <s v="1 - 2 yrs"/>
    <n v="1.9722823583156447E-2"/>
    <n v="1.537886805276464"/>
    <n v="1.7489710276834273E-2"/>
    <n v="7.2466293057719522"/>
    <n v="8.2412728041309891E-2"/>
    <s v="XS1937690128"/>
    <s v="-"/>
    <n v="-2.15"/>
    <n v="6259802.8147574821"/>
    <n v="1.2279535133507775E-2"/>
  </r>
  <r>
    <s v="Investments"/>
    <s v="Investments Long"/>
    <s v="Avaliable for Trading"/>
    <s v="United States Dollar"/>
    <m/>
    <s v="CCAMCL V4.45 PERP"/>
    <s v="XS1496760239"/>
    <n v="2200000"/>
    <n v="99.694000000000003"/>
    <n v="2188999.9900000002"/>
    <n v="17047713.109999999"/>
    <n v="-49447.45"/>
    <n v="442601"/>
    <n v="16998265.66"/>
    <n v="3.7000000000000002E-3"/>
    <m/>
    <s v="Investments"/>
    <s v="BBG00DVX5HS1"/>
    <s v="EQUI"/>
    <s v="Corp"/>
    <s v="#N/A Field Not Applicable"/>
    <n v="0.2"/>
    <n v="3.9110000000000004E-3"/>
    <s v="High"/>
    <n v="0.5"/>
    <n v="1.0526000000000001E-2"/>
    <s v="High"/>
    <n v="2249853.8003095975"/>
    <s v=""/>
    <s v=""/>
    <s v=""/>
    <s v="B1"/>
    <s v=""/>
    <n v="0"/>
    <n v="8"/>
    <n v="0"/>
    <n v="8"/>
    <s v="CN"/>
    <s v="Financial"/>
    <x v="10"/>
    <s v="Invest Mgmnt/Advis Serv"/>
    <s v="N"/>
    <s v=" "/>
    <s v="ACTV"/>
    <x v="2"/>
    <x v="1"/>
    <s v="Non-Investment Grade"/>
    <s v="China"/>
    <s v="High"/>
    <s v="High"/>
    <s v="Financials"/>
    <s v="FINANCIAL"/>
    <s v="#N/A Field Not Applicable"/>
    <n v="3.2699557537946206E-2"/>
    <s v="9/30/2168"/>
    <n v="148.51780821917808"/>
    <s v="10 yrs or Above"/>
    <n v="0.60705832690908412"/>
    <n v="1.2944285810739025"/>
    <n v="5.2909052331985172E-3"/>
    <n v="3.699496663331348"/>
    <n v="1.5121488000505426E-2"/>
    <s v="XS1496760239"/>
    <s v="-"/>
    <n v="-4.82"/>
    <n v="2249853.8003095975"/>
    <n v="4.4134231706191573E-3"/>
  </r>
  <r>
    <s v="Investments"/>
    <s v="Investments Long"/>
    <s v="Avaliable for Trading"/>
    <s v="United States Dollar"/>
    <m/>
    <s v="CERCG 5.55 04/14/21"/>
    <s v="XS1376566714"/>
    <n v="5000000"/>
    <n v="21.5"/>
    <n v="4224220"/>
    <n v="32809956.59"/>
    <n v="-24478491.59"/>
    <n v="95585.8"/>
    <n v="8331465"/>
    <n v="1.8E-3"/>
    <m/>
    <s v="Investments"/>
    <s v="BBG00CNK44T9"/>
    <s v="BOND"/>
    <s v="Corp"/>
    <s v="#N/A Field Not Applicable"/>
    <n v="45"/>
    <n v="0.356265"/>
    <s v="Illiquid"/>
    <n v="75.099999999999994"/>
    <n v="1.607064"/>
    <s v="Illiquid"/>
    <n v="1087080.8565531478"/>
    <s v=""/>
    <s v=""/>
    <s v=""/>
    <s v=""/>
    <s v=""/>
    <n v="0"/>
    <n v="0"/>
    <n v="0"/>
    <n v="0"/>
    <s v="CN"/>
    <s v="Energy"/>
    <x v="18"/>
    <s v="Energy-Alternate Sources"/>
    <s v="N"/>
    <s v=" "/>
    <s v="ACTV"/>
    <x v="2"/>
    <x v="2"/>
    <s v="Non-Investment Grade"/>
    <s v="China"/>
    <s v="Illiquid"/>
    <s v="Illiquid"/>
    <s v="#N/A Field Not Applicable"/>
    <s v="SPECIAL PURPOSE"/>
    <s v="#N/A Field Not Applicable"/>
    <n v="0"/>
    <s v="4/14/2021"/>
    <n v="0.95616438356164379"/>
    <s v="0 - 1 yr"/>
    <n v="1.8883913475093194E-3"/>
    <n v="0.45147810497189239"/>
    <n v="8.9165352911711022E-4"/>
    <n v="214.68726913273795"/>
    <n v="0.42399987744840528"/>
    <s v="XS1376566714"/>
    <s v="-"/>
    <n v="0"/>
    <n v="1087080.8565531478"/>
    <n v="2.1324709365506214E-3"/>
  </r>
  <r>
    <s v="Investments"/>
    <s v="Investments Long"/>
    <s v="Avaliable for Trading"/>
    <s v="United States Dollar"/>
    <m/>
    <s v="CHALUM V5 PERP"/>
    <s v="XS2079799024"/>
    <n v="11000000"/>
    <n v="97.554000000000002"/>
    <n v="10850000"/>
    <n v="84863794.989999995"/>
    <n v="-1696863.79"/>
    <n v="1882652.75"/>
    <n v="83166931.200000003"/>
    <n v="1.83E-2"/>
    <m/>
    <s v="Investments"/>
    <s v="BBG00QT8QWY7"/>
    <s v="BOND"/>
    <s v="Corp"/>
    <s v="#N/A Field Not Applicable"/>
    <n v="1.4"/>
    <n v="1.7413000000000001E-2"/>
    <s v="High"/>
    <n v="6.5"/>
    <n v="4.3389999999999998E-2"/>
    <s v="Medium"/>
    <n v="10971308.559081528"/>
    <s v=""/>
    <s v=""/>
    <s v="BB-"/>
    <s v=""/>
    <s v=""/>
    <n v="9"/>
    <n v="0"/>
    <n v="0"/>
    <n v="9"/>
    <s v="CN"/>
    <s v="Industrial"/>
    <x v="7"/>
    <s v="Engineering/R&amp;D Services"/>
    <s v="N"/>
    <s v=" "/>
    <s v="ACTV"/>
    <x v="2"/>
    <x v="2"/>
    <s v="Non-Investment Grade"/>
    <s v="China"/>
    <s v="High"/>
    <s v="Medium"/>
    <s v="#N/A Field Not Applicable"/>
    <s v="INDUSTRIAL"/>
    <s v="#N/A Field Not Applicable"/>
    <n v="0.17939012409405908"/>
    <s v="5/21/2168"/>
    <n v="148.15616438356165"/>
    <s v="10 yrs or Above"/>
    <n v="2.9530836348963265"/>
    <n v="2.7082421257753055"/>
    <n v="5.3981321224398936E-2"/>
    <n v="6.499982312827715"/>
    <n v="0.12955918152303922"/>
    <s v="XS2079799024"/>
    <s v="-"/>
    <n v="-3.45"/>
    <n v="10971308.559081528"/>
    <n v="2.1521855064537784E-2"/>
  </r>
  <r>
    <s v="Investments"/>
    <s v="Investments Long"/>
    <s v="Avaliable for Trading"/>
    <s v="United States Dollar"/>
    <m/>
    <s v="CHCOMU V3.425 PERP"/>
    <s v="XS2102904864"/>
    <n v="3350000"/>
    <n v="98.643000000000001"/>
    <n v="3336747.5"/>
    <n v="25934869.940000001"/>
    <n v="-324020.15999999997"/>
    <n v="170437.4"/>
    <n v="25610849.780000001"/>
    <n v="5.5999999999999999E-3"/>
    <m/>
    <s v="Investments"/>
    <s v="BBG00RPNYQB5"/>
    <s v="BOND"/>
    <s v="Corp"/>
    <s v="#N/A Field Not Applicable"/>
    <n v="0.3"/>
    <n v="6.3020000000000003E-3"/>
    <s v="High"/>
    <n v="0.8"/>
    <n v="1.6910999999999999E-2"/>
    <s v="High"/>
    <n v="3325759.4401444788"/>
    <s v=""/>
    <s v=""/>
    <s v=""/>
    <s v="Baa1"/>
    <s v=""/>
    <n v="0"/>
    <n v="14"/>
    <n v="0"/>
    <n v="14"/>
    <s v="CN"/>
    <s v="Industrial"/>
    <x v="7"/>
    <s v="Building-Heavy Construct"/>
    <s v="N"/>
    <s v=" "/>
    <s v="ACTV"/>
    <x v="2"/>
    <x v="2"/>
    <s v="Investment Grade"/>
    <s v="China"/>
    <s v="High"/>
    <s v="High"/>
    <s v="#N/A Field Not Applicable"/>
    <s v="SPECIAL PURPOSE"/>
    <s v="#N/A Field Not Applicable"/>
    <n v="8.4589500336405207E-2"/>
    <s v="8/21/2168"/>
    <n v="148.40821917808219"/>
    <s v="10 yrs or Above"/>
    <n v="0.89669836472069153"/>
    <n v="4.3415699091699143"/>
    <n v="2.6232230663732512E-2"/>
    <n v="5.0220100501248917"/>
    <n v="3.0343522916033563E-2"/>
    <s v="XS2102904864"/>
    <s v="-"/>
    <n v="-2.86"/>
    <n v="3325759.4401444788"/>
    <n v="6.5239722558946859E-3"/>
  </r>
  <r>
    <s v="Investments"/>
    <s v="Investments Long"/>
    <s v="Avaliable for Trading"/>
    <s v="United States Dollar"/>
    <m/>
    <s v="CHFOTN 8.05 01/13/25"/>
    <s v="XS2100597330"/>
    <n v="2970000"/>
    <n v="85.561999999999998"/>
    <n v="2925620"/>
    <n v="22739381.460000001"/>
    <n v="-3044639.88"/>
    <n v="550739.86"/>
    <n v="19694741.579999998"/>
    <n v="4.3E-3"/>
    <m/>
    <s v="Investments"/>
    <s v="BBG00RB35JZ6"/>
    <s v="BOND"/>
    <s v="Corp"/>
    <s v="#N/A Field Not Applicable"/>
    <n v="0.3"/>
    <n v="1.9768999999999998E-2"/>
    <s v="High"/>
    <n v="1"/>
    <n v="5.3263999999999999E-2"/>
    <s v="High"/>
    <n v="2611646.2125902991"/>
    <s v=""/>
    <s v=""/>
    <s v=""/>
    <s v="Ba3"/>
    <s v=""/>
    <n v="0"/>
    <n v="9"/>
    <n v="0"/>
    <n v="9"/>
    <s v="CN"/>
    <s v="Financial"/>
    <x v="16"/>
    <s v="Real Estate Oper/Develop"/>
    <s v="N"/>
    <s v=" "/>
    <s v="ACTV"/>
    <x v="2"/>
    <x v="1"/>
    <s v="Non-Investment Grade"/>
    <s v="China"/>
    <s v="High"/>
    <s v="High"/>
    <s v="#N/A Field Not Applicable"/>
    <s v="SPECIAL PURPOSE"/>
    <s v="#N/A Field Not Applicable"/>
    <n v="4.2702612513668498E-2"/>
    <s v="1/13/2025"/>
    <n v="4.7095890410958905"/>
    <s v="3 - 5 yrs"/>
    <n v="2.2345750657837487E-2"/>
    <n v="3.5965935112955822"/>
    <n v="1.7064882120225517E-2"/>
    <n v="12.216013973154974"/>
    <n v="5.7961745684132975E-2"/>
    <s v="XS2100597330"/>
    <s v="-"/>
    <n v="-9.6300000000000008"/>
    <n v="2611646.2125902991"/>
    <n v="5.1231328482409305E-3"/>
  </r>
  <r>
    <s v="Investments"/>
    <s v="Investments Long"/>
    <s v="Avaliable for Trading"/>
    <s v="United States Dollar"/>
    <m/>
    <s v="CHINSC 7.45 04/17/21"/>
    <s v="XS1795479291"/>
    <n v="4000000"/>
    <n v="100.01"/>
    <n v="4070800"/>
    <n v="31919388.199999999"/>
    <n v="-915488.12"/>
    <n v="83400.77"/>
    <n v="31003900.079999998"/>
    <n v="6.7999999999999996E-3"/>
    <m/>
    <s v="Investments"/>
    <s v="BBG00KDP8LC7"/>
    <s v="BOND"/>
    <s v="Corp"/>
    <s v="#N/A Field Not Applicable"/>
    <n v="0.3"/>
    <n v="7.1440000000000002E-3"/>
    <s v="High"/>
    <n v="0.9"/>
    <n v="1.9226E-2"/>
    <s v="High"/>
    <n v="4010229.7278121775"/>
    <s v=""/>
    <s v=""/>
    <s v="B"/>
    <s v="B2"/>
    <s v=""/>
    <n v="7"/>
    <n v="7"/>
    <n v="0"/>
    <n v="7"/>
    <s v="CN"/>
    <s v="Financial"/>
    <x v="16"/>
    <s v="Real Estate Oper/Develop"/>
    <s v="N"/>
    <s v=" "/>
    <s v="ACTV"/>
    <x v="2"/>
    <x v="1"/>
    <s v="Non-Investment Grade"/>
    <s v="China"/>
    <s v="High"/>
    <s v="High"/>
    <s v="Real Estate"/>
    <s v="FINANCIAL"/>
    <s v="#N/A Field Not Applicable"/>
    <n v="5.099937849008912E-2"/>
    <s v="4/17/2021"/>
    <n v="0.96438356164383565"/>
    <s v="0 - 1 yr"/>
    <n v="7.0261374671277384E-3"/>
    <n v="0.89278162154577112"/>
    <n v="6.5044725466011843E-3"/>
    <n v="7.5490856248804379"/>
    <n v="5.4999810719624065E-2"/>
    <s v="XS1795479291"/>
    <s v="-"/>
    <n v="-1.62"/>
    <n v="4010229.7278121775"/>
    <n v="7.8666626239431731E-3"/>
  </r>
  <r>
    <s v="Investments"/>
    <s v="Investments Long"/>
    <s v="Avaliable for Trading"/>
    <s v="United States Dollar"/>
    <m/>
    <s v="CHINSC 8.75 01/15/21"/>
    <s v="XS1893648904"/>
    <n v="6000000"/>
    <n v="100.852"/>
    <n v="6011750.0199999996"/>
    <n v="47123886.640000001"/>
    <n v="-226496.58"/>
    <n v="1186749.3899999999"/>
    <n v="46897390.060000002"/>
    <n v="1.03E-2"/>
    <m/>
    <s v="Investments"/>
    <s v="BBG00N0Q0RS1"/>
    <s v="BOND"/>
    <s v="Corp"/>
    <s v="#N/A Field Not Applicable"/>
    <n v="0.3"/>
    <n v="4.6299999999999996E-3"/>
    <s v="High"/>
    <n v="1"/>
    <n v="1.2041E-2"/>
    <s v="High"/>
    <n v="6202804.3666150672"/>
    <s v=""/>
    <s v=""/>
    <s v="B"/>
    <s v="B2"/>
    <s v=""/>
    <n v="7"/>
    <n v="7"/>
    <n v="0"/>
    <n v="7"/>
    <s v="CN"/>
    <s v="Financial"/>
    <x v="16"/>
    <s v="Real Estate Oper/Develop"/>
    <s v="N"/>
    <s v=" "/>
    <s v="ACTV"/>
    <x v="2"/>
    <x v="1"/>
    <s v="Non-Investment Grade"/>
    <s v="China"/>
    <s v="High"/>
    <s v="High"/>
    <s v="Real Estate"/>
    <s v="FINANCIAL"/>
    <s v="#N/A Field Not Applicable"/>
    <n v="7.8883053855760402E-2"/>
    <s v="1/15/2021"/>
    <n v="0.71232876712328763"/>
    <s v="0 - 1 yr"/>
    <n v="8.0272383571419591E-3"/>
    <n v="0.64532165692986987"/>
    <n v="7.2721347168410652E-3"/>
    <n v="7.0575658030340751"/>
    <n v="7.953176333304425E-2"/>
    <s v="XS1893648904"/>
    <s v="-"/>
    <n v="-1.19"/>
    <n v="6202804.3666150672"/>
    <n v="1.2167724191976174E-2"/>
  </r>
  <r>
    <s v="Investments"/>
    <s v="Investments Long"/>
    <s v="Avaliable for Trading"/>
    <s v="United States Dollar"/>
    <m/>
    <s v="CHIOLI 3.125 03/02/35 EMTN"/>
    <s v="XS2125715800"/>
    <n v="2500000"/>
    <n v="100.081"/>
    <n v="2496425"/>
    <n v="19454889.670000002"/>
    <n v="-63695.519999999997"/>
    <n v="97550.26"/>
    <n v="19391194.149999999"/>
    <n v="4.3E-3"/>
    <m/>
    <s v="Investments"/>
    <s v="BBG00RYGHZS1"/>
    <s v="BOND"/>
    <s v="Corp"/>
    <s v="#N/A Field Not Applicable"/>
    <n v="0.3"/>
    <n v="1.1516E-2"/>
    <s v="High"/>
    <n v="1"/>
    <n v="3.0734000000000001E-2"/>
    <s v="High"/>
    <n v="2514027.916666667"/>
    <s v=""/>
    <s v=""/>
    <s v=""/>
    <s v="Baa1"/>
    <s v="A-"/>
    <n v="0"/>
    <n v="14"/>
    <n v="15"/>
    <n v="14"/>
    <s v="CN"/>
    <s v="Financial"/>
    <x v="16"/>
    <s v="Real Estate Oper/Develop"/>
    <s v="N"/>
    <s v=" "/>
    <s v="ACTV"/>
    <x v="2"/>
    <x v="1"/>
    <s v="Investment Grade"/>
    <s v="China"/>
    <s v="High"/>
    <s v="High"/>
    <s v="#N/A Field Not Applicable"/>
    <s v="SPECIAL PURPOSE"/>
    <s v="#N/A Field Not Applicable"/>
    <n v="6.394339973469898E-2"/>
    <s v="3/2/2035"/>
    <n v="14.846575342465753"/>
    <s v="10 yrs or Above"/>
    <n v="6.781003584390094E-2"/>
    <n v="11.705455772287847"/>
    <n v="5.3463331251731527E-2"/>
    <n v="3.1969626175629604"/>
    <n v="1.4601761327979855E-2"/>
    <s v="XS2125715800"/>
    <s v="-"/>
    <n v="-8.6199999999999992"/>
    <n v="2514027.916666667"/>
    <n v="4.9316400281090491E-3"/>
  </r>
  <r>
    <s v="Investments"/>
    <s v="Investments Long"/>
    <s v="Avaliable for Trading"/>
    <s v="United States Dollar"/>
    <m/>
    <s v="CHOHIN V5.7 PERP EMTN"/>
    <s v="XS2020061326"/>
    <n v="6000000"/>
    <n v="91.802000000000007"/>
    <n v="6000000"/>
    <n v="46795800"/>
    <n v="-4106768.38"/>
    <n v="773082.45"/>
    <n v="42689031.619999997"/>
    <n v="9.4000000000000004E-3"/>
    <m/>
    <s v="Investments"/>
    <s v="BBG00PMFP1T5"/>
    <s v="BOND"/>
    <s v="Corp"/>
    <s v="#N/A Field Not Applicable"/>
    <n v="1.5"/>
    <n v="3.9120000000000002E-2"/>
    <s v="High"/>
    <n v="2"/>
    <n v="9.3880000000000005E-2"/>
    <s v="High"/>
    <n v="5606567.8624871001"/>
    <s v=""/>
    <s v=""/>
    <s v=""/>
    <s v="Ba2"/>
    <s v=""/>
    <n v="0"/>
    <n v="10"/>
    <n v="0"/>
    <n v="10"/>
    <s v="CN"/>
    <s v="Financial"/>
    <x v="5"/>
    <s v="Commer Banks Non-US"/>
    <s v="N"/>
    <s v=" "/>
    <s v="ACTV"/>
    <x v="2"/>
    <x v="1"/>
    <s v="Non-Investment Grade"/>
    <s v="China"/>
    <s v="High"/>
    <s v="High"/>
    <s v="Financials"/>
    <s v="BANK"/>
    <s v="#N/A Field Not Applicable"/>
    <n v="0.10185788982409047"/>
    <s v="1/15/2169"/>
    <n v="148.81095890410958"/>
    <s v="10 yrs or Above"/>
    <n v="1.5157570256672048"/>
    <n v="3.5580911696045519"/>
    <n v="3.6241965833764961E-2"/>
    <n v="4.8499690086227965"/>
    <n v="4.9400760893055409E-2"/>
    <s v="XS2020061326"/>
    <s v="-"/>
    <n v="-10.9"/>
    <n v="5606567.8624871001"/>
    <n v="1.0998117525922927E-2"/>
  </r>
  <r>
    <s v="Investments"/>
    <s v="Investments Long"/>
    <s v="Avaliable for Trading"/>
    <s v="United States Dollar"/>
    <m/>
    <s v="CHPWCN V4.3 PERP EMTN"/>
    <s v="XS2008565116"/>
    <n v="4000000"/>
    <n v="100.072"/>
    <n v="4029622.22"/>
    <n v="31532346.120000001"/>
    <n v="-509225.54"/>
    <n v="481373.54"/>
    <n v="31023120.579999998"/>
    <n v="6.7999999999999996E-3"/>
    <m/>
    <s v="Investments"/>
    <s v="BBG00PDL9DV1"/>
    <s v="BOND"/>
    <s v="Corp"/>
    <s v="#N/A Field Not Applicable"/>
    <n v="0.4"/>
    <n v="8.1130000000000004E-3"/>
    <s v="High"/>
    <n v="1.1000000000000001"/>
    <n v="2.1579000000000001E-2"/>
    <s v="High"/>
    <n v="4064047.2291021668"/>
    <s v=""/>
    <s v=""/>
    <s v=""/>
    <s v=""/>
    <s v="BBB"/>
    <n v="0"/>
    <n v="0"/>
    <n v="13"/>
    <n v="13"/>
    <s v="CN"/>
    <s v="Industrial"/>
    <x v="7"/>
    <s v="Building-Heavy Construct"/>
    <s v="N"/>
    <s v=" "/>
    <s v="ACTV"/>
    <x v="2"/>
    <x v="2"/>
    <s v="Investment Grade"/>
    <s v="China"/>
    <s v="High"/>
    <s v="High"/>
    <s v="#N/A Field Not Applicable"/>
    <s v="SPECIAL PURPOSE"/>
    <s v="#N/A Field Not Applicable"/>
    <n v="9.598418686287033E-2"/>
    <s v="12/20/2168"/>
    <n v="148.73972602739727"/>
    <s v="10 yrs or Above"/>
    <n v="1.0982047428419874"/>
    <n v="3.6794944278121124"/>
    <n v="2.7167175440000611E-2"/>
    <n v="5.5079428516056543"/>
    <n v="4.0667339684502146E-2"/>
    <s v="XS2008565116"/>
    <s v="-"/>
    <n v="-2.78"/>
    <n v="4064047.2291021668"/>
    <n v="7.9722336646683E-3"/>
  </r>
  <r>
    <s v="Investments"/>
    <s v="Investments Long"/>
    <s v="Avaliable for Trading"/>
    <s v="United States Dollar"/>
    <m/>
    <s v="CHSCOI V6 PERP"/>
    <s v="XS1912494538"/>
    <n v="1500000"/>
    <n v="102.512"/>
    <n v="1491411.43"/>
    <n v="11668623.119999999"/>
    <n v="248704.42"/>
    <n v="284819.84999999998"/>
    <n v="11917327.539999999"/>
    <n v="2.5999999999999999E-3"/>
    <m/>
    <s v="Investments"/>
    <s v="BBG00MKJ4690"/>
    <s v="BOND"/>
    <s v="Corp"/>
    <s v="#N/A Field Not Applicable"/>
    <n v="0.4"/>
    <n v="6.156E-3"/>
    <s v="High"/>
    <n v="1.7"/>
    <n v="1.5810999999999999E-2"/>
    <s v="High"/>
    <n v="1574064.4207946334"/>
    <s v=""/>
    <s v=""/>
    <s v=""/>
    <s v="Baa2"/>
    <s v=""/>
    <n v="0"/>
    <n v="13"/>
    <n v="0"/>
    <n v="13"/>
    <s v="CN"/>
    <s v="Industrial"/>
    <x v="7"/>
    <s v="Building&amp;Construct-Misc"/>
    <s v="N"/>
    <s v=" "/>
    <s v="ACTV"/>
    <x v="2"/>
    <x v="2"/>
    <s v="Investment Grade"/>
    <s v="China"/>
    <s v="High"/>
    <s v="High"/>
    <s v="#N/A Field Not Applicable"/>
    <s v="SPECIAL PURPOSE"/>
    <s v="#N/A Field Not Applicable"/>
    <n v="3.7176067349277767E-2"/>
    <s v="6/3/2168"/>
    <n v="148.1917808219178"/>
    <s v="10 yrs or Above"/>
    <n v="0.42378366341884816"/>
    <n v="1.4566672346015268"/>
    <n v="4.1656276322332734E-3"/>
    <n v="8.0949991462286128"/>
    <n v="2.3149248727118533E-2"/>
    <s v="XS1912494538"/>
    <s v="-"/>
    <n v="-1.2"/>
    <n v="1574064.4207946334"/>
    <n v="3.0877616962605723E-3"/>
  </r>
  <r>
    <s v="Investments"/>
    <s v="Investments Long"/>
    <s v="Avaliable for Trading"/>
    <s v="United States Dollar"/>
    <m/>
    <s v="CHUANT 4.625 09/26/21"/>
    <s v="XS1852561031"/>
    <n v="1500000"/>
    <n v="100.746"/>
    <n v="1489886.64"/>
    <n v="11683525.57"/>
    <n v="28499.16"/>
    <n v="50779.95"/>
    <n v="11712024.73"/>
    <n v="2.5999999999999999E-3"/>
    <m/>
    <s v="Investments"/>
    <s v="BBG00M0MD1Z7"/>
    <s v="BOND"/>
    <s v="Corp"/>
    <s v="#N/A Field Not Applicable"/>
    <n v="1"/>
    <n v="1.4751E-2"/>
    <s v="High"/>
    <n v="1.9"/>
    <n v="3.5358000000000001E-2"/>
    <s v="High"/>
    <n v="1517389.6646026832"/>
    <s v=""/>
    <s v=""/>
    <s v=""/>
    <s v="Baa1"/>
    <s v="A-"/>
    <n v="0"/>
    <n v="14"/>
    <n v="15"/>
    <n v="14"/>
    <s v="CN"/>
    <s v="Financial"/>
    <x v="10"/>
    <s v="Finance-Other Services"/>
    <s v="N"/>
    <s v=" "/>
    <s v="ACTV"/>
    <x v="2"/>
    <x v="1"/>
    <s v="Investment Grade"/>
    <s v="China"/>
    <s v="High"/>
    <s v="High"/>
    <s v="#N/A Field Not Applicable"/>
    <s v="FINANCIAL"/>
    <s v="Chengtou Bond"/>
    <n v="3.8594262710351171E-2"/>
    <s v="9/26/2021"/>
    <n v="1.4082191780821918"/>
    <s v="1 - 2 yrs"/>
    <n v="3.8820843509042081E-3"/>
    <n v="1.3247487020478905"/>
    <n v="3.6519785308595015E-3"/>
    <n v="4.2009721137208906"/>
    <n v="1.1580958671128809E-2"/>
    <s v="XS1852561031"/>
    <s v="-"/>
    <n v="-1.39"/>
    <n v="1517389.6646026832"/>
    <n v="2.9765857246786299E-3"/>
  </r>
  <r>
    <s v="Investments"/>
    <s v="Investments Long"/>
    <s v="Avaliable for Trading"/>
    <s v="United States Dollar"/>
    <m/>
    <s v="CIFIHG 6.875 04/23/21"/>
    <s v="XS1801151371"/>
    <n v="3000000"/>
    <n v="100.889"/>
    <n v="3060000"/>
    <n v="23994072"/>
    <n v="-536774.17000000004"/>
    <n v="31081.53"/>
    <n v="23457297.829999998"/>
    <n v="5.1999999999999998E-3"/>
    <m/>
    <s v="Investments"/>
    <s v="BBG00KKDSP44"/>
    <s v="BOND"/>
    <s v="Corp"/>
    <s v="#N/A Field Not Applicable"/>
    <n v="0.3"/>
    <n v="4.6909999999999999E-3"/>
    <s v="High"/>
    <n v="0.7"/>
    <n v="1.2468E-2"/>
    <s v="High"/>
    <n v="3029976.6976264189"/>
    <s v=""/>
    <s v=""/>
    <s v="BB-"/>
    <s v="B1"/>
    <s v="BB"/>
    <n v="9"/>
    <n v="8"/>
    <n v="10"/>
    <n v="9"/>
    <s v="CN"/>
    <s v="Financial"/>
    <x v="16"/>
    <s v="Real Estate Oper/Develop"/>
    <s v="N"/>
    <s v=" "/>
    <s v="ACTV"/>
    <x v="2"/>
    <x v="1"/>
    <s v="Non-Investment Grade"/>
    <s v="China"/>
    <s v="High"/>
    <s v="High"/>
    <s v="Real Estate"/>
    <s v="FINANCIAL"/>
    <s v="#N/A Field Not Applicable"/>
    <n v="4.9542667846980519E-2"/>
    <s v="4/23/2021"/>
    <n v="0.98082191780821915"/>
    <s v="0 - 1 yr"/>
    <n v="5.3991704990012258E-3"/>
    <n v="0.91626758947044384"/>
    <n v="5.0438156493430785E-3"/>
    <n v="6.1732425095787056"/>
    <n v="3.398210035454647E-2"/>
    <s v="XS1801151371"/>
    <s v="-"/>
    <n v="-1.35"/>
    <n v="3029976.6976264189"/>
    <n v="5.9437503725354871E-3"/>
  </r>
  <r>
    <s v="Investments"/>
    <s v="Investments Long"/>
    <s v="Avaliable for Trading"/>
    <s v="United States Dollar"/>
    <m/>
    <s v="CIFIHG 7.625 03/02/21"/>
    <s v="XS1924328807"/>
    <n v="5000000"/>
    <n v="101.34399999999999"/>
    <n v="5106829.16"/>
    <n v="39979138.859999999"/>
    <n v="-707325.5"/>
    <n v="476045.27"/>
    <n v="39271813.359999999"/>
    <n v="8.6E-3"/>
    <m/>
    <s v="Investments"/>
    <s v="BBG00MTKPX96"/>
    <s v="BOND"/>
    <s v="Corp"/>
    <s v="#N/A Field Not Applicable"/>
    <n v="0.3"/>
    <n v="3.8909999999999999E-3"/>
    <s v="High"/>
    <n v="0.9"/>
    <n v="1.0186000000000001E-2"/>
    <s v="High"/>
    <n v="5127432.7438080497"/>
    <s v=""/>
    <s v=""/>
    <s v=""/>
    <s v=""/>
    <s v="BB"/>
    <n v="0"/>
    <n v="0"/>
    <n v="10"/>
    <n v="10"/>
    <s v="CN"/>
    <s v="Financial"/>
    <x v="16"/>
    <s v="Real Estate Oper/Develop"/>
    <s v="N"/>
    <s v=" "/>
    <s v="ACTV"/>
    <x v="2"/>
    <x v="1"/>
    <s v="Non-Investment Grade"/>
    <s v="China"/>
    <s v="High"/>
    <s v="High"/>
    <s v="Real Estate"/>
    <s v="FINANCIAL"/>
    <s v="#N/A Field Not Applicable"/>
    <n v="9.3153153998844676E-2"/>
    <s v="3/2/2021"/>
    <n v="0.83835616438356164"/>
    <s v="0 - 1 yr"/>
    <n v="7.8095520886702664E-3"/>
    <n v="0.77410015405179922"/>
    <n v="7.2109870860916636E-3"/>
    <n v="6.9852382700588826"/>
    <n v="6.5069697628941853E-2"/>
    <s v="XS1924328807"/>
    <s v="-"/>
    <n v="-1.1599999999999999"/>
    <n v="5127432.7438080497"/>
    <n v="1.0058222660601237E-2"/>
  </r>
  <r>
    <s v="Investments"/>
    <s v="Investments Long"/>
    <s v="Avaliable for Trading"/>
    <s v="United States Dollar"/>
    <m/>
    <s v="CINDBK V4.625 02/28/29 EMTN"/>
    <s v="XS1897158892"/>
    <n v="6500000"/>
    <n v="101.17100000000001"/>
    <n v="6472570"/>
    <n v="50801583.549999997"/>
    <n v="164622.92000000001"/>
    <n v="401261.22"/>
    <n v="50966206.469999999"/>
    <n v="1.12E-2"/>
    <m/>
    <s v="Investments"/>
    <s v="BBG00NDMRLH2"/>
    <s v="BOND"/>
    <s v="Corp"/>
    <s v="#N/A Field Not Applicable"/>
    <n v="1.1000000000000001"/>
    <n v="7.7320000000000002E-3"/>
    <s v="High"/>
    <n v="7.8"/>
    <n v="1.9286999999999999E-2"/>
    <s v="Low"/>
    <n v="6626350.3212074302"/>
    <s v=""/>
    <s v=""/>
    <s v=""/>
    <s v="Baa3"/>
    <s v=""/>
    <n v="0"/>
    <n v="12"/>
    <n v="0"/>
    <n v="12"/>
    <s v="HK"/>
    <s v="Financial"/>
    <x v="5"/>
    <s v="Commer Banks Non-US"/>
    <s v="N"/>
    <s v=" "/>
    <s v="ACTV"/>
    <x v="2"/>
    <x v="1"/>
    <s v="Investment Grade"/>
    <s v="Hong Kong"/>
    <s v="High"/>
    <s v="Low"/>
    <s v="#N/A Field Not Applicable"/>
    <s v="BANK"/>
    <s v="#N/A Field Not Applicable"/>
    <n v="0.14446186918796278"/>
    <s v="2/28/2029"/>
    <n v="8.838356164383562"/>
    <s v="7 - 10 yrs"/>
    <n v="0.10640045433798355"/>
    <n v="3.4337534583758229"/>
    <n v="4.1337203577300245E-2"/>
    <n v="3.4129105651400979"/>
    <n v="4.1086286634290412E-2"/>
    <s v="XS1897158892"/>
    <s v="-"/>
    <n v="-3.52"/>
    <n v="6626350.3212074302"/>
    <n v="1.2998572636245181E-2"/>
  </r>
  <r>
    <s v="Investments"/>
    <s v="Investments Long"/>
    <s v="Avaliable for Trading"/>
    <s v="United States Dollar"/>
    <m/>
    <s v="CISIFG 5 08/28/20"/>
    <s v="XS2042630355"/>
    <n v="5000000"/>
    <n v="100.017"/>
    <n v="4995000"/>
    <n v="39197263.5"/>
    <n v="-439675.83"/>
    <n v="328307.08"/>
    <n v="38757587.670000002"/>
    <n v="8.5000000000000006E-3"/>
    <m/>
    <s v="Investments"/>
    <s v="BBG00Q3NXL14"/>
    <s v="BOND"/>
    <s v="Corp"/>
    <s v="#N/A Field Not Applicable"/>
    <n v="0.4"/>
    <n v="5.7600000000000004E-3"/>
    <s v="High"/>
    <n v="1.9"/>
    <n v="1.3051999999999999E-2"/>
    <s v="High"/>
    <n v="5042040.0864293091"/>
    <s v=""/>
    <s v=""/>
    <s v=""/>
    <s v=""/>
    <s v=""/>
    <n v="0"/>
    <n v="0"/>
    <n v="0"/>
    <n v="0"/>
    <s v="CN"/>
    <s v="Financial"/>
    <x v="10"/>
    <s v="Finance-Invest Bnkr/Brkr"/>
    <s v="N"/>
    <s v=" "/>
    <s v="ACTV"/>
    <x v="2"/>
    <x v="1"/>
    <s v="Non-Investment Grade"/>
    <s v="China"/>
    <s v="High"/>
    <s v="High"/>
    <s v="Financials"/>
    <s v="FINANCIAL"/>
    <s v="#N/A Field Not Applicable"/>
    <n v="0"/>
    <s v="8/28/2020"/>
    <n v="0.32876712328767121"/>
    <s v="0 - 1 yr"/>
    <n v="3.0115651805598907E-3"/>
    <n v="0.30375562343574397"/>
    <n v="2.7824554042708101E-3"/>
    <n v="4.887688152647911"/>
    <n v="4.4772090672429869E-2"/>
    <s v="XS2042630355"/>
    <s v="-"/>
    <n v="-0.41"/>
    <n v="5042040.0864293091"/>
    <n v="9.8907122505362752E-3"/>
  </r>
  <r>
    <s v="Investments"/>
    <s v="Investments Long"/>
    <s v="Avaliable for Trading"/>
    <s v="United States Dollar"/>
    <m/>
    <s v="CMHI 4.375 08/06/23"/>
    <s v="XS1856799421"/>
    <n v="2500000"/>
    <n v="107.607"/>
    <n v="2491500"/>
    <n v="19557527.550000001"/>
    <n v="1291866.73"/>
    <n v="197791.56"/>
    <n v="20849394.280000001"/>
    <n v="4.5999999999999999E-3"/>
    <m/>
    <s v="Investments"/>
    <s v="BBG00LJTWWM9"/>
    <s v="BOND"/>
    <s v="Corp"/>
    <s v="#N/A Field Not Applicable"/>
    <n v="0.5"/>
    <n v="1.7149999999999999E-3"/>
    <s v="High"/>
    <n v="1.2"/>
    <n v="4.4970000000000001E-3"/>
    <s v="High"/>
    <n v="2715065.2528379774"/>
    <s v=""/>
    <s v=""/>
    <s v="BBB"/>
    <s v="Baa1"/>
    <s v=""/>
    <n v="13"/>
    <n v="14"/>
    <n v="0"/>
    <n v="13"/>
    <s v="CN"/>
    <s v="Consumer, Non-cyclical"/>
    <x v="19"/>
    <s v="Whsing&amp;Harbor Trans Serv"/>
    <s v="N"/>
    <s v=" "/>
    <s v="ACTV"/>
    <x v="2"/>
    <x v="2"/>
    <s v="Investment Grade"/>
    <s v="China"/>
    <s v="High"/>
    <s v="High"/>
    <s v="#N/A Field Not Applicable"/>
    <s v="SPECIAL PURPOSE"/>
    <s v="#N/A Field Not Applicable"/>
    <n v="6.4124090071379272E-2"/>
    <s v="8/6/2023"/>
    <n v="3.2684931506849315"/>
    <s v="3 - 5 yrs"/>
    <n v="1.6122242245554367E-2"/>
    <n v="3.0108778114577648"/>
    <n v="1.4851523075064231E-2"/>
    <n v="1.9522687246847705"/>
    <n v="9.6298042727094597E-3"/>
    <s v="XS1856799421"/>
    <s v="-"/>
    <n v="-1.39"/>
    <n v="2715065.2528379774"/>
    <n v="5.3260046919356143E-3"/>
  </r>
  <r>
    <s v="Investments"/>
    <s v="Investments Long"/>
    <s v="Avaliable for Trading"/>
    <s v="United States Dollar"/>
    <m/>
    <s v="CMHI 5 08/06/28"/>
    <s v="XS1856800450"/>
    <n v="10000000"/>
    <n v="113.53100000000001"/>
    <n v="10083086.67"/>
    <n v="79149947.319999993"/>
    <n v="8838848.3000000007"/>
    <n v="904190.01"/>
    <n v="87988795.620000005"/>
    <n v="1.9300000000000001E-2"/>
    <m/>
    <s v="Investments"/>
    <s v="BBG00LLFHRL5"/>
    <s v="BOND"/>
    <s v="Corp"/>
    <s v="#N/A Field Not Applicable"/>
    <n v="0.5"/>
    <n v="1.2364999999999999E-2"/>
    <s v="High"/>
    <n v="1.9"/>
    <n v="3.3043999999999997E-2"/>
    <s v="High"/>
    <n v="11467103.409442727"/>
    <s v=""/>
    <s v=""/>
    <s v="BBB"/>
    <s v="Baa1"/>
    <s v=""/>
    <n v="13"/>
    <n v="14"/>
    <n v="0"/>
    <n v="13"/>
    <s v="CN"/>
    <s v="Consumer, Non-cyclical"/>
    <x v="19"/>
    <s v="Whsing&amp;Harbor Trans Serv"/>
    <s v="N"/>
    <s v=" "/>
    <s v="ACTV"/>
    <x v="2"/>
    <x v="2"/>
    <s v="Investment Grade"/>
    <s v="China"/>
    <s v="High"/>
    <s v="High"/>
    <s v="#N/A Field Not Applicable"/>
    <s v="SPECIAL PURPOSE"/>
    <s v="#N/A Field Not Applicable"/>
    <n v="0.2708286922814544"/>
    <s v="8/6/2028"/>
    <n v="8.2739726027397253"/>
    <s v="7 - 10 yrs"/>
    <n v="0.17237147538250625"/>
    <n v="6.7773044034553394"/>
    <n v="0.14119142221393477"/>
    <n v="3.1432902672156113"/>
    <n v="6.5484091733155947E-2"/>
    <s v="XS1856800450"/>
    <s v="-"/>
    <n v="-3.95"/>
    <n v="11467103.409442727"/>
    <n v="2.2494430473729555E-2"/>
  </r>
  <r>
    <s v="Investments"/>
    <s v="Investments Long"/>
    <s v="Avaliable for Trading"/>
    <s v="United States Dollar"/>
    <m/>
    <s v="CNPFP 6 01/22/49"/>
    <s v="FR0013101599"/>
    <n v="3000000"/>
    <n v="109.25"/>
    <n v="2946990"/>
    <n v="22971787.050000001"/>
    <n v="2429493.4500000002"/>
    <n v="379759.8"/>
    <n v="25401280.5"/>
    <n v="5.5999999999999999E-3"/>
    <m/>
    <s v="Investments"/>
    <s v="BBG00BWQ0R57"/>
    <s v="BOND"/>
    <s v="Corp"/>
    <s v="#N/A Field Not Applicable"/>
    <n v="1.5"/>
    <n v="7.5050000000000004E-3"/>
    <s v="High"/>
    <n v="3.4"/>
    <n v="1.8505000000000001E-2"/>
    <s v="Medium"/>
    <n v="3325727.5928792572"/>
    <s v=""/>
    <s v=""/>
    <s v="BBB+"/>
    <s v="A3"/>
    <s v=""/>
    <n v="14"/>
    <n v="15"/>
    <n v="0"/>
    <n v="14"/>
    <s v="FR"/>
    <s v="Financial"/>
    <x v="1"/>
    <s v="Multi-line Insurance"/>
    <s v="N"/>
    <s v=" "/>
    <s v="ACTV"/>
    <x v="2"/>
    <x v="1"/>
    <s v="Investment Grade"/>
    <s v="France"/>
    <s v="High"/>
    <s v="Medium"/>
    <s v="Financials"/>
    <s v="FINANCIAL"/>
    <s v="#N/A Field Not Applicable"/>
    <n v="8.4588690312619466E-2"/>
    <s v="1/22/2049"/>
    <n v="28.75068493150685"/>
    <s v="10 yrs or Above"/>
    <n v="0.17371305599620915"/>
    <n v="6.7285760015894569"/>
    <n v="4.0654387974526709E-2"/>
    <n v="5.3835025974648572"/>
    <n v="3.252738814386695E-2"/>
    <s v="FR0013101599"/>
    <s v="-"/>
    <n v="-7.5"/>
    <n v="3325727.5928792572"/>
    <n v="6.523909782742773E-3"/>
  </r>
  <r>
    <s v="Investments"/>
    <s v="Investments Long"/>
    <s v="Avaliable for Trading"/>
    <s v="United States Dollar"/>
    <m/>
    <s v="COGARD 5.125 01/14/27"/>
    <s v="XS2100725949"/>
    <n v="1300000"/>
    <n v="94.664000000000001"/>
    <n v="1203000"/>
    <n v="9324774.9000000004"/>
    <n v="212869.23"/>
    <n v="152038.47"/>
    <n v="9537644.1300000008"/>
    <n v="2.0999999999999999E-3"/>
    <m/>
    <s v="Investments"/>
    <s v="BBG00R9SN7F2"/>
    <s v="BOND"/>
    <s v="Corp"/>
    <s v="#N/A Field Not Applicable"/>
    <n v="0.2"/>
    <n v="1.3808000000000001E-2"/>
    <s v="High"/>
    <n v="0.5"/>
    <n v="3.8136999999999997E-2"/>
    <s v="High"/>
    <n v="1249959.0557275545"/>
    <s v=""/>
    <s v=""/>
    <s v=""/>
    <s v=""/>
    <s v="BBB-"/>
    <n v="0"/>
    <n v="0"/>
    <n v="12"/>
    <n v="12"/>
    <s v="CN"/>
    <s v="Financial"/>
    <x v="16"/>
    <s v="Real Estate Oper/Develop"/>
    <s v="N"/>
    <s v=" "/>
    <s v="ACTV"/>
    <x v="2"/>
    <x v="1"/>
    <s v="Investment Grade"/>
    <s v="China"/>
    <s v="High"/>
    <s v="High"/>
    <s v="Real Estate"/>
    <s v="FINANCIAL"/>
    <s v="#N/A Field Not Applicable"/>
    <n v="2.7250509382353388E-2"/>
    <s v="1/14/2027"/>
    <n v="6.7123287671232879"/>
    <s v="5 - 7 yrs"/>
    <n v="1.5242864837161139E-2"/>
    <n v="5.4474969231274564"/>
    <n v="1.2370588834502162E-2"/>
    <n v="6.1961117105704577"/>
    <n v="1.4070600025250828E-2"/>
    <s v="XS2100725949"/>
    <s v="-"/>
    <n v="-7.2"/>
    <n v="1249959.0557275545"/>
    <n v="2.4519807723124517E-3"/>
  </r>
  <r>
    <s v="Investments"/>
    <s v="Investments Long"/>
    <s v="Avaliable for Trading"/>
    <s v="United States Dollar"/>
    <m/>
    <s v="COGARD 5.625 01/14/30"/>
    <s v="XS2100726160"/>
    <n v="800000"/>
    <n v="95.828000000000003"/>
    <n v="765944.93"/>
    <n v="5950303.9400000004"/>
    <n v="-8814.6299999999992"/>
    <n v="102690.14"/>
    <n v="5941489.3099999996"/>
    <n v="1.2999999999999999E-3"/>
    <m/>
    <s v="Investments"/>
    <s v="BBG00R9SNB81"/>
    <s v="BOND"/>
    <s v="Corp"/>
    <s v="#N/A Field Not Applicable"/>
    <n v="0.1"/>
    <n v="1.3207999999999999E-2"/>
    <s v="High"/>
    <n v="0.5"/>
    <n v="3.6594000000000002E-2"/>
    <s v="High"/>
    <n v="779692.9115067079"/>
    <s v=""/>
    <s v=""/>
    <s v=""/>
    <s v=""/>
    <s v="BBB-"/>
    <n v="0"/>
    <n v="0"/>
    <n v="12"/>
    <n v="12"/>
    <s v="CN"/>
    <s v="Financial"/>
    <x v="16"/>
    <s v="Real Estate Oper/Develop"/>
    <s v="N"/>
    <s v=" "/>
    <s v="ACTV"/>
    <x v="2"/>
    <x v="1"/>
    <s v="Investment Grade"/>
    <s v="China"/>
    <s v="High"/>
    <s v="High"/>
    <s v="Real Estate"/>
    <s v="FINANCIAL"/>
    <s v="#N/A Field Not Applicable"/>
    <n v="1.6998179982784214E-2"/>
    <s v="1/14/2030"/>
    <n v="9.7150684931506852"/>
    <s v="7 - 10 yrs"/>
    <n v="1.3761540232637629E-2"/>
    <n v="7.1853801715712899"/>
    <n v="1.0178198783424807E-2"/>
    <n v="6.2233125710693926"/>
    <n v="8.8154155976800912E-3"/>
    <s v="XS2100726160"/>
    <s v="-"/>
    <n v="-8.65"/>
    <n v="779692.9115067079"/>
    <n v="1.5294837207367395E-3"/>
  </r>
  <r>
    <s v="Investments"/>
    <s v="Investments Long"/>
    <s v="Avaliable for Trading"/>
    <s v="United States Dollar"/>
    <m/>
    <s v="COGARD 7.25 04/04/21 REGS"/>
    <s v="USG24524AH67"/>
    <n v="2950000"/>
    <n v="100.876"/>
    <n v="2880125"/>
    <n v="22328745.09"/>
    <n v="734625.58"/>
    <n v="119713.68"/>
    <n v="23063370.670000002"/>
    <n v="5.1000000000000004E-3"/>
    <m/>
    <s v="Investments"/>
    <s v="BBG005BTJ9P5"/>
    <s v="BOND"/>
    <s v="Corp"/>
    <s v="#N/A Field Not Applicable"/>
    <n v="0.3"/>
    <n v="2.7039999999999998E-3"/>
    <s v="High"/>
    <n v="0.7"/>
    <n v="7.0210000000000003E-3"/>
    <s v="High"/>
    <n v="2990593.9563983493"/>
    <s v=""/>
    <s v=""/>
    <s v="BB"/>
    <s v="Ba2"/>
    <s v=""/>
    <n v="10"/>
    <n v="10"/>
    <n v="0"/>
    <n v="10"/>
    <s v="CN"/>
    <s v="Financial"/>
    <x v="16"/>
    <s v="Real Estate Oper/Develop"/>
    <s v="N"/>
    <s v=" "/>
    <s v="ACTV"/>
    <x v="2"/>
    <x v="1"/>
    <s v="Non-Investment Grade"/>
    <s v="China"/>
    <s v="High"/>
    <s v="High"/>
    <s v="Real Estate"/>
    <s v="FINANCIAL"/>
    <s v="#N/A Field Not Applicable"/>
    <n v="5.4331918776469597E-2"/>
    <s v="4/4/2021"/>
    <n v="0.92876712328767119"/>
    <s v="0 - 1 yr"/>
    <n v="5.0461699904721076E-3"/>
    <n v="7.5270296422138117E-2"/>
    <n v="4.0895796314883981E-4"/>
    <n v="6.196509094870958"/>
    <n v="3.3666822884018406E-2"/>
    <s v="USG24524AH67"/>
    <s v="-"/>
    <n v="-0.11"/>
    <n v="2990593.9563983493"/>
    <n v="5.8664952626103252E-3"/>
  </r>
  <r>
    <s v="Investments"/>
    <s v="Investments Long"/>
    <s v="Avaliable for Trading"/>
    <s v="United States Dollar"/>
    <m/>
    <s v="COGO 4.875 06/01/21"/>
    <s v="XS1823212904"/>
    <n v="7100000"/>
    <n v="102.762"/>
    <n v="7072830"/>
    <n v="55498498.829999998"/>
    <n v="1047750.88"/>
    <n v="1110272.67"/>
    <n v="56546249.710000001"/>
    <n v="1.24E-2"/>
    <m/>
    <s v="Investments"/>
    <s v="BBG00L07ZBX8"/>
    <s v="BOND"/>
    <s v="Corp"/>
    <s v="#N/A Field Not Applicable"/>
    <n v="0.5"/>
    <n v="2.4849999999999998E-3"/>
    <s v="High"/>
    <n v="2"/>
    <n v="6.4289999999999998E-3"/>
    <s v="High"/>
    <n v="7437631.8859649133"/>
    <s v=""/>
    <s v=""/>
    <s v="BBB-"/>
    <s v="Baa2"/>
    <s v="BBB"/>
    <n v="12"/>
    <n v="13"/>
    <n v="13"/>
    <n v="13"/>
    <s v="CN"/>
    <s v="Financial"/>
    <x v="16"/>
    <s v="Real Estate Oper/Develop"/>
    <s v="N"/>
    <s v=" "/>
    <s v="ACTV"/>
    <x v="2"/>
    <x v="1"/>
    <s v="Investment Grade"/>
    <s v="China"/>
    <s v="High"/>
    <s v="High"/>
    <s v="#N/A Field Not Applicable"/>
    <s v="SPECIAL PURPOSE"/>
    <s v="#N/A Field Not Applicable"/>
    <n v="0.1756611103452686"/>
    <s v="6/1/2021"/>
    <n v="1.0876712328767124"/>
    <s v="1 - 2 yrs"/>
    <n v="1.4697041265979273E-2"/>
    <n v="1.0202175835157388"/>
    <n v="1.3785581039549346E-2"/>
    <n v="2.3031245273285865"/>
    <n v="3.1120723979535497E-2"/>
    <s v="XS1823212904"/>
    <s v="-"/>
    <n v="-0.75"/>
    <n v="7437631.8859649133"/>
    <n v="1.4590022203014424E-2"/>
  </r>
  <r>
    <s v="Investments"/>
    <s v="Investments Long"/>
    <s v="Avaliable for Trading"/>
    <s v="United States Dollar"/>
    <m/>
    <s v="DALWAN 6.875 07/23/23"/>
    <s v="XS2100658066"/>
    <n v="5500000"/>
    <n v="88.742999999999995"/>
    <n v="5202160"/>
    <n v="40406200.020000003"/>
    <n v="-2578520.1"/>
    <n v="789618.91"/>
    <n v="37827679.920000002"/>
    <n v="8.3000000000000001E-3"/>
    <m/>
    <s v="Investments"/>
    <s v="BBG00RH7GJ34"/>
    <s v="BOND"/>
    <s v="Corp"/>
    <s v="#N/A Field Not Applicable"/>
    <n v="0.4"/>
    <n v="2.7556000000000001E-2"/>
    <s v="High"/>
    <n v="2"/>
    <n v="7.2902999999999996E-2"/>
    <s v="High"/>
    <n v="4981591.6963364296"/>
    <s v=""/>
    <s v=""/>
    <s v=""/>
    <s v="Ba3"/>
    <s v="BB+"/>
    <n v="0"/>
    <n v="9"/>
    <n v="11"/>
    <n v="9"/>
    <s v="CN"/>
    <s v="Financial"/>
    <x v="16"/>
    <s v="Real Estate Oper/Develop"/>
    <s v="N"/>
    <s v=" "/>
    <s v="ACTV"/>
    <x v="2"/>
    <x v="1"/>
    <s v="Non-Investment Grade"/>
    <s v="China"/>
    <s v="High"/>
    <s v="High"/>
    <s v="#N/A Field Not Applicable"/>
    <s v="SPECIAL PURPOSE"/>
    <s v="#N/A Field Not Applicable"/>
    <n v="8.1453214790136105E-2"/>
    <s v="7/23/2023"/>
    <n v="3.2301369863013698"/>
    <s v="3 - 5 yrs"/>
    <n v="2.923389352741871E-2"/>
    <n v="2.7008795346863952"/>
    <n v="2.4443924540121533E-2"/>
    <n v="11.308296212330315"/>
    <n v="0.10234412003260264"/>
    <s v="XS2100658066"/>
    <s v="-"/>
    <n v="-6.7"/>
    <n v="4981591.6963364296"/>
    <n v="9.7721337342674269E-3"/>
  </r>
  <r>
    <s v="Investments"/>
    <s v="Investments Long"/>
    <s v="Avaliable for Trading"/>
    <s v="United States Dollar"/>
    <m/>
    <s v="DALWAN 6.95 12/05/22"/>
    <s v="XS2078814147"/>
    <n v="3800000"/>
    <n v="91.762"/>
    <n v="3734250"/>
    <n v="29169816"/>
    <n v="-2145209.61"/>
    <n v="824416.76"/>
    <n v="27024606.390000001"/>
    <n v="5.8999999999999999E-3"/>
    <m/>
    <s v="Investments"/>
    <s v="BBG00QYPDPC6"/>
    <s v="BOND"/>
    <s v="Corp"/>
    <s v="#N/A Field Not Applicable"/>
    <n v="0.4"/>
    <n v="2.5128999999999999E-2"/>
    <s v="High"/>
    <n v="1.9"/>
    <n v="6.6829E-2"/>
    <s v="High"/>
    <n v="3592495.2463880293"/>
    <s v=""/>
    <s v=""/>
    <s v=""/>
    <s v="Ba3"/>
    <s v="BB+"/>
    <n v="0"/>
    <n v="9"/>
    <n v="11"/>
    <n v="9"/>
    <s v="CN"/>
    <s v="Financial"/>
    <x v="16"/>
    <s v="Real Estate Oper/Develop"/>
    <s v="N"/>
    <s v=" "/>
    <s v="ACTV"/>
    <x v="2"/>
    <x v="1"/>
    <s v="Non-Investment Grade"/>
    <s v="China"/>
    <s v="High"/>
    <s v="High"/>
    <s v="#N/A Field Not Applicable"/>
    <s v="SPECIAL PURPOSE"/>
    <s v="#N/A Field Not Applicable"/>
    <n v="5.8740319314364194E-2"/>
    <s v="12/5/2022"/>
    <n v="2.6"/>
    <s v="2 - 3 yrs"/>
    <n v="1.6969425579705214E-2"/>
    <n v="2.2035438187060761"/>
    <n v="1.438187417044315E-2"/>
    <n v="10.770577653310582"/>
    <n v="7.0296352283957655E-2"/>
    <s v="XS2078814147"/>
    <s v="-"/>
    <n v="-5.32"/>
    <n v="3592495.2463880293"/>
    <n v="7.0472142494620339E-3"/>
  </r>
  <r>
    <s v="Investments"/>
    <s v="Investments Long"/>
    <s v="Avaliable for Trading"/>
    <s v="United States Dollar"/>
    <m/>
    <s v="DBSSP V3.3 PERP GMTN"/>
    <s v="XS2122408854"/>
    <n v="7500000"/>
    <n v="93.070999999999998"/>
    <n v="7248992"/>
    <n v="56346568.990000002"/>
    <n v="-2247654.17"/>
    <n v="335680.54"/>
    <n v="54098914.82"/>
    <n v="1.1900000000000001E-2"/>
    <m/>
    <s v="Investments"/>
    <s v="BBG00RTNXBH9"/>
    <s v="BOND"/>
    <s v="Corp"/>
    <s v="#N/A Field Not Applicable"/>
    <n v="0.3"/>
    <n v="9.8169999999999993E-3"/>
    <s v="High"/>
    <n v="1.4"/>
    <n v="2.579E-2"/>
    <s v="High"/>
    <n v="7022006.6253869971"/>
    <s v=""/>
    <s v=""/>
    <s v=""/>
    <s v="Baa1"/>
    <s v="BBB+ *-"/>
    <n v="0"/>
    <n v="14"/>
    <n v="14"/>
    <n v="14"/>
    <s v="SG"/>
    <s v="Financial"/>
    <x v="5"/>
    <s v="Commer Banks Non-US"/>
    <s v="N"/>
    <s v=" "/>
    <s v="ACTV"/>
    <x v="2"/>
    <x v="1"/>
    <s v="Investment Grade"/>
    <s v="Singapore"/>
    <s v="High"/>
    <s v="High"/>
    <s v="Financials"/>
    <s v="BANK"/>
    <s v="#N/A Field Not Applicable"/>
    <n v="0.17860222379000712"/>
    <s v="8/27/2168"/>
    <n v="148.42465753424656"/>
    <s v="10 yrs or Above"/>
    <n v="1.8934981357776195"/>
    <n v="4.3339839239349303"/>
    <n v="5.5289940477494262E-2"/>
    <n v="2.5730306148704352"/>
    <n v="3.2824927835402078E-2"/>
    <s v="XS2122408854"/>
    <s v="-"/>
    <n v="-5.54"/>
    <n v="7022006.6253869971"/>
    <n v="1.3774711379228104E-2"/>
  </r>
  <r>
    <s v="Investments"/>
    <s v="Investments Long"/>
    <s v="Avaliable for Trading"/>
    <s v="United States Dollar"/>
    <m/>
    <s v="F 8.5 04/21/23"/>
    <s v="US345370CV02"/>
    <n v="15000000"/>
    <n v="99.275000000000006"/>
    <n v="15000000"/>
    <n v="116257500"/>
    <n v="-847334.25"/>
    <n v="219589"/>
    <n v="115410165.75"/>
    <n v="2.5399999999999999E-2"/>
    <m/>
    <s v="Investments"/>
    <s v="BBG00T8645P1"/>
    <s v="BOND"/>
    <s v="Corp"/>
    <s v="#N/A Field Not Applicable"/>
    <n v="0.3"/>
    <n v="1.9984999999999999E-2"/>
    <s v="High"/>
    <n v="1.7"/>
    <n v="5.5153000000000001E-2"/>
    <s v="High"/>
    <n v="14916119.03379773"/>
    <s v=""/>
    <s v=""/>
    <s v="BB+ *-"/>
    <s v="Ba2 *-"/>
    <s v="BBB-"/>
    <n v="11"/>
    <n v="10"/>
    <n v="12"/>
    <n v="11"/>
    <s v="US"/>
    <s v="Consumer, Cyclical"/>
    <x v="20"/>
    <s v="Auto-Cars/Light Trucks"/>
    <s v="N"/>
    <s v=" "/>
    <s v="ACTV"/>
    <x v="2"/>
    <x v="2"/>
    <s v="Non-Investment Grade"/>
    <s v="United States of America"/>
    <s v="High"/>
    <s v="High"/>
    <s v="Consumer Discretionary"/>
    <s v="INDUSTRIAL"/>
    <s v="#N/A Field Not Applicable"/>
    <n v="0.29808911459799387"/>
    <s v="4/21/2023"/>
    <n v="2.9753424657534246"/>
    <s v="2 - 3 yrs"/>
    <n v="8.0628836476568211E-2"/>
    <n v="2.5424668784829554"/>
    <n v="6.8898336427428139E-2"/>
    <n v="9.4297699739669323"/>
    <n v="0.25553743476386825"/>
    <s v="US345370CV02"/>
    <s v="-"/>
    <n v="-5.37"/>
    <n v="14916119.03379773"/>
    <n v="2.9260188084406842E-2"/>
  </r>
  <r>
    <s v="Investments"/>
    <s v="Investments Long"/>
    <s v="Avaliable for Trading"/>
    <s v="United States Dollar"/>
    <m/>
    <s v="F 9 04/22/25"/>
    <s v="US345370CW84"/>
    <n v="3000000"/>
    <n v="97.423000000000002"/>
    <n v="3000000"/>
    <n v="23251500"/>
    <n v="-600067.96"/>
    <n v="46501.2"/>
    <n v="22651432.039999999"/>
    <n v="5.0000000000000001E-3"/>
    <m/>
    <s v="Investments"/>
    <s v="BBG00T8646V2"/>
    <s v="BOND"/>
    <s v="Corp"/>
    <s v="#N/A Field Not Applicable"/>
    <n v="0.3"/>
    <n v="2.5694000000000002E-2"/>
    <s v="High"/>
    <n v="1.1000000000000001"/>
    <n v="7.1544999999999997E-2"/>
    <s v="High"/>
    <n v="2928009.9638802889"/>
    <s v=""/>
    <s v=""/>
    <s v="BB+ *-"/>
    <s v="Ba2 *-"/>
    <s v="BBB-"/>
    <n v="11"/>
    <n v="10"/>
    <n v="12"/>
    <n v="11"/>
    <s v="US"/>
    <s v="Consumer, Cyclical"/>
    <x v="20"/>
    <s v="Auto-Cars/Light Trucks"/>
    <s v="N"/>
    <s v=" "/>
    <s v="ACTV"/>
    <x v="2"/>
    <x v="2"/>
    <s v="Non-Investment Grade"/>
    <s v="United States of America"/>
    <s v="High"/>
    <s v="High"/>
    <s v="Consumer Discretionary"/>
    <s v="INDUSTRIAL"/>
    <s v="#N/A Field Not Applicable"/>
    <n v="5.851440952499274E-2"/>
    <s v="4/22/2025"/>
    <n v="4.9808219178082194"/>
    <s v="3 - 5 yrs"/>
    <n v="2.649544122451726E-2"/>
    <n v="3.8684542574510741"/>
    <n v="2.0578210604472166E-2"/>
    <n v="10.272294733799924"/>
    <n v="5.4643387346817729E-2"/>
    <s v="US345370CW84"/>
    <s v="-"/>
    <n v="-8.4600000000000009"/>
    <n v="2928009.9638802889"/>
    <n v="5.7437274442520593E-3"/>
  </r>
  <r>
    <s v="Investments"/>
    <s v="Investments Long"/>
    <s v="Avaliable for Trading"/>
    <s v="United States Dollar"/>
    <m/>
    <s v="FTHDGR 11.75 04/17/22"/>
    <s v="XS1982124239"/>
    <n v="500000"/>
    <n v="99.564999999999998"/>
    <n v="510000"/>
    <n v="3980550"/>
    <n v="-122306.69"/>
    <n v="16442.259999999998"/>
    <n v="3858243.31"/>
    <n v="8.0000000000000004E-4"/>
    <m/>
    <s v="Investments"/>
    <s v="BBG00NV886P8"/>
    <s v="BOND"/>
    <s v="Corp"/>
    <s v="#N/A Field Not Applicable"/>
    <n v="0.2"/>
    <n v="1.8391000000000001E-2"/>
    <s v="High"/>
    <n v="1.7"/>
    <n v="4.9579999999999999E-2"/>
    <s v="High"/>
    <n v="499830.43988648092"/>
    <s v=""/>
    <s v=""/>
    <s v="B"/>
    <s v="B3"/>
    <s v=""/>
    <n v="7"/>
    <n v="6"/>
    <n v="0"/>
    <n v="6"/>
    <s v="CN"/>
    <s v="Financial"/>
    <x v="16"/>
    <s v="Real Estate Oper/Develop"/>
    <s v="N"/>
    <s v=" "/>
    <s v="ACTV"/>
    <x v="2"/>
    <x v="1"/>
    <s v="Non-Investment Grade"/>
    <s v="China"/>
    <s v="High"/>
    <s v="High"/>
    <s v="Real Estate"/>
    <s v="FINANCIAL"/>
    <s v="#N/A Field Not Applicable"/>
    <n v="5.4484321023556669E-3"/>
    <s v="4/17/2022"/>
    <n v="1.9643835616438357"/>
    <s v="1 - 2 yrs"/>
    <n v="1.7838017431000062E-3"/>
    <n v="1.6813602680107747"/>
    <n v="1.5267962099758722E-3"/>
    <n v="12.142434521643487"/>
    <n v="1.1026205008079009E-2"/>
    <s v="XS1982124239"/>
    <s v="-"/>
    <n v="-4.55"/>
    <n v="499830.43988648092"/>
    <n v="9.8049181883382952E-4"/>
  </r>
  <r>
    <s v="Investments"/>
    <s v="Investments Long"/>
    <s v="Avaliable for Trading"/>
    <s v="United States Dollar"/>
    <m/>
    <s v="FTHDGR 12.25 10/18/22"/>
    <s v="XS2030329358"/>
    <n v="2000000"/>
    <n v="98.938000000000002"/>
    <n v="2035000"/>
    <n v="15927741.5"/>
    <n v="-591955.75"/>
    <n v="63293.3"/>
    <n v="15335785.75"/>
    <n v="3.3999999999999998E-3"/>
    <m/>
    <s v="Investments"/>
    <s v="BBG00PQ3QH67"/>
    <s v="BOND"/>
    <s v="Corp"/>
    <s v="#N/A Field Not Applicable"/>
    <n v="0.3"/>
    <n v="2.1649999999999999E-2"/>
    <s v="High"/>
    <n v="1.9"/>
    <n v="5.7881000000000002E-2"/>
    <s v="High"/>
    <n v="1986465.3057275543"/>
    <s v=""/>
    <s v=""/>
    <s v=""/>
    <s v="B3"/>
    <s v="B+"/>
    <n v="0"/>
    <n v="6"/>
    <n v="8"/>
    <n v="6"/>
    <s v="CN"/>
    <s v="Financial"/>
    <x v="16"/>
    <s v="Real Estate Oper/Develop"/>
    <s v="N"/>
    <s v=" "/>
    <s v="ACTV"/>
    <x v="2"/>
    <x v="1"/>
    <s v="Non-Investment Grade"/>
    <s v="China"/>
    <s v="High"/>
    <s v="High"/>
    <s v="Real Estate"/>
    <s v="FINANCIAL"/>
    <s v="#N/A Field Not Applicable"/>
    <n v="2.1653585852834147E-2"/>
    <s v="10/18/2022"/>
    <n v="2.4684931506849317"/>
    <s v="2 - 3 yrs"/>
    <n v="8.9086213942482055E-3"/>
    <n v="2.0406401732970423"/>
    <n v="7.3645295312049757E-3"/>
    <n v="12.93458167448888"/>
    <n v="4.6680012459840041E-2"/>
    <s v="XS2030329358"/>
    <s v="-"/>
    <n v="-5.78"/>
    <n v="1986465.3057275543"/>
    <n v="3.8967474271984393E-3"/>
  </r>
  <r>
    <s v="Investments"/>
    <s v="Investments Long"/>
    <s v="Avaliable for Trading"/>
    <s v="United States Dollar"/>
    <m/>
    <s v="FTHDGR 15 12/18/21"/>
    <s v="XS1924249680"/>
    <n v="1100000"/>
    <n v="104.663"/>
    <n v="1193500"/>
    <n v="9341405.1500000004"/>
    <n v="-418654.14"/>
    <n v="468887.1"/>
    <n v="8922751.0099999998"/>
    <n v="2E-3"/>
    <m/>
    <s v="Investments"/>
    <s v="BBG00MSJ57C5"/>
    <s v="BOND"/>
    <s v="Corp"/>
    <s v="#N/A Field Not Applicable"/>
    <n v="0.3"/>
    <n v="1.5207E-2"/>
    <s v="High"/>
    <n v="1.8"/>
    <n v="4.0150999999999999E-2"/>
    <s v="High"/>
    <n v="1211511.6240970071"/>
    <s v=""/>
    <s v=""/>
    <s v=""/>
    <s v="B3"/>
    <s v=""/>
    <n v="0"/>
    <n v="6"/>
    <n v="0"/>
    <n v="6"/>
    <s v="CN"/>
    <s v="Financial"/>
    <x v="16"/>
    <s v="Real Estate Oper/Develop"/>
    <s v="N"/>
    <s v=" "/>
    <s v="ACTV"/>
    <x v="2"/>
    <x v="1"/>
    <s v="Non-Investment Grade"/>
    <s v="China"/>
    <s v="High"/>
    <s v="High"/>
    <s v="Real Estate"/>
    <s v="FINANCIAL"/>
    <s v="#N/A Field Not Applicable"/>
    <n v="1.3206156124877739E-2"/>
    <s v="12/18/2021"/>
    <n v="1.6356164383561644"/>
    <s v="1 - 2 yrs"/>
    <n v="3.6000343408913293E-3"/>
    <n v="1.3409704834510825"/>
    <n v="2.9515109272179626E-3"/>
    <n v="11.787463146614044"/>
    <n v="2.5944513105071284E-2"/>
    <s v="XS1924249680"/>
    <s v="-"/>
    <n v="-3.39"/>
    <n v="1211511.6240970071"/>
    <n v="2.3765604114046879E-3"/>
  </r>
  <r>
    <s v="Investments"/>
    <s v="Investments Long"/>
    <s v="Avaliable for Trading"/>
    <s v="United States Dollar"/>
    <m/>
    <s v="FTHDGR 8.375 03/08/21"/>
    <s v="XS1784286327"/>
    <n v="3000000"/>
    <n v="98.308000000000007"/>
    <n v="3007750"/>
    <n v="23498659.75"/>
    <n v="-641459.9"/>
    <n v="281267.67"/>
    <n v="22857199.850000001"/>
    <n v="5.0000000000000001E-3"/>
    <m/>
    <s v="Investments"/>
    <s v="BBG00K7D75S0"/>
    <s v="BOND"/>
    <s v="Corp"/>
    <s v="#N/A Field Not Applicable"/>
    <n v="0.3"/>
    <n v="9.6200000000000001E-3"/>
    <s v="High"/>
    <n v="0.9"/>
    <n v="2.5468999999999999E-2"/>
    <s v="High"/>
    <n v="2984838.4313725494"/>
    <s v=""/>
    <s v=""/>
    <s v="B"/>
    <s v="B3"/>
    <s v=""/>
    <n v="7"/>
    <n v="6"/>
    <n v="0"/>
    <n v="6"/>
    <s v="CN"/>
    <s v="Financial"/>
    <x v="16"/>
    <s v="Real Estate Oper/Develop"/>
    <s v="N"/>
    <s v=" "/>
    <s v="ACTV"/>
    <x v="2"/>
    <x v="1"/>
    <s v="Non-Investment Grade"/>
    <s v="China"/>
    <s v="High"/>
    <s v="High"/>
    <s v="Real Estate"/>
    <s v="FINANCIAL"/>
    <s v="#N/A Field Not Applicable"/>
    <n v="3.2536412815371216E-2"/>
    <s v="3/8/2021"/>
    <n v="0.85479452054794525"/>
    <s v="0 - 1 yr"/>
    <n v="4.6353245654775438E-3"/>
    <n v="0.77454707469489936"/>
    <n v="4.2001638945352356E-3"/>
    <n v="10.653261682667384"/>
    <n v="5.7769819989573708E-2"/>
    <s v="XS1784286327"/>
    <s v="-"/>
    <n v="-1.91"/>
    <n v="2984838.4313725494"/>
    <n v="5.8552049434329421E-3"/>
  </r>
  <r>
    <s v="Investments"/>
    <s v="Investments Long"/>
    <s v="Avaliable for Trading"/>
    <s v="United States Dollar"/>
    <m/>
    <s v="GEMDAL 5.6 06/14/22"/>
    <s v="XS2009869897"/>
    <n v="800000"/>
    <n v="98.551000000000002"/>
    <n v="736000"/>
    <n v="5712096"/>
    <n v="398223.68"/>
    <n v="131167.82999999999"/>
    <n v="6110319.6799999997"/>
    <n v="1.2999999999999999E-3"/>
    <m/>
    <s v="Investments"/>
    <s v="BBG00PCCVDV7"/>
    <s v="BOND"/>
    <s v="Corp"/>
    <s v="#N/A Field Not Applicable"/>
    <n v="0.3"/>
    <n v="7.8189999999999996E-3"/>
    <s v="High"/>
    <n v="0.7"/>
    <n v="2.1146999999999999E-2"/>
    <s v="High"/>
    <n v="805145.44762641902"/>
    <s v=""/>
    <s v=""/>
    <s v=""/>
    <s v="Ba3"/>
    <s v=""/>
    <n v="0"/>
    <n v="9"/>
    <n v="0"/>
    <n v="9"/>
    <s v="CN"/>
    <s v="Financial"/>
    <x v="16"/>
    <s v="Real Estate Oper/Develop"/>
    <s v="N"/>
    <s v=" "/>
    <s v="ACTV"/>
    <x v="2"/>
    <x v="1"/>
    <s v="Non-Investment Grade"/>
    <s v="China"/>
    <s v="High"/>
    <s v="High"/>
    <s v="#N/A Field Not Applicable"/>
    <s v="SPECIAL PURPOSE"/>
    <s v="#N/A Field Not Applicable"/>
    <n v="1.3164805363523706E-2"/>
    <s v="6/14/2022"/>
    <n v="2.1232876712328768"/>
    <s v="2 - 3 yrs"/>
    <n v="3.1058521025055926E-3"/>
    <n v="1.9088836200342487"/>
    <n v="2.7922312577077137E-3"/>
    <n v="6.2987977867418827"/>
    <n v="9.2136052096278651E-3"/>
    <s v="XS2009869897"/>
    <s v="-"/>
    <n v="-2.92"/>
    <n v="805145.44762641902"/>
    <n v="1.5794126595176932E-3"/>
  </r>
  <r>
    <s v="Investments"/>
    <s v="Investments Long"/>
    <s v="Avaliable for Trading"/>
    <s v="United States Dollar"/>
    <m/>
    <s v="GEMDAL 6 09/06/21"/>
    <s v="XS1820761556"/>
    <n v="2200000"/>
    <n v="100.413"/>
    <n v="2139600"/>
    <n v="16587736.800000001"/>
    <n v="533121.52"/>
    <n v="153453.96"/>
    <n v="17120858.32"/>
    <n v="3.8E-3"/>
    <m/>
    <s v="Investments"/>
    <s v="BBG00LVCGFZ3"/>
    <s v="BOND"/>
    <s v="Corp"/>
    <s v="#N/A Field Not Applicable"/>
    <n v="0.3"/>
    <n v="5.1159999999999999E-3"/>
    <s v="High"/>
    <n v="1.6"/>
    <n v="1.2997E-2"/>
    <s v="High"/>
    <n v="2228368.457172343"/>
    <s v=""/>
    <s v=""/>
    <s v="BB-"/>
    <s v="Ba3"/>
    <s v=""/>
    <n v="9"/>
    <n v="9"/>
    <n v="0"/>
    <n v="9"/>
    <s v="CN"/>
    <s v="Financial"/>
    <x v="16"/>
    <s v="Real Estate Oper/Develop"/>
    <s v="N"/>
    <s v=" "/>
    <s v="ACTV"/>
    <x v="2"/>
    <x v="1"/>
    <s v="Non-Investment Grade"/>
    <s v="China"/>
    <s v="High"/>
    <s v="High"/>
    <s v="#N/A Field Not Applicable"/>
    <s v="SPECIAL PURPOSE"/>
    <s v="#N/A Field Not Applicable"/>
    <n v="3.6435698796251768E-2"/>
    <s v="9/6/2021"/>
    <n v="1.3534246575342466"/>
    <s v="1 - 2 yrs"/>
    <n v="5.4792192405931119E-3"/>
    <n v="1.2524291725311498"/>
    <n v="5.0703480104426464E-3"/>
    <n v="5.588845458641333"/>
    <n v="2.2625943305539464E-2"/>
    <s v="XS1820761556"/>
    <s v="-"/>
    <n v="-1.78"/>
    <n v="2228368.457172343"/>
    <n v="4.3712764714791442E-3"/>
  </r>
  <r>
    <s v="Investments"/>
    <s v="Investments Long"/>
    <s v="Avaliable for Trading"/>
    <s v="United States Dollar"/>
    <m/>
    <s v="GRENKO 4.875 08/16/23 REGS"/>
    <s v="USV3854PAA94"/>
    <n v="1000000"/>
    <n v="90.111999999999995"/>
    <n v="800200"/>
    <n v="6203390.46"/>
    <n v="780469.76000000001"/>
    <n v="77663.460000000006"/>
    <n v="6983860.2199999997"/>
    <n v="1.5E-3"/>
    <m/>
    <s v="Investments"/>
    <s v="BBG00DKQ0MQ4"/>
    <s v="BOND"/>
    <s v="Corp"/>
    <s v="#N/A Field Not Applicable"/>
    <n v="0.3"/>
    <n v="2.2818999999999999E-2"/>
    <s v="High"/>
    <n v="1.7"/>
    <n v="6.1168E-2"/>
    <s v="High"/>
    <n v="910929.26728586166"/>
    <s v=""/>
    <s v=""/>
    <s v="B+"/>
    <s v=""/>
    <s v="BB-"/>
    <n v="8"/>
    <n v="0"/>
    <n v="9"/>
    <n v="8"/>
    <s v="IN"/>
    <s v="Utilities"/>
    <x v="8"/>
    <s v="Electric-Generation"/>
    <s v="N"/>
    <s v=" "/>
    <s v="ACTV"/>
    <x v="2"/>
    <x v="2"/>
    <s v="Non-Investment Grade"/>
    <s v="India"/>
    <s v="High"/>
    <s v="High"/>
    <s v="#N/A Field Not Applicable"/>
    <s v="SPECIAL PURPOSE"/>
    <s v="#N/A Field Not Applicable"/>
    <n v="1.3239519823249975E-2"/>
    <s v="8/16/2023"/>
    <n v="3.2958904109589042"/>
    <s v="3 - 5 yrs"/>
    <n v="5.4545008038937399E-3"/>
    <n v="2.8965842152635051"/>
    <n v="4.7936730172117694E-3"/>
    <n v="8.4015750489901144"/>
    <n v="1.3904102425953377E-2"/>
    <s v="USV3854PAA94"/>
    <s v="-"/>
    <n v="-3.34"/>
    <n v="910929.26728586166"/>
    <n v="1.7869233700791251E-3"/>
  </r>
  <r>
    <s v="Investments"/>
    <s v="Investments Long"/>
    <s v="Avaliable for Trading"/>
    <s v="United States Dollar"/>
    <m/>
    <s v="GRNCH V8.125 PERP"/>
    <s v="XS1940394502"/>
    <n v="9600000"/>
    <n v="98.197000000000003"/>
    <n v="9969669.7400000002"/>
    <n v="78100334.280000001"/>
    <n v="-5039880.87"/>
    <n v="1376952.2"/>
    <n v="73060453.409999996"/>
    <n v="1.61E-2"/>
    <m/>
    <s v="Investments"/>
    <s v="BBG00N6M20C8"/>
    <s v="BOND"/>
    <s v="Corp"/>
    <s v="#N/A Field Not Applicable"/>
    <n v="2"/>
    <n v="5.8060000000000004E-3"/>
    <s v="High"/>
    <n v="6"/>
    <n v="1.4616000000000001E-2"/>
    <s v="Medium"/>
    <n v="9602348.5049019605"/>
    <s v=""/>
    <s v=""/>
    <s v=""/>
    <s v="Ba3"/>
    <s v=""/>
    <n v="0"/>
    <n v="9"/>
    <n v="0"/>
    <n v="9"/>
    <s v="CN"/>
    <s v="Financial"/>
    <x v="16"/>
    <s v="Real Estate Oper/Develop"/>
    <s v="N"/>
    <s v=" "/>
    <s v="ACTV"/>
    <x v="2"/>
    <x v="1"/>
    <s v="Non-Investment Grade"/>
    <s v="China"/>
    <s v="High"/>
    <s v="Medium"/>
    <s v="#N/A Field Not Applicable"/>
    <s v="SPECIAL PURPOSE"/>
    <s v="#N/A Field Not Applicable"/>
    <n v="0.15700647562800579"/>
    <s v="8/8/2168"/>
    <n v="148.37260273972603"/>
    <s v="10 yrs or Above"/>
    <n v="2.5883843817687309"/>
    <n v="1.5607803693314508"/>
    <n v="2.7228069446456477E-2"/>
    <n v="10.641134952049887"/>
    <n v="0.18563634394481568"/>
    <s v="XS1940394502"/>
    <s v="-"/>
    <n v="-3.53"/>
    <n v="9602348.5049019605"/>
    <n v="1.8836436117788107E-2"/>
  </r>
  <r>
    <s v="Investments"/>
    <s v="Investments Long"/>
    <s v="Avaliable for Trading"/>
    <s v="United States Dollar"/>
    <m/>
    <s v="GRNKEN 5.25 07/24/24 REGS"/>
    <s v="USN3700LAB10"/>
    <n v="400000"/>
    <n v="89.593999999999994"/>
    <n v="304000"/>
    <n v="2356699.2000000002"/>
    <n v="420786.48"/>
    <n v="43401.120000000003"/>
    <n v="2777485.68"/>
    <n v="5.9999999999999995E-4"/>
    <m/>
    <s v="Investments"/>
    <s v="BBG00H5KNJZ7"/>
    <s v="BOND"/>
    <s v="Corp"/>
    <s v="#N/A Field Not Applicable"/>
    <n v="0.2"/>
    <n v="2.3300999999999999E-2"/>
    <s v="High"/>
    <n v="1.2"/>
    <n v="6.3492999999999994E-2"/>
    <s v="High"/>
    <n v="363891.4860681115"/>
    <s v=""/>
    <s v=""/>
    <s v=""/>
    <s v="Ba1"/>
    <s v="BB"/>
    <n v="0"/>
    <n v="11"/>
    <n v="10"/>
    <n v="10"/>
    <s v="IN"/>
    <s v="Energy"/>
    <x v="18"/>
    <s v="Energy-Alternate Sources"/>
    <s v="N"/>
    <s v=" "/>
    <s v="ACTV"/>
    <x v="2"/>
    <x v="2"/>
    <s v="Non-Investment Grade"/>
    <s v="India"/>
    <s v="High"/>
    <s v="High"/>
    <s v="#N/A Field Not Applicable"/>
    <s v="SPECIAL PURPOSE"/>
    <s v="#N/A Field Not Applicable"/>
    <n v="6.6110354507343721E-3"/>
    <s v="7/24/2024"/>
    <n v="4.2356164383561641"/>
    <s v="3 - 5 yrs"/>
    <n v="2.8001810429685863E-3"/>
    <n v="3.5946985542744865"/>
    <n v="2.3764679577012227E-3"/>
    <n v="8.4232120994536785"/>
    <n v="5.5686153798542972E-3"/>
    <s v="USN3700LAB10"/>
    <s v="-"/>
    <n v="-3.96"/>
    <n v="363891.4860681115"/>
    <n v="7.1382732335009604E-4"/>
  </r>
  <r>
    <s v="Investments"/>
    <s v="Investments Long"/>
    <s v="Avaliable for Trading"/>
    <s v="United States Dollar"/>
    <m/>
    <s v="GRNKEN 5.55 01/29/25 REGS"/>
    <s v="USV3855GAA86"/>
    <n v="500000"/>
    <n v="89.25"/>
    <n v="440000"/>
    <n v="3411320"/>
    <n v="47206.75"/>
    <n v="54364.42"/>
    <n v="3458526.75"/>
    <n v="8.0000000000000004E-4"/>
    <m/>
    <s v="Investments"/>
    <s v="BBG00PSJD0B5"/>
    <s v="BOND"/>
    <s v="Corp"/>
    <s v="#N/A Field Not Applicable"/>
    <n v="0.2"/>
    <n v="2.4313999999999999E-2"/>
    <s v="High"/>
    <n v="0.8"/>
    <n v="6.6295000000000007E-2"/>
    <s v="High"/>
    <n v="453159.33565531479"/>
    <s v=""/>
    <s v=""/>
    <s v=""/>
    <s v="Ba1"/>
    <s v="BB-"/>
    <n v="0"/>
    <n v="11"/>
    <n v="9"/>
    <n v="9"/>
    <s v="IN"/>
    <s v="Energy"/>
    <x v="18"/>
    <s v="Energy-Alternate Sources"/>
    <s v="N"/>
    <s v=" "/>
    <s v="ACTV"/>
    <x v="2"/>
    <x v="2"/>
    <s v="Non-Investment Grade"/>
    <s v="India"/>
    <s v="High"/>
    <s v="High"/>
    <s v="#N/A Field Not Applicable"/>
    <s v="UTILITY - ELEC"/>
    <s v="#N/A Field Not Applicable"/>
    <n v="7.4095363392453649E-3"/>
    <s v="1/29/2025"/>
    <n v="4.7534246575342465"/>
    <s v="3 - 5 yrs"/>
    <n v="3.9134080817627729E-3"/>
    <n v="3.9517978022597298"/>
    <n v="3.253443269021493E-3"/>
    <n v="8.4340679743465259"/>
    <n v="6.943614793731792E-3"/>
    <s v="USV3855GAA86"/>
    <s v="-"/>
    <n v="-4.38"/>
    <n v="453159.33565531479"/>
    <n v="8.8893949984142828E-4"/>
  </r>
  <r>
    <s v="Investments"/>
    <s v="Investments Long"/>
    <s v="Avaliable for Trading"/>
    <s v="United States Dollar"/>
    <m/>
    <s v="GRNKEN 5.95 07/29/26 REGS"/>
    <s v="USV3855GAB69"/>
    <n v="300000"/>
    <n v="88.915999999999997"/>
    <n v="210000"/>
    <n v="1627983"/>
    <n v="439367.35"/>
    <n v="34969.550000000003"/>
    <n v="2067350.35"/>
    <n v="5.0000000000000001E-4"/>
    <m/>
    <s v="Investments"/>
    <s v="BBG00PSJPXV8"/>
    <s v="BOND"/>
    <s v="Corp"/>
    <s v="#N/A Field Not Applicable"/>
    <n v="0.2"/>
    <n v="2.5832999999999998E-2"/>
    <s v="High"/>
    <n v="0.7"/>
    <n v="7.1084999999999995E-2"/>
    <s v="High"/>
    <n v="271197.09752321983"/>
    <s v=""/>
    <s v=""/>
    <s v=""/>
    <s v="Ba1"/>
    <s v="BB-"/>
    <n v="0"/>
    <n v="11"/>
    <n v="9"/>
    <n v="9"/>
    <s v="IN"/>
    <s v="Energy"/>
    <x v="18"/>
    <s v="Energy-Alternate Sources"/>
    <s v="N"/>
    <s v=" "/>
    <s v="ACTV"/>
    <x v="2"/>
    <x v="2"/>
    <s v="Non-Investment Grade"/>
    <s v="India"/>
    <s v="High"/>
    <s v="High"/>
    <s v="#N/A Field Not Applicable"/>
    <s v="UTILITY - ELEC"/>
    <s v="#N/A Field Not Applicable"/>
    <n v="4.4343006776861472E-3"/>
    <s v="7/29/2026"/>
    <n v="6.2493150684931509"/>
    <s v="5 - 7 yrs"/>
    <n v="3.0790380048103809E-3"/>
    <n v="4.9249921607560303"/>
    <n v="2.4265440084488251E-3"/>
    <n v="8.3838163792426226"/>
    <n v="4.1307069613413091E-3"/>
    <s v="USV3855GAB69"/>
    <s v="-"/>
    <n v="-5.33"/>
    <n v="271197.09752321983"/>
    <n v="5.3199348057591015E-4"/>
  </r>
  <r>
    <s v="Investments"/>
    <s v="Investments Long"/>
    <s v="Avaliable for Trading"/>
    <s v="United States Dollar"/>
    <m/>
    <s v="GRWALL 4.375 05/25/23 EMTN"/>
    <s v="XS1819966687"/>
    <n v="8000000"/>
    <n v="106.214"/>
    <n v="7964160"/>
    <n v="62517063.170000002"/>
    <n v="3337316.25"/>
    <n v="1167912.08"/>
    <n v="65854379.420000002"/>
    <n v="1.4500000000000001E-2"/>
    <m/>
    <s v="Investments"/>
    <s v="BBG00KVGG4W4"/>
    <s v="BOND"/>
    <s v="Corp"/>
    <s v="#N/A Field Not Applicable"/>
    <n v="1.8"/>
    <n v="2.8449999999999999E-3"/>
    <s v="High"/>
    <n v="6.7"/>
    <n v="7.1679999999999999E-3"/>
    <s v="Medium"/>
    <n v="8645806.4370485041"/>
    <s v=""/>
    <s v=""/>
    <s v="BBB+"/>
    <s v="Baa1"/>
    <s v="A"/>
    <n v="14"/>
    <n v="14"/>
    <n v="16"/>
    <n v="14"/>
    <s v="CN"/>
    <s v="Financial"/>
    <x v="10"/>
    <s v="Invest Mgmnt/Advis Serv"/>
    <s v="N"/>
    <s v=" "/>
    <s v="ACTV"/>
    <x v="2"/>
    <x v="1"/>
    <s v="Investment Grade"/>
    <s v="China"/>
    <s v="High"/>
    <s v="Medium"/>
    <s v="#N/A Field Not Applicable"/>
    <s v="SPECIAL PURPOSE"/>
    <s v="#N/A Field Not Applicable"/>
    <n v="0.21990299048311127"/>
    <s v="5/25/2023"/>
    <n v="3.0684931506849313"/>
    <s v="3 - 5 yrs"/>
    <n v="4.8197915722325756E-2"/>
    <n v="2.8098370040352889"/>
    <n v="4.4135111425533287E-2"/>
    <n v="2.2717037907502866"/>
    <n v="3.5682461219843434E-2"/>
    <s v="XS1819966687"/>
    <s v="-"/>
    <n v="-1.84"/>
    <n v="8645806.4370485041"/>
    <n v="1.6960036448904963E-2"/>
  </r>
  <r>
    <s v="Investments"/>
    <s v="Investments Long"/>
    <s v="Avaliable for Trading"/>
    <s v="United States Dollar"/>
    <m/>
    <s v="HONGQI 7.125 07/22/22"/>
    <s v="XS2024786035"/>
    <n v="7450000"/>
    <n v="85.477000000000004"/>
    <n v="7161337.5"/>
    <n v="56088377.890000001"/>
    <n v="-6734821.4000000004"/>
    <n v="1119895.83"/>
    <n v="49353556.490000002"/>
    <n v="1.0800000000000001E-2"/>
    <m/>
    <s v="Investments"/>
    <s v="BBG00PQ3PWZ3"/>
    <s v="BOND"/>
    <s v="Corp"/>
    <s v="#N/A Field Not Applicable"/>
    <n v="0.5"/>
    <n v="1.4635E-2"/>
    <s v="High"/>
    <n v="5.5"/>
    <n v="3.5970000000000002E-2"/>
    <s v="Medium"/>
    <n v="6511023.2610939117"/>
    <s v=""/>
    <s v=""/>
    <s v=""/>
    <s v="B2"/>
    <s v="BB-"/>
    <n v="0"/>
    <n v="7"/>
    <n v="9"/>
    <n v="7"/>
    <s v="CN"/>
    <s v="Basic Materials"/>
    <x v="21"/>
    <s v="Diversified Minerals"/>
    <s v="N"/>
    <s v=" "/>
    <s v="ACTV"/>
    <x v="2"/>
    <x v="2"/>
    <s v="Non-Investment Grade"/>
    <s v="China"/>
    <s v="High"/>
    <s v="Medium"/>
    <s v="Materials"/>
    <s v="INDUSTRIAL"/>
    <s v="#N/A Field Not Applicable"/>
    <n v="8.2802772456494783E-2"/>
    <s v="7/22/2022"/>
    <n v="2.2273972602739724"/>
    <s v="2 - 3 yrs"/>
    <n v="2.6347809787526523E-2"/>
    <n v="1.8827229765894709"/>
    <n v="2.2270668889878931E-2"/>
    <n v="15.050116273019581"/>
    <n v="0.17802733617123284"/>
    <s v="XS2024786035"/>
    <s v="-"/>
    <n v="-4.2"/>
    <n v="6511023.2610939117"/>
    <n v="1.2772341438807219E-2"/>
  </r>
  <r>
    <s v="Investments"/>
    <s v="Investments Long"/>
    <s v="Avaliable for Trading"/>
    <s v="United States Dollar"/>
    <m/>
    <s v="HONGSL 9.875 08/27/22"/>
    <s v="XS2125118971"/>
    <n v="3000000"/>
    <n v="94.167000000000002"/>
    <n v="2935830"/>
    <n v="22879216.77"/>
    <n v="-984824.27"/>
    <n v="401799.43"/>
    <n v="21894392.5"/>
    <n v="4.7999999999999996E-3"/>
    <m/>
    <s v="Investments"/>
    <s v="BBG00RYDWX24"/>
    <s v="BOND"/>
    <s v="Corp"/>
    <s v="#N/A Field Not Applicable"/>
    <n v="0.7"/>
    <n v="2.1895000000000001E-2"/>
    <s v="High"/>
    <n v="1.9"/>
    <n v="5.4635999999999997E-2"/>
    <s v="High"/>
    <n v="2876185.749484004"/>
    <s v=""/>
    <s v=""/>
    <s v=""/>
    <s v=""/>
    <s v="B+"/>
    <n v="0"/>
    <n v="0"/>
    <n v="8"/>
    <n v="8"/>
    <s v="CN"/>
    <s v="Financial"/>
    <x v="16"/>
    <s v="Real Estate Oper/Develop"/>
    <s v="N"/>
    <s v=" "/>
    <s v="ACTV"/>
    <x v="2"/>
    <x v="1"/>
    <s v="Non-Investment Grade"/>
    <s v="China"/>
    <s v="High"/>
    <s v="High"/>
    <s v="#N/A Field Not Applicable"/>
    <s v="SPECIAL PURPOSE"/>
    <s v="#N/A Field Not Applicable"/>
    <n v="4.1802716866371985E-2"/>
    <s v="8/27/2022"/>
    <n v="2.3260273972602739"/>
    <s v="2 - 3 yrs"/>
    <n v="1.215428308888692E-2"/>
    <n v="1.9477109093308951"/>
    <n v="1.0177450960037915E-2"/>
    <n v="12.842045640035696"/>
    <n v="6.7104049734429863E-2"/>
    <s v="XS2125118971"/>
    <s v="-"/>
    <n v="-5.61"/>
    <n v="2876185.749484004"/>
    <n v="5.6420665325144946E-3"/>
  </r>
  <r>
    <s v="Investments"/>
    <s v="Investments Long"/>
    <s v="Avaliable for Trading"/>
    <s v="United States Dollar"/>
    <m/>
    <s v="HONHUA 6.375 08/01/22"/>
    <s v="XS2034868047"/>
    <n v="5000000"/>
    <n v="98.308000000000007"/>
    <n v="5022160.71"/>
    <n v="39354455.350000001"/>
    <n v="-1259122.27"/>
    <n v="610731.91"/>
    <n v="38095333.079999998"/>
    <n v="8.3999999999999995E-3"/>
    <m/>
    <s v="Investments"/>
    <s v="BBG00PV1L0V9"/>
    <s v="BOND"/>
    <s v="Corp"/>
    <s v="#N/A Field Not Applicable"/>
    <n v="0.3"/>
    <n v="4.633E-3"/>
    <s v="High"/>
    <n v="2"/>
    <n v="1.1067E-2"/>
    <s v="High"/>
    <n v="4993042.4393704841"/>
    <s v=""/>
    <s v=""/>
    <s v=""/>
    <s v="B1"/>
    <s v="B"/>
    <n v="0"/>
    <n v="8"/>
    <n v="7"/>
    <n v="7"/>
    <s v="CN"/>
    <s v="Energy"/>
    <x v="22"/>
    <s v="Oil-Field Services"/>
    <s v="N"/>
    <s v=" "/>
    <s v="ACTV"/>
    <x v="2"/>
    <x v="2"/>
    <s v="Non-Investment Grade"/>
    <s v="China"/>
    <s v="High"/>
    <s v="High"/>
    <s v="Energy"/>
    <s v="INDUSTRIAL"/>
    <s v="#N/A Field Not Applicable"/>
    <n v="6.3498123166488979E-2"/>
    <s v="8/1/2022"/>
    <n v="2.2547945205479452"/>
    <s v="2 - 3 yrs"/>
    <n v="2.0453602882982553E-2"/>
    <n v="2.007497954693227"/>
    <n v="1.8210336054797892E-2"/>
    <n v="7.3803310341165709"/>
    <n v="6.6948167001970718E-2"/>
    <s v="XS2034868047"/>
    <s v="-"/>
    <n v="-2.41"/>
    <n v="4993042.4393704841"/>
    <n v="9.7945960714292228E-3"/>
  </r>
  <r>
    <s v="Investments"/>
    <s v="Investments Long"/>
    <s v="Avaliable for Trading"/>
    <s v="United States Dollar"/>
    <m/>
    <s v="HPDLF 7.5 06/27/22"/>
    <s v="XS1813551584"/>
    <n v="3000000"/>
    <n v="94.543999999999997"/>
    <n v="2998125"/>
    <n v="23441617.23"/>
    <n v="-1459569.96"/>
    <n v="595796.63"/>
    <n v="21982047.27"/>
    <n v="4.7999999999999996E-3"/>
    <m/>
    <s v="Investments"/>
    <s v="BBG00PGHK257"/>
    <s v="BOND"/>
    <s v="Corp"/>
    <s v="#N/A Field Not Applicable"/>
    <n v="0.3"/>
    <n v="8.2620000000000002E-3"/>
    <s v="High"/>
    <n v="0.8"/>
    <n v="2.1838E-2"/>
    <s v="High"/>
    <n v="2912518.5629514963"/>
    <s v=""/>
    <s v=""/>
    <s v=""/>
    <s v=""/>
    <s v="B+"/>
    <n v="0"/>
    <n v="0"/>
    <n v="8"/>
    <n v="8"/>
    <s v="CN"/>
    <s v="Financial"/>
    <x v="16"/>
    <s v="Real Estate Oper/Develop"/>
    <s v="N"/>
    <s v=" "/>
    <s v="ACTV"/>
    <x v="2"/>
    <x v="1"/>
    <s v="Non-Investment Grade"/>
    <s v="China"/>
    <s v="High"/>
    <s v="High"/>
    <s v="Real Estate"/>
    <s v="FINANCIAL"/>
    <s v="#N/A Field Not Applicable"/>
    <n v="4.233078092294857E-2"/>
    <s v="6/27/2022"/>
    <n v="2.1589041095890411"/>
    <s v="2 - 3 yrs"/>
    <n v="1.1423512112083381E-2"/>
    <n v="1.0156769974187914"/>
    <n v="5.374300058276632E-3"/>
    <n v="10.660874681742905"/>
    <n v="5.6410393824983494E-2"/>
    <s v="XS1813551584"/>
    <s v="-"/>
    <n v="-2.98"/>
    <n v="2912518.5629514963"/>
    <n v="5.7133387550869783E-3"/>
  </r>
  <r>
    <s v="Investments"/>
    <s v="Investments Long"/>
    <s v="Avaliable for Trading"/>
    <s v="United States Dollar"/>
    <m/>
    <s v="HUAFAI 4.4 03/16/21"/>
    <s v="XS2131434099"/>
    <n v="10000000"/>
    <n v="99.948999999999998"/>
    <n v="10002000"/>
    <n v="77790555"/>
    <n v="-328081.02"/>
    <n v="407316.07"/>
    <n v="77462473.980000004"/>
    <n v="1.7000000000000001E-2"/>
    <m/>
    <s v="Investments"/>
    <s v="BBG00SBW5S62"/>
    <s v="BOND"/>
    <s v="Corp"/>
    <s v="#N/A Field Not Applicable"/>
    <n v="13.1"/>
    <n v="7.731E-3"/>
    <s v="Illiquid"/>
    <n v="24.2"/>
    <n v="2.6072000000000001E-2"/>
    <s v="Illiquid"/>
    <n v="10045122.555469556"/>
    <s v=""/>
    <s v=""/>
    <s v=""/>
    <s v=""/>
    <s v=""/>
    <n v="0"/>
    <n v="0"/>
    <n v="0"/>
    <n v="0"/>
    <s v="CN"/>
    <s v="Financial"/>
    <x v="16"/>
    <s v="Real Estate Oper/Develop"/>
    <s v="N"/>
    <s v=" "/>
    <s v="ACTV"/>
    <x v="2"/>
    <x v="1"/>
    <s v="Non-Investment Grade"/>
    <s v="China"/>
    <s v="Illiquid"/>
    <s v="Illiquid"/>
    <s v="#N/A Field Not Applicable"/>
    <s v="FINANCIAL"/>
    <s v="#N/A Field Not Applicable"/>
    <n v="0"/>
    <s v="3/16/2021"/>
    <n v="0.87671232876712324"/>
    <s v="0 - 1 yr"/>
    <n v="1.5999630204676433E-2"/>
    <n v="0.82862353090227747"/>
    <n v="1.5122029927391707E-2"/>
    <n v="4.5851871881347863"/>
    <n v="8.3677732161632837E-2"/>
    <s v="XS2131434099"/>
    <s v="-"/>
    <n v="-0.99"/>
    <n v="10045122.555469556"/>
    <n v="1.970500333484684E-2"/>
  </r>
  <r>
    <s v="Investments"/>
    <s v="Investments Long"/>
    <s v="Avaliable for Trading"/>
    <s v="United States Dollar"/>
    <m/>
    <s v="HYSAN V4.1 PERP"/>
    <s v="XS2123115029"/>
    <n v="1500000"/>
    <n v="93.968999999999994"/>
    <n v="1500000"/>
    <n v="11686650.01"/>
    <n v="-762471.86"/>
    <n v="75467.58"/>
    <n v="10924178.15"/>
    <n v="2.3999999999999998E-3"/>
    <m/>
    <s v="Investments"/>
    <s v="BBG00RYDYKF6"/>
    <s v="BOND"/>
    <s v="Corp"/>
    <s v="#N/A Field Not Applicable"/>
    <n v="0.3"/>
    <n v="7.7279999999999996E-3"/>
    <s v="High"/>
    <n v="0.5"/>
    <n v="2.0773E-2"/>
    <s v="High"/>
    <n v="1418942.9476264191"/>
    <s v=""/>
    <s v=""/>
    <s v=""/>
    <s v="Baa2"/>
    <s v="BBB"/>
    <n v="0"/>
    <n v="13"/>
    <n v="13"/>
    <n v="13"/>
    <s v="HK"/>
    <s v="Financial"/>
    <x v="16"/>
    <s v="Real Estate Oper/Develop"/>
    <s v="N"/>
    <s v=" "/>
    <s v="ACTV"/>
    <x v="2"/>
    <x v="1"/>
    <s v="Investment Grade"/>
    <s v="Hong Kong"/>
    <s v="High"/>
    <s v="High"/>
    <s v="#N/A Field Not Applicable"/>
    <s v="SPECIAL PURPOSE"/>
    <s v="#N/A Field Not Applicable"/>
    <n v="3.3512426739886782E-2"/>
    <s v="9/3/2168"/>
    <n v="148.44383561643835"/>
    <s v="10 yrs or Above"/>
    <n v="0.38267024354489892"/>
    <n v="4.6534749903436898"/>
    <n v="1.1996095361522173E-2"/>
    <n v="3.6214120181139209"/>
    <n v="9.3355619193837176E-3"/>
    <s v="XS2123115029"/>
    <s v="-"/>
    <n v="-6.07"/>
    <n v="1418942.9476264191"/>
    <n v="2.7834678333229154E-3"/>
  </r>
  <r>
    <s v="Investments"/>
    <s v="Investments Long"/>
    <s v="Avaliable for Trading"/>
    <s v="United States Dollar"/>
    <m/>
    <s v="ICBCAS 1.77 05/20/20 FXCD"/>
    <s v="XS2122176113"/>
    <n v="5000000"/>
    <n v="99.988900000000001"/>
    <n v="4997512.25"/>
    <n v="38832669.189999998"/>
    <n v="-85954.66"/>
    <n v="0"/>
    <n v="38746714.530000001"/>
    <n v="8.5000000000000006E-3"/>
    <m/>
    <s v="Investments"/>
    <s v="BBG00RPXTZN6"/>
    <s v="BOND"/>
    <s v="Corp"/>
    <s v="#N/A Field Not Applicable"/>
    <n v="2"/>
    <n v="3.2200000000000002E-4"/>
    <s v="High"/>
    <n v="5.6"/>
    <n v="7.76E-4"/>
    <s v="Medium"/>
    <n v="4998286.1880804952"/>
    <s v=""/>
    <s v=""/>
    <s v=""/>
    <s v=""/>
    <s v=""/>
    <n v="0"/>
    <n v="0"/>
    <n v="0"/>
    <n v="0"/>
    <s v="MO"/>
    <s v="Financial"/>
    <x v="5"/>
    <s v="Commer Banks Non-US"/>
    <s v="N"/>
    <s v=" "/>
    <s v="ACTV"/>
    <x v="2"/>
    <x v="1"/>
    <s v="Non-Investment Grade"/>
    <s v="Macau"/>
    <s v="High"/>
    <s v="Medium"/>
    <s v="#N/A Field Not Applicable"/>
    <s v="BANK"/>
    <s v="#N/A Field Not Applicable"/>
    <n v="0"/>
    <s v="5/20/2020"/>
    <n v="5.4794520547945202E-2"/>
    <s v="0 - 1 yr"/>
    <n v="4.9757189512141496E-4"/>
    <n v="3.6094063859830453E-2"/>
    <n v="3.2775889957198818E-4"/>
    <n v="1.3079095902700426"/>
    <n v="1.1876717725976028E-2"/>
    <s v="XS2122176113"/>
    <s v="-"/>
    <n v="-0.04"/>
    <n v="4998286.1880804952"/>
    <n v="9.8048824651737771E-3"/>
  </r>
  <r>
    <s v="Investments"/>
    <s v="Investments Long"/>
    <s v="Avaliable for Trading"/>
    <s v="United States Dollar"/>
    <m/>
    <s v="JIAPRO 4.85 02/21/22"/>
    <s v="XS1917106061"/>
    <n v="1000000"/>
    <n v="100.997"/>
    <n v="1000000"/>
    <n v="7847200"/>
    <n v="-19730.509999999998"/>
    <n v="72044.570000000007"/>
    <n v="7827469.4900000002"/>
    <n v="1.6999999999999999E-3"/>
    <m/>
    <s v="Investments"/>
    <s v="BBG00NBG3YQ5"/>
    <s v="BOND"/>
    <s v="Corp"/>
    <s v="#N/A Field Not Applicable"/>
    <n v="0.5"/>
    <n v="1.2982E-2"/>
    <s v="High"/>
    <n v="1.8"/>
    <n v="3.2641999999999997E-2"/>
    <s v="High"/>
    <n v="1019029.161506708"/>
    <s v=""/>
    <s v=""/>
    <s v=""/>
    <s v=""/>
    <s v="A-"/>
    <n v="0"/>
    <n v="0"/>
    <n v="15"/>
    <n v="15"/>
    <s v="CN"/>
    <s v="Industrial"/>
    <x v="23"/>
    <s v="Metal Products-Distrib"/>
    <s v="N"/>
    <s v=" "/>
    <s v="ACTV"/>
    <x v="2"/>
    <x v="2"/>
    <s v="Investment Grade"/>
    <s v="China"/>
    <s v="High"/>
    <s v="High"/>
    <s v="#N/A Field Not Applicable"/>
    <s v="INDUSTRIAL"/>
    <s v="Chengtou Bond"/>
    <n v="2.7769973343613759E-2"/>
    <s v="2/21/2022"/>
    <n v="1.8136986301369864"/>
    <s v="1 - 2 yrs"/>
    <n v="3.3577575074835268E-3"/>
    <n v="1.6869731492965405"/>
    <n v="3.1231466258238054E-3"/>
    <n v="3.8803944406335305"/>
    <n v="7.1838966786066782E-3"/>
    <s v="XS1917106061"/>
    <s v="-"/>
    <n v="-1.37"/>
    <n v="1019029.161506708"/>
    <n v="1.9989774056925111E-3"/>
  </r>
  <r>
    <s v="Investments"/>
    <s v="Investments Long"/>
    <s v="Avaliable for Trading"/>
    <s v="United States Dollar"/>
    <m/>
    <s v="JINKE 8.375 06/20/21"/>
    <s v="XS2010988074"/>
    <n v="13000000"/>
    <n v="96.033000000000001"/>
    <n v="12871104.279999999"/>
    <n v="100667551.2"/>
    <n v="-3911806.6"/>
    <n v="3047066.46"/>
    <n v="96755744.599999994"/>
    <n v="2.1299999999999999E-2"/>
    <m/>
    <s v="Investments"/>
    <s v="BBG00PDL9DC2"/>
    <s v="BOND"/>
    <s v="Corp"/>
    <s v="#N/A Field Not Applicable"/>
    <n v="4.5"/>
    <n v="1.0024E-2"/>
    <s v="Medium"/>
    <n v="10.7"/>
    <n v="2.5201000000000001E-2"/>
    <s v="Illiquid"/>
    <n v="12874459.631062951"/>
    <s v=""/>
    <s v=""/>
    <s v="B"/>
    <s v="B2"/>
    <s v=""/>
    <n v="7"/>
    <n v="7"/>
    <n v="0"/>
    <n v="7"/>
    <s v="CN"/>
    <s v="Financial"/>
    <x v="16"/>
    <s v="Real Estate Oper/Develop"/>
    <s v="N"/>
    <s v=" "/>
    <s v="ACTV"/>
    <x v="2"/>
    <x v="1"/>
    <s v="Non-Investment Grade"/>
    <s v="China"/>
    <s v="Medium"/>
    <s v="Illiquid"/>
    <s v="Real Estate"/>
    <s v="INDUSTRIAL"/>
    <s v="#N/A Field Not Applicable"/>
    <n v="0.16372863505207763"/>
    <s v="6/20/2021"/>
    <n v="1.1397260273972603"/>
    <s v="1 - 2 yrs"/>
    <n v="2.665796954272575E-2"/>
    <n v="0.99999048028193749"/>
    <n v="2.3389582343090454E-2"/>
    <n v="11.698154604132201"/>
    <n v="0.27361755513753466"/>
    <s v="XS2010988074"/>
    <s v="-"/>
    <n v="-2.77"/>
    <n v="12874459.631062951"/>
    <n v="2.5255169219046702E-2"/>
  </r>
  <r>
    <s v="Investments"/>
    <s v="Investments Long"/>
    <s v="Avaliable for Trading"/>
    <s v="United States Dollar"/>
    <m/>
    <s v="KIJAIJ 6.5 10/05/23 REGS"/>
    <s v="USN4717BAD84"/>
    <n v="3000000"/>
    <n v="66.073999999999998"/>
    <n v="2804148.64"/>
    <n v="21789537.59"/>
    <n v="-6426936.1500000004"/>
    <n v="104950.62"/>
    <n v="15362601.439999999"/>
    <n v="3.3999999999999998E-3"/>
    <m/>
    <s v="Investments"/>
    <s v="BBG00DXBXRD0"/>
    <s v="BOND"/>
    <s v="Corp"/>
    <s v="#N/A Field Not Applicable"/>
    <n v="0.3"/>
    <n v="2.1104000000000001E-2"/>
    <s v="High"/>
    <n v="2.9"/>
    <n v="5.5042000000000001E-2"/>
    <s v="High"/>
    <n v="1995298.2533539732"/>
    <s v=""/>
    <s v=""/>
    <s v="B"/>
    <s v=""/>
    <s v="B"/>
    <n v="7"/>
    <n v="0"/>
    <n v="7"/>
    <n v="7"/>
    <s v="ID"/>
    <s v="Financial"/>
    <x v="16"/>
    <s v="Real Estate Oper/Develop"/>
    <s v="N"/>
    <s v=" "/>
    <s v="ACTV"/>
    <x v="2"/>
    <x v="1"/>
    <s v="Non-Investment Grade"/>
    <s v="Asia - others (1)"/>
    <s v="High"/>
    <s v="High"/>
    <s v="#N/A Field Not Applicable"/>
    <s v="SPECIAL PURPOSE"/>
    <s v="#N/A Field Not Applicable"/>
    <n v="2.5374848258114299E-2"/>
    <s v="10/5/2023"/>
    <n v="3.4328767123287673"/>
    <s v="3 - 5 yrs"/>
    <n v="1.2444103666308109E-2"/>
    <n v="2.7351781416641696"/>
    <n v="9.9149614719484802E-3"/>
    <n v="20.211506662101939"/>
    <n v="7.3266273516957581E-2"/>
    <s v="USN4717BAD84"/>
    <s v="-"/>
    <n v="-10.99"/>
    <n v="1995298.2533539732"/>
    <n v="3.9140745689504666E-3"/>
  </r>
  <r>
    <s v="Investments"/>
    <s v="Investments Long"/>
    <s v="Avaliable for Trading"/>
    <s v="United States Dollar"/>
    <m/>
    <s v="KSA 3.25 10/22/30 REGS"/>
    <s v="XS2159975700"/>
    <n v="1000000"/>
    <n v="99.747"/>
    <n v="993600"/>
    <n v="7701492.96"/>
    <n v="29099.040000000001"/>
    <n v="5597.37"/>
    <n v="7730592"/>
    <n v="1.6999999999999999E-3"/>
    <m/>
    <s v="Investments"/>
    <s v="BBG00T6LY8D4"/>
    <s v="BOND"/>
    <s v="Govt"/>
    <s v="#N/A Field Not Applicable"/>
    <n v="0.4"/>
    <n v="1.1401E-2"/>
    <s v="High"/>
    <n v="1.7"/>
    <n v="3.1843000000000003E-2"/>
    <s v="High"/>
    <n v="997960.44504643965"/>
    <s v=""/>
    <s v=""/>
    <s v=""/>
    <s v="A1"/>
    <s v="A"/>
    <n v="0"/>
    <n v="17"/>
    <n v="16"/>
    <n v="16"/>
    <s v="SA"/>
    <s v="Government"/>
    <x v="24"/>
    <s v="Sovereign"/>
    <s v="N"/>
    <s v=" "/>
    <s v="ACTV"/>
    <x v="3"/>
    <x v="2"/>
    <s v="Investment Grade"/>
    <s v="Saudi Arabia"/>
    <s v="High"/>
    <s v="High"/>
    <s v="#N/A Field Not Applicable"/>
    <s v="GOVT NATIONAL"/>
    <s v="#N/A Field Not Applicable"/>
    <n v="2.9008876033544861E-2"/>
    <s v="10/22/2030"/>
    <n v="10.484931506849316"/>
    <s v="10 yrs or Above"/>
    <n v="1.9009754893900031E-2"/>
    <n v="8.8084309911699687"/>
    <n v="1.5970167667055269E-2"/>
    <n v="3.1408084150981646"/>
    <n v="5.6944576224185733E-3"/>
    <s v="XS2159975700"/>
    <s v="-"/>
    <n v="-6.58"/>
    <n v="997960.44504643965"/>
    <n v="1.957647981803653E-3"/>
  </r>
  <r>
    <s v="Investments"/>
    <s v="Investments Long"/>
    <s v="Avaliable for Trading"/>
    <s v="United States Dollar"/>
    <m/>
    <s v="KSA 4.5 04/22/60 REGS"/>
    <s v="XS2159975882"/>
    <n v="3000000"/>
    <n v="98.284999999999997"/>
    <n v="2956401.13"/>
    <n v="22914753.949999999"/>
    <n v="-62901.73"/>
    <n v="23250.6"/>
    <n v="22851852.219999999"/>
    <n v="5.0000000000000001E-3"/>
    <m/>
    <s v="Investments"/>
    <s v="BBG00T6LYC72"/>
    <s v="BOND"/>
    <s v="Govt"/>
    <s v="#N/A Field Not Applicable"/>
    <n v="0.5"/>
    <n v="2.3366999999999999E-2"/>
    <s v="High"/>
    <n v="1.9"/>
    <n v="6.5572000000000005E-2"/>
    <s v="High"/>
    <n v="2950864.6568627451"/>
    <s v=""/>
    <s v=""/>
    <s v=""/>
    <s v="A1"/>
    <s v="A"/>
    <n v="0"/>
    <n v="17"/>
    <n v="16"/>
    <n v="16"/>
    <s v="SA"/>
    <s v="Government"/>
    <x v="24"/>
    <s v="Sovereign"/>
    <s v="N"/>
    <s v=" "/>
    <s v="ACTV"/>
    <x v="3"/>
    <x v="2"/>
    <s v="Investment Grade"/>
    <s v="Saudi Arabia"/>
    <s v="High"/>
    <s v="High"/>
    <s v="#N/A Field Not Applicable"/>
    <s v="GOVT NATIONAL"/>
    <s v="#N/A Field Not Applicable"/>
    <n v="8.5776212321438089E-2"/>
    <s v="4/22/2060"/>
    <n v="40.005479452054793"/>
    <s v="10 yrs or Above"/>
    <n v="0.21446990621877382"/>
    <n v="18.372916336966973"/>
    <n v="9.8497448292731105E-2"/>
    <n v="4.5328633024582103"/>
    <n v="2.4300740315981909E-2"/>
    <s v="XS2159975882"/>
    <s v="-"/>
    <n v="-14.96"/>
    <n v="2950864.6568627451"/>
    <n v="5.7885603269719407E-3"/>
  </r>
  <r>
    <s v="Investments"/>
    <s v="Investments Long"/>
    <s v="Avaliable for Trading"/>
    <s v="United States Dollar"/>
    <m/>
    <s v="KWGPRO 6 01/11/22"/>
    <s v="XS1545506401"/>
    <n v="3000000"/>
    <n v="98.102000000000004"/>
    <n v="3022950"/>
    <n v="23485964.989999998"/>
    <n v="-676661.39"/>
    <n v="422385.9"/>
    <n v="22809303.600000001"/>
    <n v="5.0000000000000001E-3"/>
    <m/>
    <s v="Investments"/>
    <s v="BBG00FP0FP88"/>
    <s v="BOND"/>
    <s v="Corp"/>
    <s v="#N/A Field Not Applicable"/>
    <n v="0.3"/>
    <n v="7.5659999999999998E-3"/>
    <s v="High"/>
    <n v="0.9"/>
    <n v="2.0153000000000001E-2"/>
    <s v="High"/>
    <n v="2996863.9705882352"/>
    <s v=""/>
    <s v=""/>
    <s v="B"/>
    <s v=""/>
    <s v="BB-"/>
    <n v="7"/>
    <n v="0"/>
    <n v="9"/>
    <n v="7"/>
    <s v="CN"/>
    <s v="Financial"/>
    <x v="16"/>
    <s v="Real Estate Oper/Develop"/>
    <s v="N"/>
    <s v=" "/>
    <s v="ACTV"/>
    <x v="2"/>
    <x v="1"/>
    <s v="Non-Investment Grade"/>
    <s v="China"/>
    <s v="High"/>
    <s v="High"/>
    <s v="Real Estate"/>
    <s v="FINANCIAL"/>
    <s v="#N/A Field Not Applicable"/>
    <n v="3.8112080926277304E-2"/>
    <s v="1/11/2022"/>
    <n v="1.7013698630136986"/>
    <s v="1 - 2 yrs"/>
    <n v="9.2632494149582027E-3"/>
    <n v="1.5351087570893089"/>
    <n v="8.3580270258321026E-3"/>
    <n v="7.2721253386038649"/>
    <n v="3.959368991584318E-2"/>
    <s v="XS1545506401"/>
    <s v="-"/>
    <n v="-2.64"/>
    <n v="2996863.9705882352"/>
    <n v="5.8787948288763405E-3"/>
  </r>
  <r>
    <s v="Investments"/>
    <s v="Investments Long"/>
    <s v="Avaliable for Trading"/>
    <s v="United States Dollar"/>
    <m/>
    <s v="KWGPRO 7.4 03/05/24 EMTN"/>
    <s v="XS2034561584"/>
    <n v="3300000"/>
    <n v="97.028000000000006"/>
    <n v="3224150"/>
    <n v="25034459.23"/>
    <n v="-218907.85"/>
    <n v="289147.03999999998"/>
    <n v="24815551.379999999"/>
    <n v="5.4999999999999997E-3"/>
    <m/>
    <s v="Investments"/>
    <s v="BBG00PSJ40G0"/>
    <s v="BOND"/>
    <s v="Corp"/>
    <s v="#N/A Field Not Applicable"/>
    <n v="0.2"/>
    <n v="1.0734E-2"/>
    <s v="High"/>
    <n v="0.8"/>
    <n v="2.8872999999999999E-2"/>
    <s v="High"/>
    <n v="3238480.188338493"/>
    <s v=""/>
    <s v=""/>
    <s v=""/>
    <s v=""/>
    <s v="BB-"/>
    <n v="0"/>
    <n v="0"/>
    <n v="9"/>
    <n v="9"/>
    <s v="CN"/>
    <s v="Financial"/>
    <x v="16"/>
    <s v="Real Estate Oper/Develop"/>
    <s v="N"/>
    <s v=" "/>
    <s v="ACTV"/>
    <x v="2"/>
    <x v="1"/>
    <s v="Non-Investment Grade"/>
    <s v="China"/>
    <s v="High"/>
    <s v="High"/>
    <s v="Real Estate"/>
    <s v="FINANCIAL"/>
    <s v="#N/A Field Not Applicable"/>
    <n v="5.295187531493771E-2"/>
    <s v="3/5/2024"/>
    <n v="3.8493150684931505"/>
    <s v="3 - 5 yrs"/>
    <n v="2.2647605728306694E-2"/>
    <n v="3.2178002876912353"/>
    <n v="1.8932062180244111E-2"/>
    <n v="8.399004909649463"/>
    <n v="4.9415895638367562E-2"/>
    <s v="XS2034561584"/>
    <s v="-"/>
    <n v="-5.96"/>
    <n v="3238480.188338493"/>
    <n v="6.352761009998693E-3"/>
  </r>
  <r>
    <s v="Investments"/>
    <s v="Investments Long"/>
    <s v="Avaliable for Trading"/>
    <s v="United States Dollar"/>
    <m/>
    <s v="LGUANG 9 03/04/21"/>
    <s v="XS2127887169"/>
    <n v="3500000"/>
    <n v="98.271000000000001"/>
    <n v="3500000"/>
    <n v="27277600"/>
    <n v="-620903.35"/>
    <n v="372978.38"/>
    <n v="26656696.649999999"/>
    <n v="5.8999999999999999E-3"/>
    <m/>
    <s v="Investments"/>
    <s v="BBG00S0GV953"/>
    <s v="BOND"/>
    <s v="Corp"/>
    <s v="#N/A Field Not Applicable"/>
    <n v="0.5"/>
    <n v="1.3662000000000001E-2"/>
    <s v="High"/>
    <n v="2"/>
    <n v="3.3163999999999999E-2"/>
    <s v="High"/>
    <n v="3486800.1844685241"/>
    <s v=""/>
    <s v=""/>
    <s v=""/>
    <s v=""/>
    <s v=""/>
    <n v="0"/>
    <n v="0"/>
    <n v="0"/>
    <n v="0"/>
    <s v="CN"/>
    <s v="Financial"/>
    <x v="16"/>
    <s v="Real Estate Oper/Develop"/>
    <s v="N"/>
    <s v=" "/>
    <s v="ACTV"/>
    <x v="2"/>
    <x v="1"/>
    <s v="Non-Investment Grade"/>
    <s v="China"/>
    <s v="High"/>
    <s v="High"/>
    <s v="#N/A Field Not Applicable"/>
    <s v="SPECIAL PURPOSE"/>
    <s v="#N/A Field Not Applicable"/>
    <n v="0"/>
    <s v="3/4/2021"/>
    <n v="0.84383561643835614"/>
    <s v="0 - 1 yr"/>
    <n v="5.345428240869577E-3"/>
    <n v="0.76057366629666057"/>
    <n v="4.8179904662520034E-3"/>
    <n v="11.253447589127983"/>
    <n v="7.1286984547973012E-2"/>
    <s v="XS2127887169"/>
    <s v="-"/>
    <n v="-2.04"/>
    <n v="3486800.1844685241"/>
    <n v="6.8398776504210741E-3"/>
  </r>
  <r>
    <s v="Investments"/>
    <s v="Investments Long"/>
    <s v="Avaliable for Trading"/>
    <s v="United States Dollar"/>
    <m/>
    <s v="LOGPH 5.25 02/23/23"/>
    <s v="XS1618597535"/>
    <n v="2000000"/>
    <n v="96.918999999999997"/>
    <n v="1996877.5"/>
    <n v="15520730.369999999"/>
    <n v="-497897.69"/>
    <n v="354894.57"/>
    <n v="15022832.68"/>
    <n v="3.3E-3"/>
    <m/>
    <s v="Investments"/>
    <s v="BBG00GQ752P3"/>
    <s v="BOND"/>
    <s v="Corp"/>
    <s v="#N/A Field Not Applicable"/>
    <n v="0.2"/>
    <n v="9.1800000000000007E-3"/>
    <s v="High"/>
    <n v="0.7"/>
    <n v="2.4903000000000002E-2"/>
    <s v="High"/>
    <n v="1983710.9455624355"/>
    <s v=""/>
    <s v=""/>
    <s v=""/>
    <s v="B1"/>
    <s v="BB"/>
    <n v="0"/>
    <n v="8"/>
    <n v="10"/>
    <n v="8"/>
    <s v="CN"/>
    <s v="Financial"/>
    <x v="16"/>
    <s v="Real Estate Oper/Develop"/>
    <s v="N"/>
    <s v=" "/>
    <s v="ACTV"/>
    <x v="2"/>
    <x v="1"/>
    <s v="Non-Investment Grade"/>
    <s v="China"/>
    <s v="High"/>
    <s v="High"/>
    <s v="Real Estate"/>
    <s v="FINANCIAL"/>
    <s v="#N/A Field Not Applicable"/>
    <n v="2.8831415709832522E-2"/>
    <s v="2/23/2023"/>
    <n v="2.8191780821917809"/>
    <s v="2 - 3 yrs"/>
    <n v="1.0160111905964954E-2"/>
    <n v="2.4870295388489341"/>
    <n v="8.9630728146483356E-3"/>
    <n v="6.5194810423609768"/>
    <n v="2.3495733518085194E-2"/>
    <s v="XS1618597535"/>
    <s v="-"/>
    <n v="-3.71"/>
    <n v="1983710.9455624355"/>
    <n v="3.891344339686134E-3"/>
  </r>
  <r>
    <s v="Investments"/>
    <s v="Investments Long"/>
    <s v="Avaliable for Trading"/>
    <s v="United States Dollar"/>
    <m/>
    <s v="LOGPH 5.75 01/14/25"/>
    <s v="XS2099677747"/>
    <n v="800000"/>
    <n v="96.289000000000001"/>
    <n v="680000"/>
    <n v="5271836"/>
    <n v="698236.06"/>
    <n v="104972.15"/>
    <n v="5970072.0599999996"/>
    <n v="1.2999999999999999E-3"/>
    <m/>
    <s v="Investments"/>
    <s v="BBG00RB0MG61"/>
    <s v="BOND"/>
    <s v="Corp"/>
    <s v="#N/A Field Not Applicable"/>
    <n v="0.1"/>
    <n v="1.3467E-2"/>
    <s v="High"/>
    <n v="0.5"/>
    <n v="3.7116000000000003E-2"/>
    <s v="High"/>
    <n v="783674.43369453051"/>
    <s v=""/>
    <s v=""/>
    <s v=""/>
    <s v=""/>
    <s v="BB"/>
    <n v="0"/>
    <n v="0"/>
    <n v="10"/>
    <n v="10"/>
    <s v="CN"/>
    <s v="Financial"/>
    <x v="16"/>
    <s v="Real Estate Oper/Develop"/>
    <s v="N"/>
    <s v=" "/>
    <s v="ACTV"/>
    <x v="2"/>
    <x v="1"/>
    <s v="Non-Investment Grade"/>
    <s v="China"/>
    <s v="High"/>
    <s v="High"/>
    <s v="Real Estate"/>
    <s v="FINANCIAL"/>
    <s v="#N/A Field Not Applicable"/>
    <n v="1.4237484693497303E-2"/>
    <s v="1/14/2025"/>
    <n v="4.7123287671232879"/>
    <s v="3 - 5 yrs"/>
    <n v="6.7091708692644829E-3"/>
    <n v="3.9508233160191586"/>
    <n v="5.6249786488535023E-3"/>
    <n v="6.8239598144703715"/>
    <n v="9.715602340756262E-3"/>
    <s v="XS2099677747"/>
    <s v="-"/>
    <n v="-5.72"/>
    <n v="783674.43369453051"/>
    <n v="1.5372940692472306E-3"/>
  </r>
  <r>
    <s v="Investments"/>
    <s v="Investments Long"/>
    <s v="Avaliable for Trading"/>
    <s v="United States Dollar"/>
    <m/>
    <s v="LOGPH 6.375 03/07/21"/>
    <s v="XS1772325210"/>
    <n v="2000000"/>
    <n v="100.261"/>
    <n v="2025000"/>
    <n v="15886732.5"/>
    <n v="-345876.46"/>
    <n v="145477.71"/>
    <n v="15540856.039999999"/>
    <n v="3.3999999999999998E-3"/>
    <m/>
    <s v="Investments"/>
    <s v="BBG00K6FDF25"/>
    <s v="BOND"/>
    <s v="Corp"/>
    <s v="#N/A Field Not Applicable"/>
    <n v="0.3"/>
    <n v="6.2300000000000003E-3"/>
    <s v="High"/>
    <n v="2"/>
    <n v="1.6233000000000001E-2"/>
    <s v="High"/>
    <n v="2023520.8655830754"/>
    <s v=""/>
    <s v=""/>
    <s v=""/>
    <s v=""/>
    <s v="BB"/>
    <n v="0"/>
    <n v="0"/>
    <n v="10"/>
    <n v="10"/>
    <s v="CN"/>
    <s v="Financial"/>
    <x v="16"/>
    <s v="Real Estate Oper/Develop"/>
    <s v="N"/>
    <s v=" "/>
    <s v="ACTV"/>
    <x v="2"/>
    <x v="1"/>
    <s v="Non-Investment Grade"/>
    <s v="China"/>
    <s v="High"/>
    <s v="High"/>
    <s v="Real Estate"/>
    <s v="FINANCIAL"/>
    <s v="#N/A Field Not Applicable"/>
    <n v="3.6762520393693592E-2"/>
    <s v="3/7/2021"/>
    <n v="0.852054794520548"/>
    <s v="0 - 1 yr"/>
    <n v="3.1323681760106049E-3"/>
    <n v="0.7943973966861958"/>
    <n v="2.9204050496373368E-3"/>
    <n v="5.922372298927959"/>
    <n v="2.1772133241838507E-2"/>
    <s v="XS1772325210"/>
    <s v="-"/>
    <n v="-1.19"/>
    <n v="2023520.8655830754"/>
    <n v="3.9694374244080878E-3"/>
  </r>
  <r>
    <s v="Investments"/>
    <s v="Investments Long"/>
    <s v="Avaliable for Trading"/>
    <s v="United States Dollar"/>
    <m/>
    <s v="LOGPH 6.875 04/24/21"/>
    <s v="XS1808311424"/>
    <n v="1000000"/>
    <n v="100.82599999999999"/>
    <n v="955000"/>
    <n v="7414524.5"/>
    <n v="399692.15"/>
    <n v="8880.44"/>
    <n v="7814216.6500000004"/>
    <n v="1.6999999999999999E-3"/>
    <m/>
    <s v="Investments"/>
    <s v="BBG00KNCMN62"/>
    <s v="BOND"/>
    <s v="Corp"/>
    <s v="#N/A Field Not Applicable"/>
    <n v="0.2"/>
    <n v="4.7739999999999996E-3"/>
    <s v="High"/>
    <n v="0.5"/>
    <n v="1.2709E-2"/>
    <s v="High"/>
    <n v="1009171.4512383902"/>
    <s v=""/>
    <s v=""/>
    <s v=""/>
    <s v=""/>
    <s v="BB"/>
    <n v="0"/>
    <n v="0"/>
    <n v="10"/>
    <n v="10"/>
    <s v="CN"/>
    <s v="Financial"/>
    <x v="16"/>
    <s v="Real Estate Oper/Develop"/>
    <s v="N"/>
    <s v=" "/>
    <s v="ACTV"/>
    <x v="2"/>
    <x v="1"/>
    <s v="Non-Investment Grade"/>
    <s v="China"/>
    <s v="High"/>
    <s v="High"/>
    <s v="Real Estate"/>
    <s v="FINANCIAL"/>
    <s v="#N/A Field Not Applicable"/>
    <n v="1.8334224612106702E-2"/>
    <s v="4/24/2021"/>
    <n v="0.98356164383561639"/>
    <s v="0 - 1 yr"/>
    <n v="1.8032840097935081E-3"/>
    <n v="0.91957282158909259"/>
    <n v="1.6859654658203144E-3"/>
    <n v="6.0386109944404822"/>
    <n v="1.1071325031720879E-2"/>
    <s v="XS1808311424"/>
    <s v="-"/>
    <n v="-1.36"/>
    <n v="1009171.4512383902"/>
    <n v="1.9796400394594439E-3"/>
  </r>
  <r>
    <s v="Investments"/>
    <s v="Investments Long"/>
    <s v="Avaliable for Trading"/>
    <s v="United States Dollar"/>
    <m/>
    <s v="LOGPH 7.5 08/25/22"/>
    <s v="XS1954961295"/>
    <n v="5000000"/>
    <n v="102.08799999999999"/>
    <n v="4991125"/>
    <n v="39175468.350000001"/>
    <n v="384652.53"/>
    <n v="524753.13"/>
    <n v="39560120.880000003"/>
    <n v="8.6999999999999994E-3"/>
    <m/>
    <s v="Investments"/>
    <s v="BBG00NDM7WZ0"/>
    <s v="BOND"/>
    <s v="Corp"/>
    <s v="#N/A Field Not Applicable"/>
    <n v="0.3"/>
    <n v="7.6899999999999998E-3"/>
    <s v="High"/>
    <n v="2"/>
    <n v="2.0216000000000001E-2"/>
    <s v="High"/>
    <n v="5170907.3800309608"/>
    <s v=""/>
    <s v=""/>
    <s v="BB-"/>
    <s v=""/>
    <s v="BB"/>
    <n v="9"/>
    <n v="0"/>
    <n v="10"/>
    <n v="9"/>
    <s v="CN"/>
    <s v="Financial"/>
    <x v="16"/>
    <s v="Real Estate Oper/Develop"/>
    <s v="N"/>
    <s v=" "/>
    <s v="ACTV"/>
    <x v="2"/>
    <x v="1"/>
    <s v="Non-Investment Grade"/>
    <s v="China"/>
    <s v="High"/>
    <s v="High"/>
    <s v="Real Estate"/>
    <s v="FINANCIAL"/>
    <s v="#N/A Field Not Applicable"/>
    <n v="8.4548685472418755E-2"/>
    <s v="8/25/2022"/>
    <n v="2.3205479452054796"/>
    <s v="2 - 3 yrs"/>
    <n v="2.1799919815871746E-2"/>
    <n v="2.0605899880949794"/>
    <n v="1.9357797199006391E-2"/>
    <n v="6.5304171999829554"/>
    <n v="6.1348687760559163E-2"/>
    <s v="XS1954961295"/>
    <s v="-"/>
    <n v="-2.13"/>
    <n v="5170907.3800309608"/>
    <n v="1.0143504631729331E-2"/>
  </r>
  <r>
    <s v="Investments"/>
    <s v="Investments Long"/>
    <s v="Avaliable for Trading"/>
    <s v="United States Dollar"/>
    <m/>
    <s v="LOGPH 7.5 08/27/21"/>
    <s v="XS1870205819"/>
    <n v="5000000"/>
    <n v="101.587"/>
    <n v="5062500"/>
    <n v="39724118.990000002"/>
    <n v="-358140.61"/>
    <n v="508606.87"/>
    <n v="39365978.380000003"/>
    <n v="8.6999999999999994E-3"/>
    <m/>
    <s v="Investments"/>
    <s v="BBG00LSRS878"/>
    <s v="BOND"/>
    <s v="Corp"/>
    <s v="#N/A Field Not Applicable"/>
    <n v="0.3"/>
    <n v="6.3160000000000004E-3"/>
    <s v="High"/>
    <n v="1.8"/>
    <n v="1.6676E-2"/>
    <s v="High"/>
    <n v="5143780.3470072243"/>
    <s v=""/>
    <s v=""/>
    <s v="BB-"/>
    <s v=""/>
    <s v="BB"/>
    <n v="9"/>
    <n v="0"/>
    <n v="10"/>
    <n v="9"/>
    <s v="CN"/>
    <s v="Financial"/>
    <x v="16"/>
    <s v="Real Estate Oper/Develop"/>
    <s v="N"/>
    <s v=" "/>
    <s v="ACTV"/>
    <x v="2"/>
    <x v="1"/>
    <s v="Non-Investment Grade"/>
    <s v="China"/>
    <s v="High"/>
    <s v="High"/>
    <s v="Real Estate"/>
    <s v="FINANCIAL"/>
    <s v="#N/A Field Not Applicable"/>
    <n v="8.4105135663002109E-2"/>
    <s v="8/27/2021"/>
    <n v="1.3260273972602741"/>
    <s v="1 - 2 yrs"/>
    <n v="1.239174601549255E-2"/>
    <n v="1.2154886492331729"/>
    <n v="1.1358759748955021E-2"/>
    <n v="6.0994219754525263"/>
    <n v="5.6999190301259009E-2"/>
    <s v="XS1870205819"/>
    <s v="-"/>
    <n v="-1.38"/>
    <n v="5143780.3470072243"/>
    <n v="1.0090290917984628E-2"/>
  </r>
  <r>
    <s v="Investments"/>
    <s v="Investments Long"/>
    <s v="Avaliable for Trading"/>
    <s v="United States Dollar"/>
    <m/>
    <s v="LPKRIJ 6.75 10/31/26"/>
    <s v="XS1506085114"/>
    <n v="1800000"/>
    <n v="69.3"/>
    <n v="1262125"/>
    <n v="9799361.5399999991"/>
    <n v="-131762.06"/>
    <n v="470824.66"/>
    <n v="9667599.4800000004"/>
    <n v="2.0999999999999999E-3"/>
    <m/>
    <s v="Investments"/>
    <s v="BBG00F2W1SP3"/>
    <s v="BOND"/>
    <s v="Corp"/>
    <s v="#N/A Field Not Applicable"/>
    <n v="0.3"/>
    <n v="3.5632999999999998E-2"/>
    <s v="High"/>
    <n v="1.5"/>
    <n v="9.4696000000000002E-2"/>
    <s v="High"/>
    <n v="1307846.2512899898"/>
    <s v=""/>
    <s v=""/>
    <s v="B-"/>
    <s v="B3"/>
    <s v="B-"/>
    <n v="6"/>
    <n v="6"/>
    <n v="6"/>
    <n v="6"/>
    <s v="ID"/>
    <s v="Financial"/>
    <x v="16"/>
    <s v="Real Estate Oper/Develop"/>
    <s v="N"/>
    <s v=" "/>
    <s v="ACTV"/>
    <x v="2"/>
    <x v="1"/>
    <s v="Non-Investment Grade"/>
    <s v="Asia - others (1)"/>
    <s v="High"/>
    <s v="High"/>
    <s v="#N/A Field Not Applicable"/>
    <s v="FINANCIAL"/>
    <s v="#N/A Field Not Applicable"/>
    <n v="1.425625758625716E-2"/>
    <s v="10/31/2026"/>
    <n v="6.506849315068493"/>
    <s v="5 - 7 yrs"/>
    <n v="1.5460553318429568E-2"/>
    <n v="4.736269019750468"/>
    <n v="1.1253578523895396E-2"/>
    <n v="14.149756650682509"/>
    <n v="3.3620429265830871E-2"/>
    <s v="XS1506085114"/>
    <s v="-"/>
    <n v="-13.27"/>
    <n v="1307846.2512899898"/>
    <n v="2.5655351242184548E-3"/>
  </r>
  <r>
    <s v="Investments"/>
    <s v="Investments Long"/>
    <s v="Avaliable for Trading"/>
    <s v="United States Dollar"/>
    <m/>
    <s v="LPKRIJ 8.125 01/22/25"/>
    <s v="XS2099273737"/>
    <n v="1500000"/>
    <n v="78.048000000000002"/>
    <n v="1515406.81"/>
    <n v="11772549.98"/>
    <n v="-2699235.83"/>
    <n v="257129.03"/>
    <n v="9073314.1500000004"/>
    <n v="2E-3"/>
    <m/>
    <s v="Investments"/>
    <s v="BBG00RD4VH41"/>
    <s v="BOND"/>
    <s v="Corp"/>
    <s v="#N/A Field Not Applicable"/>
    <n v="0.2"/>
    <n v="4.2731999999999999E-2"/>
    <s v="High"/>
    <n v="1.6"/>
    <n v="0.116713"/>
    <s v="High"/>
    <n v="1203617.5412796699"/>
    <s v=""/>
    <s v=""/>
    <s v="B-"/>
    <s v="B3"/>
    <s v="B-"/>
    <n v="6"/>
    <n v="6"/>
    <n v="6"/>
    <n v="6"/>
    <s v="ID"/>
    <s v="Financial"/>
    <x v="16"/>
    <s v="Real Estate Oper/Develop"/>
    <s v="N"/>
    <s v=" "/>
    <s v="ACTV"/>
    <x v="2"/>
    <x v="1"/>
    <s v="Non-Investment Grade"/>
    <s v="Asia - others (1)"/>
    <s v="High"/>
    <s v="High"/>
    <s v="#N/A Field Not Applicable"/>
    <s v="FINANCIAL"/>
    <s v="#N/A Field Not Applicable"/>
    <n v="1.3120106195124756E-2"/>
    <s v="1/22/2025"/>
    <n v="4.7342465753424658"/>
    <s v="3 - 5 yrs"/>
    <n v="1.0352302970399808E-2"/>
    <n v="3.5269716966695812"/>
    <n v="7.7123738679173741E-3"/>
    <n v="14.680276308300543"/>
    <n v="3.2101130689779524E-2"/>
    <s v="XS2099273737"/>
    <s v="-"/>
    <n v="-10.34"/>
    <n v="1203617.5412796699"/>
    <n v="2.3610749927468048E-3"/>
  </r>
  <r>
    <s v="Investments"/>
    <s v="Investments Long"/>
    <s v="Avaliable for Trading"/>
    <s v="United States Dollar"/>
    <m/>
    <s v="MAYMK V3.905 10/29/26"/>
    <s v="XS1402194952"/>
    <n v="1300000"/>
    <n v="100.233"/>
    <n v="1303090"/>
    <n v="10099599.050000001"/>
    <n v="-863.7"/>
    <n v="1092.8900000000001"/>
    <n v="10098735.35"/>
    <n v="2.2000000000000001E-3"/>
    <m/>
    <s v="Investments"/>
    <s v="BBG00CP5W6B3"/>
    <s v="BOND"/>
    <s v="Corp"/>
    <s v="#N/A Field Not Applicable"/>
    <n v="0.3"/>
    <n v="2.6559999999999999E-3"/>
    <s v="High"/>
    <n v="1.7"/>
    <n v="6.7749999999999998E-3"/>
    <s v="High"/>
    <n v="1302867.4200206399"/>
    <s v=""/>
    <s v=""/>
    <s v="BBB"/>
    <s v="Baa2"/>
    <s v=""/>
    <n v="13"/>
    <n v="13"/>
    <n v="0"/>
    <n v="13"/>
    <s v="MY"/>
    <s v="Financial"/>
    <x v="5"/>
    <s v="Commer Banks Non-US"/>
    <s v="N"/>
    <s v=" "/>
    <s v="ACTV"/>
    <x v="2"/>
    <x v="1"/>
    <s v="Investment Grade"/>
    <s v="Asia - others (1)"/>
    <s v="High"/>
    <s v="High"/>
    <s v="Financials"/>
    <s v="BANK"/>
    <s v="#N/A Field Not Applicable"/>
    <n v="3.0770968655409563E-2"/>
    <s v="10/29/2026"/>
    <n v="6.5013698630136982"/>
    <s v="5 - 7 yrs"/>
    <n v="1.5388726790155299E-2"/>
    <n v="1.4227647419794494"/>
    <n v="3.3676807138055009E-3"/>
    <n v="3.1519189635064064"/>
    <n v="7.4605845869574333E-3"/>
    <s v="XS1402194952"/>
    <s v="-"/>
    <n v="-3.25"/>
    <n v="1302867.4200206399"/>
    <n v="2.5557684054726727E-3"/>
  </r>
  <r>
    <s v="Investments"/>
    <s v="Investments Long"/>
    <s v="Avaliable for Trading"/>
    <s v="United States Dollar"/>
    <m/>
    <s v="MDLNIJ 10.75 08/30/21"/>
    <s v="XS1871087133"/>
    <n v="3200000"/>
    <n v="80.668999999999997"/>
    <n v="3330000"/>
    <n v="25883937"/>
    <n v="-5877508.7199999997"/>
    <n v="459156.3"/>
    <n v="20006428.280000001"/>
    <n v="4.4000000000000003E-3"/>
    <m/>
    <s v="Investments"/>
    <s v="BBG00LSR9049"/>
    <s v="BOND"/>
    <s v="Corp"/>
    <s v="#N/A Field Not Applicable"/>
    <n v="1.8"/>
    <n v="1.0588E-2"/>
    <s v="High"/>
    <n v="5.7"/>
    <n v="2.6519999999999998E-2"/>
    <s v="Medium"/>
    <n v="2640039.2905056761"/>
    <s v=""/>
    <s v=""/>
    <s v="B- *-"/>
    <s v="B3"/>
    <s v="B *-"/>
    <n v="6"/>
    <n v="6"/>
    <n v="7"/>
    <n v="6"/>
    <s v="ID"/>
    <s v="Financial"/>
    <x v="16"/>
    <s v="Real Estate Oper/Develop"/>
    <s v="N"/>
    <s v=" "/>
    <s v="ACTV"/>
    <x v="2"/>
    <x v="1"/>
    <s v="Non-Investment Grade"/>
    <s v="Asia - others (1)"/>
    <s v="High"/>
    <s v="Medium"/>
    <s v="#N/A Field Not Applicable"/>
    <s v="SPECIAL PURPOSE"/>
    <s v="#N/A Field Not Applicable"/>
    <n v="2.8777908814713739E-2"/>
    <s v="8/30/2021"/>
    <n v="1.3342465753424657"/>
    <s v="1 - 2 yrs"/>
    <n v="6.3994710469249269E-3"/>
    <n v="1.069055692794687"/>
    <n v="5.1275312075160211E-3"/>
    <n v="29.642181743723974"/>
    <n v="0.1421733338816768"/>
    <s v="XS1871087133"/>
    <s v="-"/>
    <n v="-4.76"/>
    <n v="2640039.2905056761"/>
    <n v="5.1788300975198287E-3"/>
  </r>
  <r>
    <s v="Investments"/>
    <s v="Investments Long"/>
    <s v="Avaliable for Trading"/>
    <s v="United States Dollar"/>
    <m/>
    <s v="MDLNIJ 6.95 04/13/24"/>
    <s v="XS1592893546"/>
    <n v="4653000"/>
    <n v="64.772000000000006"/>
    <n v="4218247.4000000004"/>
    <n v="33001027.699999999"/>
    <n v="-9643155.9399999995"/>
    <n v="118352.43"/>
    <n v="23357871.760000002"/>
    <n v="5.1000000000000004E-3"/>
    <m/>
    <s v="Investments"/>
    <s v="BBG00GDDS1Y1"/>
    <s v="BOND"/>
    <s v="Corp"/>
    <s v="#N/A Field Not Applicable"/>
    <n v="1.5"/>
    <n v="3.0758000000000001E-2"/>
    <s v="High"/>
    <n v="6.8"/>
    <n v="7.9551999999999998E-2"/>
    <s v="Medium"/>
    <n v="3028408.6932404544"/>
    <s v=""/>
    <s v=""/>
    <s v="B- *-"/>
    <s v="B3"/>
    <s v="B *-"/>
    <n v="6"/>
    <n v="6"/>
    <n v="7"/>
    <n v="6"/>
    <s v="ID"/>
    <s v="Financial"/>
    <x v="16"/>
    <s v="Real Estate Oper/Develop"/>
    <s v="N"/>
    <s v=" "/>
    <s v="ACTV"/>
    <x v="2"/>
    <x v="1"/>
    <s v="Non-Investment Grade"/>
    <s v="Asia - others (1)"/>
    <s v="High"/>
    <s v="Medium"/>
    <s v="#N/A Field Not Applicable"/>
    <s v="SPECIAL PURPOSE"/>
    <s v="#N/A Field Not Applicable"/>
    <n v="3.3011353104168056E-2"/>
    <s v="4/13/2024"/>
    <n v="3.956164383561644"/>
    <s v="3 - 5 yrs"/>
    <n v="2.17663899006478E-2"/>
    <n v="3.0517994144721827"/>
    <n v="1.6790671345705759E-2"/>
    <n v="20.316786012184913"/>
    <n v="0.11178076616500976"/>
    <s v="XS1592893546"/>
    <s v="-"/>
    <n v="-12.24"/>
    <n v="3028408.6932404544"/>
    <n v="5.9406744984997189E-3"/>
  </r>
  <r>
    <s v="Investments"/>
    <s v="Investments Long"/>
    <s v="Avaliable for Trading"/>
    <s v="United States Dollar"/>
    <m/>
    <s v="MEDCIJ 6.75 01/30/25 REGS"/>
    <s v="USY59505AA82"/>
    <n v="3200000"/>
    <n v="62.8"/>
    <n v="3197000"/>
    <n v="24848682.5"/>
    <n v="-9273880.5800000001"/>
    <n v="418510.81"/>
    <n v="15574801.92"/>
    <n v="3.3999999999999998E-3"/>
    <m/>
    <s v="Investments"/>
    <s v="BBG00JVKTCJ1"/>
    <s v="BOND"/>
    <s v="Corp"/>
    <s v="#N/A Field Not Applicable"/>
    <n v="0.3"/>
    <n v="5.4140000000000001E-2"/>
    <s v="High"/>
    <n v="1.9"/>
    <n v="0.14280399999999999"/>
    <s v="High"/>
    <n v="2063120.8372033024"/>
    <s v=""/>
    <s v=""/>
    <s v="B+"/>
    <s v="B1"/>
    <s v="B+"/>
    <n v="8"/>
    <n v="8"/>
    <n v="8"/>
    <n v="8"/>
    <s v="ID"/>
    <s v="Energy"/>
    <x v="25"/>
    <s v="Oil Comp-Explor&amp;Prodtn"/>
    <s v="N"/>
    <s v=" "/>
    <s v="ACTV"/>
    <x v="2"/>
    <x v="2"/>
    <s v="Non-Investment Grade"/>
    <s v="Asia - others (1)"/>
    <s v="High"/>
    <s v="High"/>
    <s v="#N/A Field Not Applicable"/>
    <s v="INDUSTRIAL"/>
    <s v="#N/A Field Not Applicable"/>
    <n v="2.9985565513004301E-2"/>
    <s v="1/30/2025"/>
    <n v="4.7561643835616438"/>
    <s v="3 - 5 yrs"/>
    <n v="1.7827034839238174E-2"/>
    <n v="3.4998168449480205"/>
    <n v="1.311799841096311E-2"/>
    <n v="18.903844096922757"/>
    <n v="7.0855306951987107E-2"/>
    <s v="USY59505AA82"/>
    <s v="-"/>
    <n v="-8.18"/>
    <n v="2063120.8372033024"/>
    <n v="4.0471186640870932E-3"/>
  </r>
  <r>
    <s v="Investments"/>
    <s v="Investments Long"/>
    <s v="Avaliable for Trading"/>
    <s v="United States Dollar"/>
    <m/>
    <s v="MEDCIJ 8.5 08/17/22 REGS"/>
    <s v="USY59515AA72"/>
    <n v="1000000"/>
    <n v="97.036000000000001"/>
    <n v="977500"/>
    <n v="7589833.5"/>
    <n v="-69349.42"/>
    <n v="133583.29999999999"/>
    <n v="7520484.0800000001"/>
    <n v="1.6999999999999999E-3"/>
    <m/>
    <s v="Investments"/>
    <s v="BBG00HDTX5P9"/>
    <s v="BOND"/>
    <s v="Corp"/>
    <s v="#N/A Field Not Applicable"/>
    <n v="4.7"/>
    <n v="1.2978999999999999E-2"/>
    <s v="Medium"/>
    <n v="8.6999999999999993"/>
    <n v="3.4876999999999998E-2"/>
    <s v="Low"/>
    <n v="987366.79308565531"/>
    <s v=""/>
    <s v=""/>
    <s v="B+"/>
    <s v="B1"/>
    <s v="B+"/>
    <n v="8"/>
    <n v="8"/>
    <n v="8"/>
    <n v="8"/>
    <s v="ID"/>
    <s v="Energy"/>
    <x v="25"/>
    <s v="Oil Comp-Explor&amp;Prodtn"/>
    <s v="N"/>
    <s v=" "/>
    <s v="ACTV"/>
    <x v="2"/>
    <x v="2"/>
    <s v="Non-Investment Grade"/>
    <s v="Asia - others (1)"/>
    <s v="Medium"/>
    <s v="Low"/>
    <s v="#N/A Field Not Applicable"/>
    <s v="INDUSTRIAL"/>
    <s v="#N/A Field Not Applicable"/>
    <n v="1.4350469020306537E-2"/>
    <s v="8/17/2022"/>
    <n v="2.2986301369863016"/>
    <s v="2 - 3 yrs"/>
    <n v="4.1233025712456121E-3"/>
    <n v="1.9800629794792495"/>
    <n v="3.5518540556591033E-3"/>
    <n v="9.9407506430272967"/>
    <n v="1.7831804267669438E-2"/>
    <s v="USY59515AA72"/>
    <s v="-"/>
    <n v="-2.7"/>
    <n v="987366.79308565531"/>
    <n v="1.9368669563793492E-3"/>
  </r>
  <r>
    <s v="Investments"/>
    <s v="Investments Long"/>
    <s v="Avaliable for Trading"/>
    <s v="United States Dollar"/>
    <m/>
    <s v="MGMCHI 5.875 05/15/26 REGS"/>
    <s v="USG60744AB87"/>
    <n v="5000000"/>
    <n v="97.748999999999995"/>
    <n v="4905000"/>
    <n v="38091347.100000001"/>
    <n v="-212632.12"/>
    <n v="1043451.4"/>
    <n v="37878714.979999997"/>
    <n v="8.3000000000000001E-3"/>
    <m/>
    <s v="Investments"/>
    <s v="BBG00P1GZFC2"/>
    <s v="BOND"/>
    <s v="Corp"/>
    <s v="#N/A Field Not Applicable"/>
    <n v="0.3"/>
    <n v="1.7897E-2"/>
    <s v="High"/>
    <n v="1.5"/>
    <n v="4.7718000000000003E-2"/>
    <s v="High"/>
    <n v="5020919.2956656339"/>
    <s v=""/>
    <s v=""/>
    <s v="BB- *-"/>
    <s v="Ba3"/>
    <s v="BB-u"/>
    <n v="9"/>
    <n v="9"/>
    <n v="9"/>
    <n v="9"/>
    <s v="MO"/>
    <s v="Consumer, Cyclical"/>
    <x v="26"/>
    <s v="Casino Hotels"/>
    <s v="N"/>
    <s v=" "/>
    <s v="ACTV"/>
    <x v="2"/>
    <x v="2"/>
    <s v="Non-Investment Grade"/>
    <s v="Macau"/>
    <s v="High"/>
    <s v="High"/>
    <s v="Consumer Discretionary"/>
    <s v="INDUSTRIAL"/>
    <s v="#N/A Field Not Applicable"/>
    <n v="8.2096254121861723E-2"/>
    <s v="5/15/2026"/>
    <n v="6.043835616438356"/>
    <s v="5 - 7 yrs"/>
    <n v="5.5130696070875784E-2"/>
    <n v="4.8496336297512954"/>
    <n v="4.4237417207332111E-2"/>
    <n v="6.3311915360998929"/>
    <n v="5.7751901026870771E-2"/>
    <s v="USG60744AB87"/>
    <s v="-"/>
    <n v="-0.97"/>
    <n v="5020919.2956656339"/>
    <n v="9.8492806751488537E-3"/>
  </r>
  <r>
    <s v="Investments"/>
    <s v="Investments Long"/>
    <s v="Avaliable for Trading"/>
    <s v="United States Dollar"/>
    <m/>
    <s v="MINMET V3.375 PERP"/>
    <s v="XS2115053626"/>
    <n v="1000000"/>
    <n v="96.911000000000001"/>
    <n v="1000000"/>
    <n v="7791100"/>
    <n v="-280303.68"/>
    <n v="41415.129999999997"/>
    <n v="7510796.3200000003"/>
    <n v="1.6999999999999999E-3"/>
    <m/>
    <s v="Investments"/>
    <s v="BBG00RZ2MZZ7"/>
    <s v="BOND"/>
    <s v="Corp"/>
    <s v="#N/A Field Not Applicable"/>
    <n v="0.3"/>
    <n v="5.7219999999999997E-3"/>
    <s v="High"/>
    <n v="0.7"/>
    <n v="1.5098E-2"/>
    <s v="High"/>
    <n v="974227.48323013424"/>
    <s v=""/>
    <s v=""/>
    <s v=""/>
    <s v="Baa1"/>
    <s v=""/>
    <n v="0"/>
    <n v="14"/>
    <n v="0"/>
    <n v="14"/>
    <s v="CN"/>
    <s v="Basic Materials"/>
    <x v="21"/>
    <s v="Metal-Diversified"/>
    <s v="N"/>
    <s v=" "/>
    <s v="ACTV"/>
    <x v="2"/>
    <x v="2"/>
    <s v="Investment Grade"/>
    <s v="China"/>
    <s v="High"/>
    <s v="High"/>
    <s v="#N/A Field Not Applicable"/>
    <s v="SPECIAL PURPOSE"/>
    <s v="#N/A Field Not Applicable"/>
    <n v="2.4779127144821569E-2"/>
    <s v="9/3/2168"/>
    <n v="148.44383561643835"/>
    <s v="10 yrs or Above"/>
    <n v="0.26273633404319419"/>
    <n v="3.9479553652178532"/>
    <n v="6.9876348540581189E-3"/>
    <n v="5.2808799102601904"/>
    <n v="9.3468281952050845E-3"/>
    <s v="XS2115053626"/>
    <s v="-"/>
    <n v="-2.9"/>
    <n v="974227.48323013424"/>
    <n v="1.9110922440161184E-3"/>
  </r>
  <r>
    <s v="Investments"/>
    <s v="Investments Long"/>
    <s v="Avaliable for Trading"/>
    <s v="United States Dollar"/>
    <m/>
    <s v="MSINS V4.95 PERP REGS"/>
    <s v="USJ4517MAA74"/>
    <n v="7500000"/>
    <n v="112.002"/>
    <n v="7500000"/>
    <n v="58872750"/>
    <n v="6230092.5300000003"/>
    <n v="431589.27"/>
    <n v="65102842.530000001"/>
    <n v="1.43E-2"/>
    <m/>
    <s v="Investments"/>
    <s v="BBG00NGF27D6"/>
    <s v="BOND"/>
    <s v="Corp"/>
    <s v="#N/A Field Not Applicable"/>
    <n v="1.3"/>
    <n v="1.141E-2"/>
    <s v="High"/>
    <n v="2.2999999999999998"/>
    <n v="2.9824E-2"/>
    <s v="High"/>
    <n v="8453874.0712074321"/>
    <s v=""/>
    <s v=""/>
    <s v="A-"/>
    <s v="A3"/>
    <s v=""/>
    <n v="15"/>
    <n v="15"/>
    <n v="0"/>
    <n v="15"/>
    <s v="JP"/>
    <s v="Financial"/>
    <x v="1"/>
    <s v="Property/Casualty Ins"/>
    <s v="N"/>
    <s v=" "/>
    <s v="ACTV"/>
    <x v="2"/>
    <x v="1"/>
    <s v="Investment Grade"/>
    <s v="Japan"/>
    <s v="High"/>
    <s v="High"/>
    <s v="Financials"/>
    <s v="FINANCIAL"/>
    <s v="#N/A Field Not Applicable"/>
    <n v="0.23037992088526951"/>
    <s v="9/6/2168"/>
    <n v="148.45205479452054"/>
    <s v="10 yrs or Above"/>
    <n v="2.2800248425878222"/>
    <n v="7.1890773614213836"/>
    <n v="0.11041460491748936"/>
    <n v="3.5860366367538461"/>
    <n v="5.5076722444468595E-2"/>
    <s v="USJ4517MAA74"/>
    <s v="-"/>
    <n v="-6.24"/>
    <n v="8453874.0712074321"/>
    <n v="1.6583532539860665E-2"/>
  </r>
  <r>
    <s v="Investments"/>
    <s v="Investments Long"/>
    <s v="Avaliable for Trading"/>
    <s v="United States Dollar"/>
    <m/>
    <s v="MYLIFE V5.2 10/20/45 REGS"/>
    <s v="USJ41838AA14"/>
    <n v="1500000"/>
    <n v="109.694"/>
    <n v="1524750"/>
    <n v="11916836.1"/>
    <n v="835420.48"/>
    <n v="16792.099999999999"/>
    <n v="12752256.58"/>
    <n v="2.8E-3"/>
    <m/>
    <s v="Investments"/>
    <s v="BBG00B6SDBV4"/>
    <s v="BOND"/>
    <s v="Corp"/>
    <s v="#N/A Field Not Applicable"/>
    <n v="0.3"/>
    <n v="6.8349999999999999E-3"/>
    <s v="High"/>
    <n v="0.7"/>
    <n v="1.8398000000000001E-2"/>
    <s v="High"/>
    <n v="1647194.1021671826"/>
    <s v=""/>
    <s v=""/>
    <s v="A-"/>
    <s v="A3"/>
    <s v="A-u"/>
    <n v="15"/>
    <n v="15"/>
    <n v="15"/>
    <n v="15"/>
    <s v="JP"/>
    <s v="Financial"/>
    <x v="1"/>
    <s v="Life/Health Insurance"/>
    <s v="N"/>
    <s v=" "/>
    <s v="ACTV"/>
    <x v="2"/>
    <x v="1"/>
    <s v="Investment Grade"/>
    <s v="Japan"/>
    <s v="High"/>
    <s v="High"/>
    <s v="#N/A Field Not Applicable"/>
    <s v="FINANCIAL"/>
    <s v="#N/A Field Not Applicable"/>
    <n v="4.488834867228611E-2"/>
    <s v="10/20/2045"/>
    <n v="25.490410958904111"/>
    <s v="10 yrs or Above"/>
    <n v="7.6281496994876713E-2"/>
    <n v="4.7672905323670731"/>
    <n v="1.4266386642598775E-2"/>
    <n v="4.1746556671568467"/>
    <n v="1.2492893278271447E-2"/>
    <s v="USJ41838AA14"/>
    <s v="-"/>
    <n v="-4.2300000000000004"/>
    <n v="1647194.1021671826"/>
    <n v="3.2312164532697575E-3"/>
  </r>
  <r>
    <s v="Investments"/>
    <s v="Investments Long"/>
    <s v="Avaliable for Trading"/>
    <s v="United States Dollar"/>
    <m/>
    <s v="NANYAN V5 PERP"/>
    <s v="XS1618163452"/>
    <n v="4500000"/>
    <n v="95.082999999999998"/>
    <n v="4518190"/>
    <n v="35308383.329999998"/>
    <n v="-2147331.33"/>
    <n v="716893.5"/>
    <n v="33161052"/>
    <n v="7.3000000000000001E-3"/>
    <m/>
    <s v="Investments"/>
    <s v="BBG00GSCY4N6"/>
    <s v="BOND"/>
    <s v="Corp"/>
    <s v="#N/A Field Not Applicable"/>
    <n v="0.3"/>
    <n v="1.1563E-2"/>
    <s v="High"/>
    <n v="0.8"/>
    <n v="3.1243E-2"/>
    <s v="High"/>
    <n v="4370220.0077399379"/>
    <s v=""/>
    <s v=""/>
    <s v=""/>
    <s v="Ba2"/>
    <s v=""/>
    <n v="0"/>
    <n v="10"/>
    <n v="0"/>
    <n v="10"/>
    <s v="HK"/>
    <s v="Financial"/>
    <x v="5"/>
    <s v="Commer Banks Non-US"/>
    <s v="N"/>
    <s v=" "/>
    <s v="ACTV"/>
    <x v="2"/>
    <x v="1"/>
    <s v="Non-Investment Grade"/>
    <s v="Hong Kong"/>
    <s v="High"/>
    <s v="High"/>
    <s v="#N/A Field Not Applicable"/>
    <s v="BANK"/>
    <s v="#N/A Field Not Applicable"/>
    <n v="7.9396414878664043E-2"/>
    <s v="12/2/2168"/>
    <n v="148.6904109589041"/>
    <s v="10 yrs or Above"/>
    <n v="1.1805485556972202"/>
    <n v="1.8777571507766722"/>
    <n v="1.4908718578444276E-2"/>
    <n v="3.8442286296720702"/>
    <n v="3.0521797116988179E-2"/>
    <s v="XS1618163452"/>
    <s v="-"/>
    <n v="-4.87"/>
    <n v="4370220.0077399379"/>
    <n v="8.5728371506667428E-3"/>
  </r>
  <r>
    <s v="Investments"/>
    <s v="Investments Long"/>
    <s v="Avaliable for Trading"/>
    <s v="United States Dollar"/>
    <m/>
    <s v="NDAQ 3.25 04/28/50"/>
    <s v="US63111XAB73"/>
    <n v="2000000"/>
    <n v="100.54300000000001"/>
    <n v="1961960"/>
    <n v="15205974.779999999"/>
    <n v="378592.39"/>
    <n v="2798.68"/>
    <n v="15584567.17"/>
    <n v="3.3999999999999998E-3"/>
    <m/>
    <s v="Investments"/>
    <s v="BBG00TFTG847"/>
    <s v="BOND"/>
    <s v="Corp"/>
    <s v="#N/A Field Not Applicable"/>
    <n v="0.5"/>
    <n v="2.5621000000000001E-2"/>
    <s v="High"/>
    <n v="1.7"/>
    <n v="6.9543999999999995E-2"/>
    <s v="High"/>
    <n v="2010754.1086171311"/>
    <s v=""/>
    <s v=""/>
    <s v="BBB"/>
    <s v="Baa2"/>
    <s v=""/>
    <n v="13"/>
    <n v="13"/>
    <n v="0"/>
    <n v="13"/>
    <s v="US"/>
    <s v="Financial"/>
    <x v="10"/>
    <s v="Finance-Other Services"/>
    <s v="N"/>
    <s v=" "/>
    <s v="ACTV"/>
    <x v="2"/>
    <x v="1"/>
    <s v="Investment Grade"/>
    <s v="United States of America"/>
    <s v="High"/>
    <s v="High"/>
    <s v="Financials"/>
    <s v="FINANCIAL"/>
    <s v="#N/A Field Not Applicable"/>
    <n v="4.7489752755513343E-2"/>
    <s v="4/28/2050"/>
    <n v="30.013698630136986"/>
    <s v="10 yrs or Above"/>
    <n v="0.1096417790172073"/>
    <n v="19.004251991736862"/>
    <n v="6.9423632953158121E-2"/>
    <n v="3.2861713260628211"/>
    <n v="1.2004574137460059E-2"/>
    <s v="US63111XAB73"/>
    <s v="-"/>
    <n v="-14.44"/>
    <n v="2010754.1086171311"/>
    <n v="3.9443935300006346E-3"/>
  </r>
  <r>
    <s v="Investments"/>
    <s v="Investments Long"/>
    <s v="Avaliable for Trading"/>
    <s v="United States Dollar"/>
    <m/>
    <s v="NIPLIF V3.4 01/23/50 REGS"/>
    <s v="USJ54675AZ63"/>
    <n v="1235000"/>
    <n v="101.187"/>
    <n v="1265287.5"/>
    <n v="9834947.1600000001"/>
    <n v="-149836.49"/>
    <n v="87685.54"/>
    <n v="9685110.6699999999"/>
    <n v="2.0999999999999999E-3"/>
    <m/>
    <s v="Investments"/>
    <s v="BBG00RD35MV1"/>
    <s v="BOND"/>
    <s v="Corp"/>
    <s v="#N/A Field Not Applicable"/>
    <n v="0.3"/>
    <n v="9.1800000000000007E-3"/>
    <s v="High"/>
    <n v="0.8"/>
    <n v="2.4893999999999999E-2"/>
    <s v="High"/>
    <n v="1260680.6256449947"/>
    <s v=""/>
    <s v=""/>
    <s v="A-"/>
    <s v="A3"/>
    <s v=""/>
    <n v="15"/>
    <n v="15"/>
    <n v="0"/>
    <n v="15"/>
    <s v="JP"/>
    <s v="Financial"/>
    <x v="1"/>
    <s v="Life/Health Insurance"/>
    <s v="N"/>
    <s v=" "/>
    <s v="ACTV"/>
    <x v="2"/>
    <x v="1"/>
    <s v="Investment Grade"/>
    <s v="Japan"/>
    <s v="High"/>
    <s v="High"/>
    <s v="#N/A Field Not Applicable"/>
    <s v="FINANCIAL"/>
    <s v="#N/A Field Not Applicable"/>
    <n v="3.4355314539976846E-2"/>
    <s v="1/23/2050"/>
    <n v="29.753424657534246"/>
    <s v="10 yrs or Above"/>
    <n v="6.8145884183406127E-2"/>
    <n v="8.156770271294107"/>
    <n v="1.8681893886709423E-2"/>
    <n v="3.0672503831361482"/>
    <n v="7.0250901123671237E-3"/>
    <s v="USJ54675AZ63"/>
    <s v="-"/>
    <n v="-7.27"/>
    <n v="1260680.6256449947"/>
    <n v="2.4730127278521992E-3"/>
  </r>
  <r>
    <s v="Investments"/>
    <s v="Investments Long"/>
    <s v="Avaliable for Trading"/>
    <s v="United States Dollar"/>
    <m/>
    <s v="OCTOWN V4.3 PERP"/>
    <s v="XS1692254359"/>
    <n v="5000000"/>
    <n v="99.557000000000002"/>
    <n v="5022500"/>
    <n v="39073543.25"/>
    <n v="-494210.18"/>
    <n v="92571.83"/>
    <n v="38579333.07"/>
    <n v="8.5000000000000006E-3"/>
    <m/>
    <s v="Investments"/>
    <s v="BBG00HVHMY65"/>
    <s v="BOND"/>
    <s v="Corp"/>
    <s v="#N/A Field Not Applicable"/>
    <n v="0.5"/>
    <n v="5.9589999999999999E-3"/>
    <s v="High"/>
    <n v="1.9"/>
    <n v="1.3920999999999999E-2"/>
    <s v="High"/>
    <n v="4988635.8230134156"/>
    <s v=""/>
    <s v=""/>
    <s v=""/>
    <s v=""/>
    <s v=""/>
    <n v="0"/>
    <n v="0"/>
    <n v="0"/>
    <n v="0"/>
    <s v="CN"/>
    <s v="Financial"/>
    <x v="16"/>
    <s v="Real Estate Oper/Develop"/>
    <s v="N"/>
    <s v=" "/>
    <s v="ACTV"/>
    <x v="2"/>
    <x v="1"/>
    <s v="Non-Investment Grade"/>
    <s v="China"/>
    <s v="High"/>
    <s v="High"/>
    <s v="Real Estate"/>
    <s v="INDUSTRIAL"/>
    <s v="#N/A Field Not Applicable"/>
    <n v="0"/>
    <s v="4/10/2169"/>
    <n v="149.04383561643834"/>
    <s v="10 yrs or Above"/>
    <n v="1.3508073373998499"/>
    <n v="0.41515406336745214"/>
    <n v="3.7626054954148372E-3"/>
    <n v="7.8722483184552097"/>
    <n v="7.1347404248029794E-2"/>
    <s v="XS1692254359"/>
    <s v="-"/>
    <n v="-0.59"/>
    <n v="4988635.8230134156"/>
    <n v="9.785951837420934E-3"/>
  </r>
  <r>
    <s v="Investments"/>
    <s v="Investments Long"/>
    <s v="Avaliable for Trading"/>
    <s v="United States Dollar"/>
    <m/>
    <s v="ORCL 2.5 04/01/25"/>
    <s v="US68389XBT19"/>
    <n v="4000000"/>
    <n v="105.33799999999999"/>
    <n v="3998520"/>
    <n v="31007722.899999999"/>
    <n v="1647899.8"/>
    <n v="62432.17"/>
    <n v="32655622.699999999"/>
    <n v="7.1999999999999998E-3"/>
    <m/>
    <s v="Investments"/>
    <s v="BBG00SXGDG60"/>
    <s v="BOND"/>
    <s v="Corp"/>
    <s v="#N/A Field Not Applicable"/>
    <n v="0.3"/>
    <n v="7.437E-3"/>
    <s v="High"/>
    <n v="1.3"/>
    <n v="2.0351000000000001E-2"/>
    <s v="High"/>
    <n v="4220595.3134674923"/>
    <s v=""/>
    <s v=""/>
    <s v="A+"/>
    <s v="A3"/>
    <s v="A-"/>
    <n v="17"/>
    <n v="15"/>
    <n v="15"/>
    <n v="15"/>
    <s v="US"/>
    <s v="Technology"/>
    <x v="27"/>
    <s v="Enterprise Software/Serv"/>
    <s v="N"/>
    <s v=" "/>
    <s v="ACTV"/>
    <x v="2"/>
    <x v="2"/>
    <s v="Investment Grade"/>
    <s v="United States of America"/>
    <s v="High"/>
    <s v="High"/>
    <s v="Information Technology"/>
    <s v="INDUSTRIAL"/>
    <s v="#N/A Field Not Applicable"/>
    <n v="0.11501713962324314"/>
    <s v="4/1/2025"/>
    <n v="4.9232876712328766"/>
    <s v="3 - 5 yrs"/>
    <n v="3.7750831032505552E-2"/>
    <n v="4.5329651590874365"/>
    <n v="3.4757912440670412E-2"/>
    <n v="1.4165874518245218"/>
    <n v="1.0862122449002351E-2"/>
    <s v="US68389XBT19"/>
    <s v="-"/>
    <n v="-4.13"/>
    <n v="4220595.3134674923"/>
    <n v="8.2793260378522353E-3"/>
  </r>
  <r>
    <s v="Investments"/>
    <s v="Investments Long"/>
    <s v="Avaliable for Trading"/>
    <s v="United States Dollar"/>
    <m/>
    <s v="ORIEAS 4.5 03/20/29"/>
    <s v="XS1964673435"/>
    <n v="3000000"/>
    <n v="111.476"/>
    <n v="2972370"/>
    <n v="23332807.260000002"/>
    <n v="2586031.6"/>
    <n v="116253"/>
    <n v="25918838.859999999"/>
    <n v="5.7000000000000002E-3"/>
    <m/>
    <s v="Investments"/>
    <s v="BBG00NL43H88"/>
    <s v="BOND"/>
    <s v="Corp"/>
    <s v="#N/A Field Not Applicable"/>
    <n v="0.4"/>
    <n v="6.9189999999999998E-3"/>
    <s v="High"/>
    <n v="1.1000000000000001"/>
    <n v="1.8787000000000002E-2"/>
    <s v="High"/>
    <n v="3358499.9819401447"/>
    <s v=""/>
    <s v=""/>
    <s v="BBB+"/>
    <s v=""/>
    <s v="A-"/>
    <n v="14"/>
    <n v="0"/>
    <n v="15"/>
    <n v="14"/>
    <s v="HK"/>
    <s v="Financial"/>
    <x v="10"/>
    <s v="Invest Mgmnt/Advis Serv"/>
    <s v="N"/>
    <s v=" "/>
    <s v="ACTV"/>
    <x v="2"/>
    <x v="1"/>
    <s v="Investment Grade"/>
    <s v="Hong Kong"/>
    <s v="High"/>
    <s v="High"/>
    <s v="#N/A Field Not Applicable"/>
    <s v="FINANCIAL"/>
    <s v="#N/A Field Not Applicable"/>
    <n v="8.5422244291908575E-2"/>
    <s v="3/20/2029"/>
    <n v="8.8931506849315074"/>
    <s v="7 - 10 yrs"/>
    <n v="5.4262349309498095E-2"/>
    <n v="7.3521452103717886"/>
    <n v="4.4859767444997457E-2"/>
    <n v="3.0281774691867591"/>
    <n v="1.8476693966580342E-2"/>
    <s v="XS1964673435"/>
    <s v="-"/>
    <n v="-5.51"/>
    <n v="3358499.9819401447"/>
    <n v="6.5881977027924948E-3"/>
  </r>
  <r>
    <s v="Investments"/>
    <s v="Investments Long"/>
    <s v="Avaliable for Trading"/>
    <s v="United States Dollar"/>
    <m/>
    <s v="PEMEX 5.95 01/28/31 REGS"/>
    <s v="USP78625EA73"/>
    <n v="2000000"/>
    <n v="69.491"/>
    <n v="1380000"/>
    <n v="10695414"/>
    <n v="75968.960000000006"/>
    <n v="235692.19"/>
    <n v="10771382.960000001"/>
    <n v="2.3999999999999998E-3"/>
    <m/>
    <s v="Investments"/>
    <s v="BBG00RHHSFZ2"/>
    <s v="BOND"/>
    <s v="Corp"/>
    <s v="#N/A Field Not Applicable"/>
    <n v="0.3"/>
    <n v="5.5919000000000003E-2"/>
    <s v="High"/>
    <n v="1.1000000000000001"/>
    <n v="0.156921"/>
    <s v="High"/>
    <n v="1419901.3351393191"/>
    <s v=""/>
    <s v=""/>
    <s v="BBB"/>
    <s v="Ba2"/>
    <s v="BB-"/>
    <n v="13"/>
    <n v="10"/>
    <n v="9"/>
    <n v="10"/>
    <s v="MX"/>
    <s v="Energy"/>
    <x v="25"/>
    <s v="Oil Comp-Integrated"/>
    <s v="N"/>
    <s v=" "/>
    <s v="ACTV"/>
    <x v="2"/>
    <x v="2"/>
    <s v="Non-Investment Grade"/>
    <s v="America - others (1)"/>
    <s v="High"/>
    <s v="High"/>
    <s v="#N/A Field Not Applicable"/>
    <s v="INDUSTRIAL"/>
    <s v="#N/A Field Not Applicable"/>
    <n v="2.5796201402178694E-2"/>
    <s v="1/28/2031"/>
    <n v="10.753424657534246"/>
    <s v="10 yrs or Above"/>
    <n v="2.7739750822890784E-2"/>
    <n v="7.0650223501603433"/>
    <n v="1.8225073945563004E-2"/>
    <n v="9.9385599462055261"/>
    <n v="2.5637709401994398E-2"/>
    <s v="USP78625EA73"/>
    <s v="-"/>
    <n v="-8.61"/>
    <n v="1419901.3351393191"/>
    <n v="2.7853478531069936E-3"/>
  </r>
  <r>
    <s v="Investments"/>
    <s v="Investments Long"/>
    <s v="Avaliable for Trading"/>
    <s v="United States Dollar"/>
    <m/>
    <s v="PETMK 3.5 04/21/30 REGS"/>
    <s v="USY68856AT38"/>
    <n v="1000000"/>
    <n v="104.217"/>
    <n v="987360"/>
    <n v="7653422.2999999998"/>
    <n v="423603.63"/>
    <n v="6781.42"/>
    <n v="8077025.9299999997"/>
    <n v="1.8E-3"/>
    <m/>
    <s v="Investments"/>
    <s v="BBG00T5WB7F6"/>
    <s v="BOND"/>
    <s v="Corp"/>
    <s v="#N/A Field Not Applicable"/>
    <n v="0.2"/>
    <n v="1.1827000000000001E-2"/>
    <s v="High"/>
    <n v="0.5"/>
    <n v="3.2960000000000003E-2"/>
    <s v="High"/>
    <n v="1042802.8057275541"/>
    <s v=""/>
    <s v=""/>
    <s v="A-"/>
    <s v="A2"/>
    <s v=""/>
    <n v="15"/>
    <n v="16"/>
    <n v="0"/>
    <n v="15"/>
    <s v="MY"/>
    <s v="Energy"/>
    <x v="25"/>
    <s v="Oil Comp-Integrated"/>
    <s v="N"/>
    <s v=" "/>
    <s v="ACTV"/>
    <x v="2"/>
    <x v="2"/>
    <s v="Investment Grade"/>
    <s v="Asia - others (1)"/>
    <s v="High"/>
    <s v="High"/>
    <s v="#N/A Field Not Applicable"/>
    <s v="INDUSTRIAL"/>
    <s v="#N/A Field Not Applicable"/>
    <n v="2.8417838479599965E-2"/>
    <s v="4/21/2030"/>
    <n v="9.9808219178082194"/>
    <s v="7 - 10 yrs"/>
    <n v="1.890889234359501E-2"/>
    <n v="8.2141723125151795"/>
    <n v="1.5561934801377233E-2"/>
    <n v="2.9772239523687163"/>
    <n v="5.6404179597340266E-3"/>
    <s v="USY68856AT38"/>
    <s v="-"/>
    <n v="-4.29"/>
    <n v="1042802.8057275541"/>
    <n v="2.0456129480730429E-3"/>
  </r>
  <r>
    <s v="Investments"/>
    <s v="Investments Long"/>
    <s v="Avaliable for Trading"/>
    <s v="United States Dollar"/>
    <m/>
    <s v="PETMK 4.55 04/21/50 REGS"/>
    <s v="USY68856AV83"/>
    <n v="2000000"/>
    <n v="109.974"/>
    <n v="2000000"/>
    <n v="15502800"/>
    <n v="1543609.9"/>
    <n v="17631.71"/>
    <n v="17046409.899999999"/>
    <n v="3.7000000000000002E-3"/>
    <m/>
    <s v="Investments"/>
    <s v="BBG00T5WB757"/>
    <s v="BOND"/>
    <s v="Corp"/>
    <s v="#N/A Field Not Applicable"/>
    <n v="0.3"/>
    <n v="2.7968E-2"/>
    <s v="High"/>
    <n v="0.6"/>
    <n v="7.8344999999999998E-2"/>
    <s v="High"/>
    <n v="2201243.7577399379"/>
    <s v=""/>
    <s v=""/>
    <s v="A-"/>
    <s v="A2"/>
    <s v=""/>
    <n v="15"/>
    <n v="16"/>
    <n v="0"/>
    <n v="15"/>
    <s v="MY"/>
    <s v="Energy"/>
    <x v="25"/>
    <s v="Oil Comp-Integrated"/>
    <s v="N"/>
    <s v=" "/>
    <s v="ACTV"/>
    <x v="2"/>
    <x v="2"/>
    <s v="Investment Grade"/>
    <s v="Asia - others (1)"/>
    <s v="High"/>
    <s v="High"/>
    <s v="#N/A Field Not Applicable"/>
    <s v="INDUSTRIAL"/>
    <s v="#N/A Field Not Applicable"/>
    <n v="5.9986978571694057E-2"/>
    <s v="4/21/2050"/>
    <n v="29.994520547945207"/>
    <s v="10 yrs or Above"/>
    <n v="0.11995204409185509"/>
    <n v="16.727350975120437"/>
    <n v="6.6894882967050359E-2"/>
    <n v="4.0050261515204095"/>
    <n v="1.6016627862021942E-2"/>
    <s v="USY68856AV83"/>
    <s v="-"/>
    <n v="-9.51"/>
    <n v="2201243.7577399379"/>
    <n v="4.3180673354212447E-3"/>
  </r>
  <r>
    <s v="Investments"/>
    <s v="Investments Long"/>
    <s v="Avaliable for Trading"/>
    <s v="United States Dollar"/>
    <m/>
    <s v="PHILIP 2.457 05/05/30"/>
    <s v="US718286CJ41"/>
    <n v="2000000"/>
    <n v="101.518"/>
    <n v="2000000"/>
    <n v="15500400"/>
    <n v="235296.08"/>
    <n v="0"/>
    <n v="15735696.08"/>
    <n v="3.5000000000000001E-3"/>
    <m/>
    <s v="Investments"/>
    <s v="BBG00THTNZZ3"/>
    <s v="BOND"/>
    <s v="Govt"/>
    <s v="#N/A Field Not Applicable"/>
    <s v="N.A."/>
    <s v="N.A."/>
    <s v="Not Covered"/>
    <s v="N.A."/>
    <s v="N.A."/>
    <s v="Not Covered"/>
    <n v="2029888.5552115585"/>
    <n v="2E-3"/>
    <n v="7.4414784394250511"/>
    <s v=""/>
    <s v="Baa2"/>
    <s v="BBB"/>
    <n v="0"/>
    <n v="13"/>
    <n v="13"/>
    <n v="13"/>
    <s v="PH"/>
    <s v="Government"/>
    <x v="24"/>
    <s v="Sovereign"/>
    <s v="N"/>
    <s v=" "/>
    <s v="ACTV"/>
    <x v="3"/>
    <x v="2"/>
    <s v="Investment Grade"/>
    <s v="Asia - others (1)"/>
    <s v="Medium"/>
    <s v="Medium"/>
    <s v="#N/A Field Not Applicable"/>
    <s v="GOVT NATIONAL"/>
    <s v="#N/A Field Not Applicable"/>
    <n v="4.7941667852435789E-2"/>
    <s v="5/5/2030"/>
    <n v="10.019178082191781"/>
    <s v="10 yrs or Above"/>
    <n v="3.6948931366987924E-2"/>
    <n v="8.8467229713271731"/>
    <n v="3.2625127251837013E-2"/>
    <n v="2.12486153128767"/>
    <n v="7.8361081358008892E-3"/>
    <s v="US718286CJ41"/>
    <s v="-"/>
    <n v="-6.1"/>
    <n v="2029888.5552115585"/>
    <n v="3.9819285955880962E-3"/>
  </r>
  <r>
    <s v="Investments"/>
    <s v="Investments Long"/>
    <s v="Avaliable for Trading"/>
    <s v="United States Dollar"/>
    <m/>
    <s v="PNSTTA 6.625 06/17/31 REGS"/>
    <s v="USG7150PAA87"/>
    <n v="5000000"/>
    <n v="102.3"/>
    <n v="5000000"/>
    <n v="38813000"/>
    <n v="829273"/>
    <n v="534844.53"/>
    <n v="39642273"/>
    <n v="8.6999999999999994E-3"/>
    <m/>
    <s v="Investments"/>
    <s v="BBG00D2WYB33"/>
    <s v="BOND"/>
    <s v="Corp"/>
    <s v="#N/A Field Not Applicable"/>
    <n v="0.5"/>
    <n v="6.4999999999999997E-3"/>
    <s v="High"/>
    <n v="1.3"/>
    <n v="2.4896000000000001E-2"/>
    <s v="High"/>
    <n v="5182806.6989164092"/>
    <s v=""/>
    <s v=""/>
    <s v="BBB"/>
    <s v="Ba2"/>
    <s v=""/>
    <n v="13"/>
    <n v="10"/>
    <n v="0"/>
    <n v="10"/>
    <s v="KY"/>
    <s v="Energy"/>
    <x v="22"/>
    <s v="Oil-Field Services"/>
    <s v="N"/>
    <s v=" "/>
    <s v="ACTV"/>
    <x v="2"/>
    <x v="2"/>
    <s v="Non-Investment Grade"/>
    <s v="America - others (2)"/>
    <s v="High"/>
    <s v="High"/>
    <s v="#N/A Field Not Applicable"/>
    <s v="SPECIAL PURPOSE"/>
    <s v="#N/A Field Not Applicable"/>
    <n v="9.4159165939998513E-2"/>
    <s v="6/17/2031"/>
    <n v="11.136986301369863"/>
    <s v="10 yrs or Above"/>
    <n v="0.10486493412221752"/>
    <n v="5.5795298480013038"/>
    <n v="5.2536387682512953E-2"/>
    <n v="6.8683609116861248"/>
    <n v="6.4671913481925331E-2"/>
    <s v="USG7150PAA87"/>
    <s v="-"/>
    <n v="-4.33"/>
    <n v="5182806.6989164092"/>
    <n v="1.0166846917204235E-2"/>
  </r>
  <r>
    <s v="Investments"/>
    <s v="Investments Long"/>
    <s v="Avaliable for Trading"/>
    <s v="United States Dollar"/>
    <m/>
    <s v="POSABK V4.5 PERP"/>
    <s v="XS1684793018 Perfshs"/>
    <n v="8300000"/>
    <n v="100.634"/>
    <n v="8602858.4399999995"/>
    <n v="67459236.579999998"/>
    <n v="-2724745.66"/>
    <n v="0"/>
    <n v="64734490.920000002"/>
    <n v="1.4200000000000001E-2"/>
    <m/>
    <s v="Investments"/>
    <s v="BBG00HPPFXF4"/>
    <s v="BOND"/>
    <s v="Equity"/>
    <s v="#N/A Field Not Applicable"/>
    <n v="0.4"/>
    <n v="4.7999999999999996E-3"/>
    <s v="High"/>
    <n v="1"/>
    <n v="1.3127E-2"/>
    <s v="High"/>
    <n v="8350682.5232198145"/>
    <s v=""/>
    <s v=""/>
    <s v=""/>
    <s v=""/>
    <s v=""/>
    <n v="0"/>
    <n v="0"/>
    <n v="0"/>
    <n v="0"/>
    <s v="CN"/>
    <s v="Financial"/>
    <x v="5"/>
    <s v="Money Center Banks"/>
    <s v="Y"/>
    <s v="Common Equity Tier 1 Ratio"/>
    <s v="ACTV"/>
    <x v="1"/>
    <x v="1"/>
    <s v=""/>
    <s v="China"/>
    <s v="High"/>
    <s v="High"/>
    <s v="Financials"/>
    <s v="BANK"/>
    <s v="#N/A Field Not Applicable"/>
    <s v=""/>
    <s v=""/>
    <s v=""/>
    <s v=""/>
    <s v=""/>
    <s v=""/>
    <s v=""/>
    <s v=""/>
    <s v=""/>
    <s v="XS1684793018"/>
    <s v="-"/>
    <n v="-5.59"/>
    <n v="8350682.5232198145"/>
    <n v="1.6381106956101427E-2"/>
  </r>
  <r>
    <s v="Investments"/>
    <s v="Investments Long"/>
    <s v="Avaliable for Trading"/>
    <s v="United States Dollar"/>
    <m/>
    <s v="PRUFIN 3.125 04/14/30"/>
    <s v="US74435KAA34"/>
    <n v="2000000"/>
    <n v="103.473"/>
    <n v="1981160"/>
    <n v="15357556.09"/>
    <n v="681172.8"/>
    <n v="53820.83"/>
    <n v="16038728.890000001"/>
    <n v="3.5000000000000001E-3"/>
    <m/>
    <s v="Investments"/>
    <s v="BBG00T2MWMJ1"/>
    <s v="BOND"/>
    <s v="Corp"/>
    <s v="#N/A Field Not Applicable"/>
    <n v="0.2"/>
    <n v="1.0115000000000001E-2"/>
    <s v="High"/>
    <n v="1.7"/>
    <n v="2.7099000000000002E-2"/>
    <s v="High"/>
    <n v="2075922.306501548"/>
    <s v=""/>
    <s v=""/>
    <s v="A"/>
    <s v="A2"/>
    <s v=""/>
    <n v="16"/>
    <n v="16"/>
    <n v="0"/>
    <n v="16"/>
    <s v="GB"/>
    <s v="Financial"/>
    <x v="1"/>
    <s v="Life/Health Insurance"/>
    <s v="N"/>
    <s v=" "/>
    <s v="ACTV"/>
    <x v="2"/>
    <x v="1"/>
    <s v="Investment Grade"/>
    <s v="United Kingdom"/>
    <s v="High"/>
    <s v="High"/>
    <s v="Financials"/>
    <s v="FINANCIAL"/>
    <s v="#N/A Field Not Applicable"/>
    <n v="6.0343246211298086E-2"/>
    <s v="4/14/2030"/>
    <n v="9.9616438356164387"/>
    <s v="7 - 10 yrs"/>
    <n v="3.7569870415116412E-2"/>
    <n v="8.5055284806711224"/>
    <n v="3.2078199954146604E-2"/>
    <n v="2.7915859463241217"/>
    <n v="1.0528334879939753E-2"/>
    <s v="US74435KAA34"/>
    <s v="-"/>
    <n v="-7.15"/>
    <n v="2075922.306501548"/>
    <n v="4.0722306519020675E-3"/>
  </r>
  <r>
    <s v="Investments"/>
    <s v="Investments Long"/>
    <s v="Avaliable for Trading"/>
    <s v="United States Dollar"/>
    <m/>
    <s v="PWCNPG 4.5 12/06/21"/>
    <s v="XS1917764372"/>
    <n v="4000000"/>
    <n v="103.727"/>
    <n v="3977274.31"/>
    <n v="31100002.75"/>
    <n v="1056197.07"/>
    <n v="558014.39"/>
    <n v="32156199.82"/>
    <n v="7.1000000000000004E-3"/>
    <m/>
    <s v="Investments"/>
    <s v="BBG00MNS44N6"/>
    <s v="BOND"/>
    <s v="Corp"/>
    <s v="#N/A Field Not Applicable"/>
    <n v="1.9"/>
    <n v="4.9690000000000003E-3"/>
    <s v="High"/>
    <n v="6.7"/>
    <n v="1.2956000000000001E-2"/>
    <s v="Medium"/>
    <n v="4220099.872291022"/>
    <s v=""/>
    <s v=""/>
    <s v=""/>
    <s v="Baa1"/>
    <s v="BBB+"/>
    <n v="0"/>
    <n v="14"/>
    <n v="14"/>
    <n v="14"/>
    <s v="CN"/>
    <s v="Financial"/>
    <x v="16"/>
    <s v="Real Estate Oper/Develop"/>
    <s v="N"/>
    <s v=" "/>
    <s v="ACTV"/>
    <x v="2"/>
    <x v="1"/>
    <s v="Investment Grade"/>
    <s v="China"/>
    <s v="High"/>
    <s v="Medium"/>
    <s v="#N/A Field Not Applicable"/>
    <s v="FINANCIAL"/>
    <s v="#N/A Field Not Applicable"/>
    <n v="0.10733672894613121"/>
    <s v="12/6/2021"/>
    <n v="1.6027397260273972"/>
    <s v="1 - 2 yrs"/>
    <n v="1.2288059967414238E-2"/>
    <n v="1.5015562919732075"/>
    <n v="1.151229576492043E-2"/>
    <n v="2.0828773005968628"/>
    <n v="1.5969231160158207E-2"/>
    <s v="XS1917764372"/>
    <s v="-"/>
    <n v="-0.99"/>
    <n v="4220099.872291022"/>
    <n v="8.278354156227033E-3"/>
  </r>
  <r>
    <s v="Investments"/>
    <s v="Investments Long"/>
    <s v="Avaliable for Trading"/>
    <s v="United States Dollar"/>
    <m/>
    <s v="PWRLNG 5.95 07/19/20"/>
    <s v="XS1645451565"/>
    <n v="1500000"/>
    <n v="100.008"/>
    <n v="1440000"/>
    <n v="11170944"/>
    <n v="455286.02"/>
    <n v="194061.78"/>
    <n v="11626230.02"/>
    <n v="2.5999999999999999E-3"/>
    <m/>
    <s v="Investments"/>
    <s v="BBG00H4BZMF0"/>
    <s v="BOND"/>
    <s v="Corp"/>
    <s v="#N/A Field Not Applicable"/>
    <n v="0.3"/>
    <n v="3.4280000000000001E-3"/>
    <s v="High"/>
    <n v="0.7"/>
    <n v="8.9899999999999997E-3"/>
    <s v="High"/>
    <n v="1524805.4437564497"/>
    <s v=""/>
    <s v=""/>
    <s v="B"/>
    <s v="B2"/>
    <s v=""/>
    <n v="7"/>
    <n v="7"/>
    <n v="0"/>
    <n v="7"/>
    <s v="CN"/>
    <s v="Financial"/>
    <x v="16"/>
    <s v="Real Estate Oper/Develop"/>
    <s v="N"/>
    <s v=" "/>
    <s v="ACTV"/>
    <x v="2"/>
    <x v="1"/>
    <s v="Non-Investment Grade"/>
    <s v="China"/>
    <s v="High"/>
    <s v="High"/>
    <s v="Real Estate"/>
    <s v="FINANCIAL"/>
    <s v="#N/A Field Not Applicable"/>
    <n v="1.9391440198691188E-2"/>
    <s v="7/19/2020"/>
    <n v="0.21917808219178081"/>
    <s v="0 - 1 yr"/>
    <n v="6.0716838195510562E-4"/>
    <n v="0.196804078735551"/>
    <n v="5.4518778909413567E-4"/>
    <n v="8.1195505751039398"/>
    <n v="2.2492825631053814E-2"/>
    <s v="XS1645451565"/>
    <s v="-"/>
    <n v="-0.3"/>
    <n v="1524805.4437564497"/>
    <n v="2.9911328794941668E-3"/>
  </r>
  <r>
    <s v="Investments"/>
    <s v="Investments Long"/>
    <s v="Avaliable for Trading"/>
    <s v="United States Dollar"/>
    <m/>
    <s v="PWRLNG 7.125 11/08/22"/>
    <s v="XS2078556342"/>
    <n v="6000000"/>
    <n v="97.19"/>
    <n v="6037407.5"/>
    <n v="47253281.93"/>
    <n v="-2058765.66"/>
    <n v="1582978.36"/>
    <n v="45194516.270000003"/>
    <n v="9.9000000000000008E-3"/>
    <m/>
    <s v="Investments"/>
    <s v="BBG00QRVV8P5"/>
    <s v="BOND"/>
    <s v="Corp"/>
    <s v="#N/A Field Not Applicable"/>
    <n v="0.4"/>
    <n v="9.5469999999999999E-3"/>
    <s v="High"/>
    <n v="4.8"/>
    <n v="2.4913000000000001E-2"/>
    <s v="Medium"/>
    <n v="6034248.5332817342"/>
    <s v=""/>
    <s v=""/>
    <s v=""/>
    <s v="B2"/>
    <s v=""/>
    <n v="0"/>
    <n v="7"/>
    <n v="0"/>
    <n v="7"/>
    <s v="CN"/>
    <s v="Financial"/>
    <x v="16"/>
    <s v="Real Estate Oper/Develop"/>
    <s v="N"/>
    <s v=" "/>
    <s v="ACTV"/>
    <x v="2"/>
    <x v="1"/>
    <s v="Non-Investment Grade"/>
    <s v="China"/>
    <s v="High"/>
    <s v="Medium"/>
    <s v="Real Estate"/>
    <s v="FINANCIAL"/>
    <s v="#N/A Field Not Applicable"/>
    <n v="7.6739475227019641E-2"/>
    <s v="11/8/2022"/>
    <n v="2.526027397260274"/>
    <s v="2 - 3 yrs"/>
    <n v="2.7692288124975387E-2"/>
    <n v="2.1609505532010616"/>
    <n v="2.3690030206312464E-2"/>
    <n v="8.3777688337598981"/>
    <n v="9.1843654839430702E-2"/>
    <s v="XS2078556342"/>
    <s v="-"/>
    <n v="-4.2"/>
    <n v="6034248.5332817342"/>
    <n v="1.1837076831568139E-2"/>
  </r>
  <r>
    <s v="Investments"/>
    <s v="Investments Long"/>
    <s v="Avaliable for Trading"/>
    <s v="United States Dollar"/>
    <m/>
    <s v="PWRLNG 9.125 01/14/21"/>
    <s v="XS1932406314"/>
    <n v="1000000"/>
    <n v="101.502"/>
    <n v="1037500"/>
    <n v="8118852.5"/>
    <n v="-252244.5"/>
    <n v="208232.8"/>
    <n v="7866608"/>
    <n v="1.6999999999999999E-3"/>
    <m/>
    <s v="Investments"/>
    <s v="BBG00N0J9QB8"/>
    <s v="BOND"/>
    <s v="Corp"/>
    <s v="#N/A Field Not Applicable"/>
    <n v="0.2"/>
    <n v="6.1929999999999997E-3"/>
    <s v="High"/>
    <n v="0.6"/>
    <n v="1.6368000000000001E-2"/>
    <s v="High"/>
    <n v="1041646.1300309597"/>
    <s v=""/>
    <s v=""/>
    <s v="B"/>
    <s v="B2"/>
    <s v=""/>
    <n v="7"/>
    <n v="7"/>
    <n v="0"/>
    <n v="7"/>
    <s v="CN"/>
    <s v="Financial"/>
    <x v="16"/>
    <s v="Real Estate Oper/Develop"/>
    <s v="N"/>
    <s v=" "/>
    <s v="ACTV"/>
    <x v="2"/>
    <x v="1"/>
    <s v="Non-Investment Grade"/>
    <s v="China"/>
    <s v="High"/>
    <s v="High"/>
    <s v="Real Estate"/>
    <s v="FINANCIAL"/>
    <s v="#N/A Field Not Applicable"/>
    <n v="1.3246948141090032E-2"/>
    <s v="1/14/2021"/>
    <n v="0.70958904109589038"/>
    <s v="0 - 1 yr"/>
    <n v="1.3428413184118661E-3"/>
    <n v="0.63955143492816346"/>
    <n v="1.2103006702932997E-3"/>
    <n v="7.7794739577816499"/>
    <n v="1.4722041154813419E-2"/>
    <s v="XS1932406314"/>
    <s v="-"/>
    <n v="-1.1100000000000001"/>
    <n v="1041646.1300309597"/>
    <n v="2.0433439564969949E-3"/>
  </r>
  <r>
    <s v="Investments"/>
    <s v="Investments Long"/>
    <s v="Avaliable for Trading"/>
    <s v="United States Dollar"/>
    <m/>
    <s v="QATAR 3.75 04/16/30 REGS"/>
    <s v="XS2155352664"/>
    <n v="1000000"/>
    <n v="108.045"/>
    <n v="998100"/>
    <n v="7737670.4400000004"/>
    <n v="636033.15"/>
    <n v="11302.38"/>
    <n v="8373703.5899999999"/>
    <n v="1.8E-3"/>
    <m/>
    <s v="Investments"/>
    <s v="BBG00T21B8F5"/>
    <s v="BOND"/>
    <s v="Govt"/>
    <s v="#N/A Field Not Applicable"/>
    <n v="0.3"/>
    <n v="1.3258000000000001E-2"/>
    <s v="High"/>
    <n v="0.9"/>
    <n v="3.7246000000000001E-2"/>
    <s v="High"/>
    <n v="1081657.116873065"/>
    <s v=""/>
    <s v=""/>
    <s v="AA-"/>
    <s v="Aa3"/>
    <s v="AA-"/>
    <n v="18"/>
    <n v="18"/>
    <n v="18"/>
    <n v="18"/>
    <s v="QA"/>
    <s v="Government"/>
    <x v="24"/>
    <s v="Sovereign"/>
    <s v="N"/>
    <s v=" "/>
    <s v="ACTV"/>
    <x v="3"/>
    <x v="2"/>
    <s v="Investment Grade"/>
    <s v="Qatar"/>
    <s v="High"/>
    <s v="High"/>
    <s v="#N/A Field Not Applicable"/>
    <s v="GOVT NATIONAL"/>
    <s v="#N/A Field Not Applicable"/>
    <n v="3.5372007519096769E-2"/>
    <s v="4/16/2030"/>
    <n v="9.9671232876712335"/>
    <s v="7 - 10 yrs"/>
    <n v="1.9586508881959522E-2"/>
    <n v="8.3447864206149731"/>
    <n v="1.6398436000847189E-2"/>
    <n v="2.6634750782179428"/>
    <n v="5.2340255829806635E-3"/>
    <s v="XS2155352664"/>
    <s v="-"/>
    <n v="-5.65"/>
    <n v="1081657.116873065"/>
    <n v="2.1218314637225693E-3"/>
  </r>
  <r>
    <s v="Investments"/>
    <s v="Investments Long"/>
    <s v="Avaliable for Trading"/>
    <s v="United States Dollar"/>
    <m/>
    <s v="REDSUN 11.5 03/04/21"/>
    <s v="XS1958110089"/>
    <n v="3700000"/>
    <n v="97.903999999999996"/>
    <n v="3812161"/>
    <n v="29691192.649999999"/>
    <n v="-1616496.16"/>
    <n v="512977.13"/>
    <n v="28074696.489999998"/>
    <n v="6.1999999999999998E-3"/>
    <m/>
    <s v="Investments"/>
    <s v="BBG00NG9L0S8"/>
    <s v="BOND"/>
    <s v="Corp"/>
    <s v="#N/A Field Not Applicable"/>
    <n v="0.3"/>
    <n v="4.1050000000000001E-3"/>
    <s v="High"/>
    <n v="2"/>
    <n v="1.0042000000000001E-2"/>
    <s v="High"/>
    <n v="3687780.3947368418"/>
    <s v=""/>
    <s v=""/>
    <s v=""/>
    <s v=""/>
    <s v="B+"/>
    <n v="0"/>
    <n v="0"/>
    <n v="8"/>
    <n v="8"/>
    <s v="CN"/>
    <s v="Financial"/>
    <x v="16"/>
    <s v="Real Estate Oper/Develop"/>
    <s v="N"/>
    <s v=" "/>
    <s v="ACTV"/>
    <x v="2"/>
    <x v="1"/>
    <s v="Non-Investment Grade"/>
    <s v="China"/>
    <s v="High"/>
    <s v="High"/>
    <s v="Real Estate"/>
    <s v="FINANCIAL"/>
    <s v="#N/A Field Not Applicable"/>
    <n v="5.3598499239556521E-2"/>
    <s v="3/4/2021"/>
    <n v="0.84383561643835614"/>
    <s v="0 - 1 yr"/>
    <n v="5.6535403307477429E-3"/>
    <n v="0.74504367172749608"/>
    <n v="4.9916528340653247E-3"/>
    <n v="14.081324725478012"/>
    <n v="9.4342234073810219E-2"/>
    <s v="XS1958110089"/>
    <s v="-"/>
    <n v="-2.41"/>
    <n v="3687780.3947368418"/>
    <n v="7.2341302532844447E-3"/>
  </r>
  <r>
    <s v="Investments"/>
    <s v="Investments Long"/>
    <s v="Avaliable for Trading"/>
    <s v="United States Dollar"/>
    <m/>
    <s v="REDSUN 13.5 12/03/20"/>
    <s v="XS1908223545"/>
    <n v="1100000"/>
    <n v="99.68"/>
    <n v="1155000"/>
    <n v="9014775"/>
    <n v="-516835.7"/>
    <n v="469952.75"/>
    <n v="8497939.3000000007"/>
    <n v="1.9E-3"/>
    <m/>
    <s v="Investments"/>
    <s v="BBG00MNWHQT8"/>
    <s v="BOND"/>
    <s v="Corp"/>
    <s v="#N/A Field Not Applicable"/>
    <n v="0.3"/>
    <n v="6.9179999999999997E-3"/>
    <s v="High"/>
    <n v="1.9"/>
    <n v="1.7519E-2"/>
    <s v="High"/>
    <n v="1156848.8196594429"/>
    <s v=""/>
    <s v=""/>
    <s v=""/>
    <s v=""/>
    <s v="B+"/>
    <n v="0"/>
    <n v="0"/>
    <n v="8"/>
    <n v="8"/>
    <s v="CN"/>
    <s v="Financial"/>
    <x v="16"/>
    <s v="Real Estate Oper/Develop"/>
    <s v="N"/>
    <s v=" "/>
    <s v="ACTV"/>
    <x v="2"/>
    <x v="1"/>
    <s v="Non-Investment Grade"/>
    <s v="China"/>
    <s v="High"/>
    <s v="High"/>
    <s v="Real Estate"/>
    <s v="FINANCIAL"/>
    <s v="#N/A Field Not Applicable"/>
    <n v="1.6813734535085618E-2"/>
    <s v="12/3/2020"/>
    <n v="0.59452054794520548"/>
    <s v="0 - 1 yr"/>
    <n v="1.2495138336005409E-3"/>
    <n v="0.5063945124891005"/>
    <n v="1.0642978628769794E-3"/>
    <n v="13.511291606066422"/>
    <n v="2.8396908786316431E-2"/>
    <s v="XS1908223545"/>
    <s v="-"/>
    <n v="-1.6"/>
    <n v="1156848.8196594429"/>
    <n v="2.2693311827132181E-3"/>
  </r>
  <r>
    <s v="Investments"/>
    <s v="Investments Long"/>
    <s v="Avaliable for Trading"/>
    <s v="United States Dollar"/>
    <m/>
    <s v="REDSUN 9.95 04/11/22"/>
    <s v="XS1976473618"/>
    <n v="410000"/>
    <n v="92.298000000000002"/>
    <n v="415125"/>
    <n v="3224358.9"/>
    <n v="-291514.27"/>
    <n v="16686.72"/>
    <n v="2932844.63"/>
    <n v="5.9999999999999995E-4"/>
    <m/>
    <s v="Investments"/>
    <s v="BBG00NTXM180"/>
    <s v="BOND"/>
    <s v="Corp"/>
    <s v="#N/A Field Not Applicable"/>
    <n v="0.3"/>
    <n v="1.0972000000000001E-2"/>
    <s v="High"/>
    <n v="1.5"/>
    <n v="2.8990999999999999E-2"/>
    <s v="High"/>
    <n v="380486.50025799795"/>
    <s v=""/>
    <s v=""/>
    <s v=""/>
    <s v="B3"/>
    <s v="B+"/>
    <n v="0"/>
    <n v="6"/>
    <n v="8"/>
    <n v="6"/>
    <s v="CN"/>
    <s v="Financial"/>
    <x v="16"/>
    <s v="Real Estate Oper/Develop"/>
    <s v="N"/>
    <s v=" "/>
    <s v="ACTV"/>
    <x v="2"/>
    <x v="1"/>
    <s v="Non-Investment Grade"/>
    <s v="China"/>
    <s v="High"/>
    <s v="High"/>
    <s v="Real Estate"/>
    <s v="FINANCIAL"/>
    <s v="#N/A Field Not Applicable"/>
    <n v="4.1475162316834003E-3"/>
    <s v="4/11/2022"/>
    <n v="1.9479452054794522"/>
    <s v="1 - 2 yrs"/>
    <n v="1.3465223930259809E-3"/>
    <n v="1.6617895058804171"/>
    <n v="1.1487164915466946E-3"/>
    <n v="14.652087080281111"/>
    <n v="1.0128294832250759E-2"/>
    <s v="XS1976473618"/>
    <s v="-"/>
    <n v="-5.39"/>
    <n v="380486.50025799795"/>
    <n v="7.4638091422445422E-4"/>
  </r>
  <r>
    <s v="Investments"/>
    <s v="Investments Long"/>
    <s v="Avaliable for Trading"/>
    <s v="United States Dollar"/>
    <m/>
    <s v="RIBL V3.174 02/25/30"/>
    <s v="XS2120069047"/>
    <n v="5000000"/>
    <n v="96.134"/>
    <n v="5000000"/>
    <n v="38838000"/>
    <n v="-1585113.66"/>
    <n v="222075.51999999999"/>
    <n v="37252886.340000004"/>
    <n v="8.2000000000000007E-3"/>
    <m/>
    <s v="Investments"/>
    <s v="BBG00RPXTTD1"/>
    <s v="BOND"/>
    <s v="Corp"/>
    <s v="#N/A Field Not Applicable"/>
    <n v="0.5"/>
    <n v="1.2873000000000001E-2"/>
    <s v="High"/>
    <n v="1.4"/>
    <n v="3.4674000000000003E-2"/>
    <s v="High"/>
    <n v="4834231.4060887527"/>
    <s v=""/>
    <s v=""/>
    <s v=""/>
    <s v="Baa3"/>
    <s v="BBB-"/>
    <n v="0"/>
    <n v="12"/>
    <n v="12"/>
    <n v="12"/>
    <s v="SA"/>
    <s v="Financial"/>
    <x v="5"/>
    <s v="Commer Banks Non-US"/>
    <s v="N"/>
    <s v=" "/>
    <s v="ACTV"/>
    <x v="2"/>
    <x v="1"/>
    <s v="Investment Grade"/>
    <s v="Saudi Arabia"/>
    <s v="High"/>
    <s v="High"/>
    <s v="Financials"/>
    <s v="BANK"/>
    <s v="#N/A Field Not Applicable"/>
    <n v="0.10539166677856562"/>
    <s v="2/25/2030"/>
    <n v="9.830136986301369"/>
    <s v="7 - 10 yrs"/>
    <n v="8.6334543470660594E-2"/>
    <n v="4.3672462380199955"/>
    <n v="3.8355946688112305E-2"/>
    <n v="3.1206932941802616"/>
    <n v="2.7407922314862533E-2"/>
    <s v="XS2120069047"/>
    <s v="-"/>
    <n v="-3.95"/>
    <n v="4834231.4060887527"/>
    <n v="9.483064587054944E-3"/>
  </r>
  <r>
    <s v="Investments"/>
    <s v="Investments Long"/>
    <s v="Avaliable for Trading"/>
    <s v="United States Dollar"/>
    <m/>
    <s v="ROADKG 6.7 09/30/24"/>
    <s v="XS2057076387"/>
    <n v="1400000"/>
    <n v="95.792000000000002"/>
    <n v="1448300"/>
    <n v="11256911.75"/>
    <n v="-863211.53"/>
    <n v="60580.73"/>
    <n v="10393700.220000001"/>
    <n v="2.3E-3"/>
    <m/>
    <s v="Investments"/>
    <s v="BBG00QDN9PZ4"/>
    <s v="BOND"/>
    <s v="Corp"/>
    <s v="#N/A Field Not Applicable"/>
    <n v="0.3"/>
    <n v="1.0328E-2"/>
    <s v="High"/>
    <n v="1.7"/>
    <n v="2.7175999999999999E-2"/>
    <s v="High"/>
    <n v="1348591.4538183697"/>
    <s v=""/>
    <s v=""/>
    <s v="BB-"/>
    <s v="Ba3"/>
    <s v=""/>
    <n v="9"/>
    <n v="9"/>
    <n v="0"/>
    <n v="9"/>
    <s v="CN"/>
    <s v="Financial"/>
    <x v="16"/>
    <s v="Real Estate Oper/Develop"/>
    <s v="N"/>
    <s v=" "/>
    <s v="ACTV"/>
    <x v="2"/>
    <x v="1"/>
    <s v="Non-Investment Grade"/>
    <s v="China"/>
    <s v="High"/>
    <s v="High"/>
    <s v="#N/A Field Not Applicable"/>
    <s v="SPECIAL PURPOSE"/>
    <s v="#N/A Field Not Applicable"/>
    <n v="2.2050604715917108E-2"/>
    <s v="9/30/2024"/>
    <n v="4.4219178082191783"/>
    <s v="3 - 5 yrs"/>
    <n v="1.0833995741701739E-2"/>
    <n v="3.6982852289241732"/>
    <n v="9.0610473010802172E-3"/>
    <n v="7.7873712917006905"/>
    <n v="1.9079582903263639E-2"/>
    <s v="XS2057076387"/>
    <s v="-"/>
    <n v="-4.1500000000000004"/>
    <n v="1348591.4538183697"/>
    <n v="2.6454629048171655E-3"/>
  </r>
  <r>
    <s v="Investments"/>
    <s v="Investments Long"/>
    <s v="Avaliable for Trading"/>
    <s v="United States Dollar"/>
    <m/>
    <s v="RONXIN 10.5 03/01/22"/>
    <s v="XS1957481440"/>
    <n v="6000000"/>
    <n v="103.426"/>
    <n v="6165609.4400000004"/>
    <n v="48393696.890000001"/>
    <n v="-299365.71000000002"/>
    <n v="800208.15"/>
    <n v="48094331.18"/>
    <n v="1.06E-2"/>
    <m/>
    <s v="Investments"/>
    <s v="BBG00NG9J699"/>
    <s v="BOND"/>
    <s v="Corp"/>
    <s v="#N/A Field Not Applicable"/>
    <n v="0.3"/>
    <n v="1.0381E-2"/>
    <s v="High"/>
    <n v="3"/>
    <n v="2.7272999999999999E-2"/>
    <s v="High"/>
    <n v="6307345.1148090819"/>
    <s v=""/>
    <s v=""/>
    <s v=""/>
    <s v=""/>
    <s v="BB-"/>
    <n v="0"/>
    <n v="0"/>
    <n v="9"/>
    <n v="9"/>
    <s v="CN"/>
    <s v="Financial"/>
    <x v="16"/>
    <s v="Real Estate Oper/Develop"/>
    <s v="N"/>
    <s v=" "/>
    <s v="ACTV"/>
    <x v="2"/>
    <x v="1"/>
    <s v="Non-Investment Grade"/>
    <s v="China"/>
    <s v="High"/>
    <s v="High"/>
    <s v="Real Estate"/>
    <s v="FINANCIAL"/>
    <s v="#N/A Field Not Applicable"/>
    <n v="0.10313039841661155"/>
    <s v="3/1/2022"/>
    <n v="1.8356164383561644"/>
    <s v="1 - 2 yrs"/>
    <n v="2.1034206069750302E-2"/>
    <n v="1.6065768247256231"/>
    <n v="1.8409656446760913E-2"/>
    <n v="8.4910882993116878"/>
    <n v="9.7298813255404779E-2"/>
    <s v="XS1957481440"/>
    <s v="-"/>
    <n v="-3.17"/>
    <n v="6307345.1148090819"/>
    <n v="1.2372796432799038E-2"/>
  </r>
  <r>
    <s v="Investments"/>
    <s v="Investments Long"/>
    <s v="Avaliable for Trading"/>
    <s v="United States Dollar"/>
    <m/>
    <s v="RONXIN 11.25 08/22/21"/>
    <s v="XS1950819729"/>
    <n v="4000000"/>
    <n v="103.88"/>
    <n v="4237681.24"/>
    <n v="33254139.190000001"/>
    <n v="-1050508.1499999999"/>
    <n v="658767.02"/>
    <n v="32203631.039999999"/>
    <n v="7.1000000000000004E-3"/>
    <m/>
    <s v="Investments"/>
    <s v="BBG00NDFM319"/>
    <s v="BOND"/>
    <s v="Corp"/>
    <s v="#N/A Field Not Applicable"/>
    <n v="0.2"/>
    <n v="8.2880000000000002E-3"/>
    <s v="High"/>
    <n v="0.8"/>
    <n v="2.2221000000000001E-2"/>
    <s v="High"/>
    <n v="4239215.4360165121"/>
    <s v=""/>
    <s v=""/>
    <s v=""/>
    <s v=""/>
    <s v="BB-"/>
    <n v="0"/>
    <n v="0"/>
    <n v="9"/>
    <n v="9"/>
    <s v="CN"/>
    <s v="Financial"/>
    <x v="16"/>
    <s v="Real Estate Oper/Develop"/>
    <s v="N"/>
    <s v=" "/>
    <s v="ACTV"/>
    <x v="2"/>
    <x v="1"/>
    <s v="Non-Investment Grade"/>
    <s v="China"/>
    <s v="High"/>
    <s v="High"/>
    <s v="Real Estate"/>
    <s v="FINANCIAL"/>
    <s v="#N/A Field Not Applicable"/>
    <n v="6.9314738441019333E-2"/>
    <s v="8/22/2021"/>
    <n v="1.3123287671232877"/>
    <s v="1 - 2 yrs"/>
    <n v="1.0107080582419563E-2"/>
    <n v="1.1680492883881397"/>
    <n v="8.9958923234269624E-3"/>
    <n v="8.0408610831398093"/>
    <n v="6.1927798090934141E-2"/>
    <s v="XS1950819729"/>
    <s v="-"/>
    <n v="-2.23"/>
    <n v="4239215.4360165121"/>
    <n v="8.3158521802559355E-3"/>
  </r>
  <r>
    <s v="Investments"/>
    <s v="Investments Long"/>
    <s v="Avaliable for Trading"/>
    <s v="United States Dollar"/>
    <m/>
    <s v="RONXIN 8.75 10/25/22"/>
    <s v="XS1976760782"/>
    <n v="3100000"/>
    <n v="100.241"/>
    <n v="3269250"/>
    <n v="25442212.329999998"/>
    <n v="-1358690.59"/>
    <n v="29197.8"/>
    <n v="24083521.739999998"/>
    <n v="5.3E-3"/>
    <m/>
    <s v="Investments"/>
    <s v="BBG00NWVJPB7"/>
    <s v="BOND"/>
    <s v="Corp"/>
    <s v="#N/A Field Not Applicable"/>
    <n v="0.3"/>
    <n v="9.3360000000000005E-3"/>
    <s v="High"/>
    <n v="1.6"/>
    <n v="2.4621000000000001E-2"/>
    <s v="High"/>
    <n v="3110515.9365325077"/>
    <s v=""/>
    <s v=""/>
    <s v=""/>
    <s v="B2"/>
    <s v="BB-"/>
    <n v="0"/>
    <n v="7"/>
    <n v="9"/>
    <n v="7"/>
    <s v="CN"/>
    <s v="Financial"/>
    <x v="16"/>
    <s v="Real Estate Oper/Develop"/>
    <s v="N"/>
    <s v=" "/>
    <s v="ACTV"/>
    <x v="2"/>
    <x v="1"/>
    <s v="Non-Investment Grade"/>
    <s v="China"/>
    <s v="High"/>
    <s v="High"/>
    <s v="Real Estate"/>
    <s v="FINANCIAL"/>
    <s v="#N/A Field Not Applicable"/>
    <n v="3.955742945260645E-2"/>
    <s v="10/25/2022"/>
    <n v="2.4876712328767123"/>
    <s v="2 - 3 yrs"/>
    <n v="1.4057982756542724E-2"/>
    <n v="2.1706383355724208"/>
    <n v="1.2266410403789875E-2"/>
    <n v="8.7562974239164486"/>
    <n v="4.9482373944659222E-2"/>
    <s v="XS1976760782"/>
    <s v="-"/>
    <n v="-3.98"/>
    <n v="3110515.9365325077"/>
    <n v="6.101740079725906E-3"/>
  </r>
  <r>
    <s v="Investments"/>
    <s v="Investments Long"/>
    <s v="Avaliable for Trading"/>
    <s v="United States Dollar"/>
    <m/>
    <s v="SHCMBK V5 01/17/29"/>
    <s v="XS1892105823"/>
    <n v="1500000"/>
    <n v="109.646"/>
    <n v="1495507.5"/>
    <n v="11723282.57"/>
    <n v="1023393.87"/>
    <n v="166306.38"/>
    <n v="12746676.439999999"/>
    <n v="2.8E-3"/>
    <m/>
    <s v="Investments"/>
    <s v="BBG00N14WRV0"/>
    <s v="BOND"/>
    <s v="Corp"/>
    <s v="#N/A Field Not Applicable"/>
    <n v="1.5"/>
    <n v="1.6431999999999999E-2"/>
    <s v="High"/>
    <n v="1.9"/>
    <n v="4.3033000000000002E-2"/>
    <s v="High"/>
    <n v="1665761.4576883386"/>
    <s v=""/>
    <s v=""/>
    <s v=""/>
    <s v="A3"/>
    <s v="BBB+"/>
    <n v="0"/>
    <n v="15"/>
    <n v="14"/>
    <n v="14"/>
    <s v="HK"/>
    <s v="Financial"/>
    <x v="5"/>
    <s v="Commer Banks Non-US"/>
    <s v="N"/>
    <s v=" "/>
    <s v="ACTV"/>
    <x v="2"/>
    <x v="1"/>
    <s v="Investment Grade"/>
    <s v="Hong Kong"/>
    <s v="High"/>
    <s v="High"/>
    <s v="#N/A Field Not Applicable"/>
    <s v="BANK"/>
    <s v="#N/A Field Not Applicable"/>
    <n v="4.2368046132457871E-2"/>
    <s v="1/17/2029"/>
    <n v="8.7232876712328764"/>
    <s v="7 - 10 yrs"/>
    <n v="2.6399189605821109E-2"/>
    <n v="3.3487622134310504"/>
    <n v="1.0134322281805606E-2"/>
    <n v="2.6068028079367762"/>
    <n v="7.8889386874918619E-3"/>
    <s v="XS1892105823"/>
    <s v="-"/>
    <n v="-1.59"/>
    <n v="1665761.4576883386"/>
    <n v="3.2676390852927435E-3"/>
  </r>
  <r>
    <s v="Investments"/>
    <s v="Investments Long"/>
    <s v="Avaliable for Trading"/>
    <s v="United States Dollar"/>
    <m/>
    <s v="SHIMAO 6.125 02/21/24"/>
    <s v="XS1953029284"/>
    <n v="1500000"/>
    <n v="103.566"/>
    <n v="1500750"/>
    <n v="11778403.57"/>
    <n v="261454.63"/>
    <n v="136476.18"/>
    <n v="12039858.199999999"/>
    <n v="2.5999999999999999E-3"/>
    <m/>
    <s v="Investments"/>
    <s v="BBG00NB7HXS0"/>
    <s v="BOND"/>
    <s v="Corp"/>
    <s v="#N/A Field Not Applicable"/>
    <n v="0.3"/>
    <n v="7.4409999999999997E-3"/>
    <s v="High"/>
    <n v="0.8"/>
    <n v="2.0393999999999999E-2"/>
    <s v="High"/>
    <n v="1570734.5691434469"/>
    <s v=""/>
    <s v=""/>
    <s v=""/>
    <s v=""/>
    <s v="BBB-"/>
    <n v="0"/>
    <n v="0"/>
    <n v="12"/>
    <n v="12"/>
    <s v="CN"/>
    <s v="Financial"/>
    <x v="16"/>
    <s v="Real Estate Oper/Develop"/>
    <s v="N"/>
    <s v=" "/>
    <s v="ACTV"/>
    <x v="2"/>
    <x v="1"/>
    <s v="Investment Grade"/>
    <s v="China"/>
    <s v="High"/>
    <s v="High"/>
    <s v="Real Estate"/>
    <s v="FINANCIAL"/>
    <s v="#N/A Field Not Applicable"/>
    <n v="3.4243775360078561E-2"/>
    <s v="2/21/2024"/>
    <n v="3.8136986301369862"/>
    <s v="3 - 5 yrs"/>
    <n v="1.088295326512086E-2"/>
    <n v="3.3204318487903883"/>
    <n v="9.4753435273690345E-3"/>
    <n v="5.0972265797223271"/>
    <n v="1.4545690162952749E-2"/>
    <s v="XS1953029284"/>
    <s v="-"/>
    <n v="-2.69"/>
    <n v="1570734.5691434469"/>
    <n v="3.0812296965235012E-3"/>
  </r>
  <r>
    <s v="Investments"/>
    <s v="Investments Long"/>
    <s v="Avaliable for Trading"/>
    <s v="United States Dollar"/>
    <m/>
    <s v="SHINFN V5.875 PERP"/>
    <s v="XS1856024432"/>
    <n v="5000000"/>
    <n v="103.27500000000001"/>
    <n v="4979900"/>
    <n v="38970386.649999999"/>
    <n v="1049708.6000000001"/>
    <n v="486944"/>
    <n v="40020095.25"/>
    <n v="8.8000000000000005E-3"/>
    <m/>
    <s v="Investments"/>
    <s v="BBG00LNF6KZ5"/>
    <s v="BOND"/>
    <s v="Corp"/>
    <s v="#N/A Field Not Applicable"/>
    <n v="0.4"/>
    <n v="5.5789999999999998E-3"/>
    <s v="High"/>
    <n v="1.8"/>
    <n v="1.3309E-2"/>
    <s v="High"/>
    <n v="5225366.2603199175"/>
    <s v=""/>
    <s v=""/>
    <s v=""/>
    <s v="Baa3"/>
    <s v=""/>
    <n v="0"/>
    <n v="12"/>
    <n v="0"/>
    <n v="12"/>
    <s v="KR"/>
    <s v="Financial"/>
    <x v="5"/>
    <s v="Commer Banks Non-US"/>
    <s v="N"/>
    <s v=" "/>
    <s v="ACTV"/>
    <x v="2"/>
    <x v="1"/>
    <s v="Investment Grade"/>
    <s v="Asia - others (3)"/>
    <s v="High"/>
    <s v="High"/>
    <s v="Financials"/>
    <s v="BANK"/>
    <s v="#N/A Field Not Applicable"/>
    <n v="0.11391884530185556"/>
    <s v="2/13/2169"/>
    <n v="148.89041095890411"/>
    <s v="10 yrs or Above"/>
    <n v="1.4134519744130916"/>
    <n v="2.9174862883525465"/>
    <n v="2.7696389096093208E-2"/>
    <n v="3.5604544158530356"/>
    <n v="3.3800237983655869E-2"/>
    <s v="XS1856024432"/>
    <s v="-"/>
    <n v="-3.17"/>
    <n v="5225366.2603199175"/>
    <n v="1.0250333832844613E-2"/>
  </r>
  <r>
    <s v="Investments"/>
    <s v="Investments Long"/>
    <s v="Avaliable for Trading"/>
    <s v="United States Dollar"/>
    <m/>
    <s v="SIB V5 PERP"/>
    <s v="XS2010323009"/>
    <n v="3000000"/>
    <n v="99.203000000000003"/>
    <n v="3000000"/>
    <n v="23431200"/>
    <n v="-365907.29"/>
    <n v="381051.5"/>
    <n v="23065292.710000001"/>
    <n v="5.1000000000000004E-3"/>
    <m/>
    <s v="Investments"/>
    <s v="BBG00PKD4F69"/>
    <s v="BOND"/>
    <s v="Corp"/>
    <s v="#N/A Field Not Applicable"/>
    <n v="0.7"/>
    <n v="5.5523999999999997E-2"/>
    <s v="High"/>
    <n v="1.8"/>
    <n v="0.19508900000000001"/>
    <s v="High"/>
    <n v="3024554.206656347"/>
    <s v=""/>
    <s v=""/>
    <s v=""/>
    <s v=""/>
    <s v=""/>
    <n v="0"/>
    <n v="0"/>
    <n v="0"/>
    <n v="0"/>
    <s v="AE"/>
    <s v="Financial"/>
    <x v="5"/>
    <s v="Commer Banks Non-US"/>
    <s v="N"/>
    <s v=" "/>
    <s v="ACTV"/>
    <x v="2"/>
    <x v="1"/>
    <s v="Non-Investment Grade"/>
    <s v="United Arab Emirates"/>
    <s v="High"/>
    <s v="High"/>
    <s v="#N/A Field Not Applicable"/>
    <s v="SPECIAL PURPOSE"/>
    <s v="#N/A Field Not Applicable"/>
    <n v="0"/>
    <s v="1/2/2169"/>
    <n v="148.77534246575343"/>
    <s v="10 yrs or Above"/>
    <n v="0.81750406813566945"/>
    <n v="4.409084746320711"/>
    <n v="2.4227433505668548E-2"/>
    <n v="3.9753571706704736"/>
    <n v="2.1844148401563949E-2"/>
    <s v="XS2010323009"/>
    <s v="-"/>
    <n v="-5.59"/>
    <n v="3024554.206656347"/>
    <n v="5.9331133492380199E-3"/>
  </r>
  <r>
    <s v="Investments"/>
    <s v="Investments Long"/>
    <s v="Avaliable for Trading"/>
    <s v="United States Dollar"/>
    <m/>
    <s v="SRILAN 7.55 03/28/30 REGS"/>
    <s v="USY8137FAR92"/>
    <n v="2000000"/>
    <n v="57.018000000000001"/>
    <n v="1690000"/>
    <n v="13127360"/>
    <n v="-4289341.92"/>
    <n v="104024.9"/>
    <n v="8838018.0800000001"/>
    <n v="1.9E-3"/>
    <m/>
    <s v="Investments"/>
    <s v="BBG00PK1ZYS6"/>
    <s v="BOND"/>
    <s v="Govt"/>
    <s v="#N/A Field Not Applicable"/>
    <n v="0.3"/>
    <n v="2.7685000000000001E-2"/>
    <s v="High"/>
    <n v="1"/>
    <n v="7.6335E-2"/>
    <s v="High"/>
    <n v="1153514.3163054697"/>
    <s v=""/>
    <s v=""/>
    <s v="B"/>
    <s v="B2 *-"/>
    <s v="B-"/>
    <n v="7"/>
    <n v="7"/>
    <n v="6"/>
    <n v="7"/>
    <s v="LK"/>
    <s v="Government"/>
    <x v="24"/>
    <s v="Sovereign"/>
    <s v="N"/>
    <s v=" "/>
    <s v="ACTV"/>
    <x v="3"/>
    <x v="2"/>
    <s v="Non-Investment Grade"/>
    <s v="Asia - others (3)"/>
    <s v="High"/>
    <s v="High"/>
    <s v="#N/A Field Not Applicable"/>
    <s v="GOVT NATIONAL"/>
    <s v="#N/A Field Not Applicable"/>
    <n v="1.4669611768873287E-2"/>
    <s v="3/28/2030"/>
    <n v="9.9150684931506845"/>
    <s v="7 - 10 yrs"/>
    <n v="2.0778600779472571E-2"/>
    <n v="5.5316208442002575"/>
    <n v="1.1592390033860697E-2"/>
    <n v="16.870696465105823"/>
    <n v="3.5355223916229334E-2"/>
    <s v="USY8137FAR92"/>
    <s v="-"/>
    <n v="-14.31"/>
    <n v="1153514.3163054697"/>
    <n v="2.2627900579686206E-3"/>
  </r>
  <r>
    <s v="Investments"/>
    <s v="Investments Long"/>
    <s v="Avaliable for Trading"/>
    <s v="United States Dollar"/>
    <m/>
    <s v="STESP 1.5 04/29/25 EMTN"/>
    <s v="XS2163022739"/>
    <n v="0"/>
    <s v="NA"/>
    <n v="0"/>
    <n v="0"/>
    <n v="0"/>
    <n v="645.85"/>
    <n v="0"/>
    <n v="0"/>
    <m/>
    <s v="Investments"/>
    <s v="BBG00TDCM2R7"/>
    <s v="BOND"/>
    <s v="Corp"/>
    <s v="#N/A Field Not Applicable"/>
    <n v="0.1"/>
    <n v="1.696E-3"/>
    <s v="High"/>
    <n v="0.1"/>
    <n v="4.7980000000000002E-3"/>
    <s v="High"/>
    <n v="83.313983488132095"/>
    <s v=""/>
    <s v=""/>
    <s v="AAA"/>
    <s v=""/>
    <s v=""/>
    <n v="21"/>
    <n v="0"/>
    <n v="0"/>
    <n v="21"/>
    <s v="SG"/>
    <s v="Industrial"/>
    <x v="28"/>
    <s v="Aerospace/Defense"/>
    <s v="N"/>
    <s v=" "/>
    <s v="ACTV"/>
    <x v="2"/>
    <x v="2"/>
    <s v="Investment Grade"/>
    <s v="Singapore"/>
    <s v="High"/>
    <s v="High"/>
    <s v="#N/A Field Not Applicable"/>
    <s v="INDUSTRIAL"/>
    <s v="#N/A Field Not Applicable"/>
    <n v="3.1785920003238937E-6"/>
    <s v="4/29/2025"/>
    <n v="5"/>
    <s v="3 - 5 yrs"/>
    <n v="7.5680761912473651E-7"/>
    <n v="4.5474850511895557"/>
    <n v="6.8831426691921976E-7"/>
    <n v="1.4375189979081264"/>
    <n v="2.1758506605068529E-7"/>
    <s v="XS2163022739"/>
    <s v="-"/>
    <s v="-"/>
    <n v="83.313983488132095"/>
    <n v="1.6343278177120026E-7"/>
  </r>
  <r>
    <s v="Investments"/>
    <s v="Investments Long"/>
    <s v="Avaliable for Trading"/>
    <s v="United States Dollar"/>
    <m/>
    <s v="SUNAC 6.5 01/10/25"/>
    <s v="XS2100444772"/>
    <n v="3700000"/>
    <n v="92.242999999999995"/>
    <n v="3464005.94"/>
    <n v="26897436.140000001"/>
    <n v="-446073.21"/>
    <n v="569532.06000000006"/>
    <n v="26451362.93"/>
    <n v="5.7999999999999996E-3"/>
    <m/>
    <s v="Investments"/>
    <s v="BBG00R9SLKK9"/>
    <s v="BOND"/>
    <s v="Corp"/>
    <s v="#N/A Field Not Applicable"/>
    <n v="0.1"/>
    <n v="1.7565999999999998E-2"/>
    <s v="High"/>
    <n v="0.5"/>
    <n v="4.8194000000000001E-2"/>
    <s v="High"/>
    <n v="3485667.5683694528"/>
    <s v=""/>
    <s v=""/>
    <s v="B+"/>
    <s v="B1"/>
    <s v="BB"/>
    <n v="8"/>
    <n v="8"/>
    <n v="10"/>
    <n v="8"/>
    <s v="CN"/>
    <s v="Financial"/>
    <x v="16"/>
    <s v="Real Estate Oper/Develop"/>
    <s v="N"/>
    <s v=" "/>
    <s v="ACTV"/>
    <x v="2"/>
    <x v="1"/>
    <s v="Non-Investment Grade"/>
    <s v="China"/>
    <s v="High"/>
    <s v="High"/>
    <s v="Real Estate"/>
    <s v="FINANCIAL"/>
    <s v="#N/A Field Not Applicable"/>
    <n v="5.0660975035073587E-2"/>
    <s v="1/10/2025"/>
    <n v="4.7013698630136984"/>
    <s v="3 - 5 yrs"/>
    <n v="2.9771997657598036E-2"/>
    <n v="3.8193532132096388"/>
    <n v="2.4186519723067703E-2"/>
    <n v="8.7233917357866027"/>
    <n v="5.524194136848154E-2"/>
    <s v="XS2100444772"/>
    <s v="-"/>
    <n v="-7.24"/>
    <n v="3485667.5683694528"/>
    <n v="6.8376558553273799E-3"/>
  </r>
  <r>
    <s v="Investments"/>
    <s v="Investments Long"/>
    <s v="Avaliable for Trading"/>
    <s v="United States Dollar"/>
    <m/>
    <s v="SUNAC 7.5 02/01/24"/>
    <s v="XS2075937297"/>
    <n v="1000000"/>
    <n v="96.759"/>
    <n v="907500"/>
    <n v="7034123.25"/>
    <n v="464892.77"/>
    <n v="289017.88"/>
    <n v="7499016.0199999996"/>
    <n v="1.6000000000000001E-3"/>
    <m/>
    <s v="Investments"/>
    <s v="BBG00QQ1W050"/>
    <s v="BOND"/>
    <s v="Corp"/>
    <s v="#N/A Field Not Applicable"/>
    <n v="0.1"/>
    <n v="1.5551000000000001E-2"/>
    <s v="High"/>
    <n v="0.5"/>
    <n v="4.3000999999999998E-2"/>
    <s v="High"/>
    <n v="1004648.3359133126"/>
    <s v=""/>
    <s v=""/>
    <s v="B+"/>
    <s v="B1"/>
    <s v="BB"/>
    <n v="8"/>
    <n v="8"/>
    <n v="10"/>
    <n v="8"/>
    <s v="CN"/>
    <s v="Financial"/>
    <x v="16"/>
    <s v="Real Estate Oper/Develop"/>
    <s v="N"/>
    <s v=" "/>
    <s v="ACTV"/>
    <x v="2"/>
    <x v="1"/>
    <s v="Non-Investment Grade"/>
    <s v="China"/>
    <s v="High"/>
    <s v="High"/>
    <s v="Real Estate"/>
    <s v="FINANCIAL"/>
    <s v="#N/A Field Not Applicable"/>
    <n v="1.4601640364844435E-2"/>
    <s v="2/1/2024"/>
    <n v="3.7589041095890412"/>
    <s v="3 - 5 yrs"/>
    <n v="6.8607707467693716E-3"/>
    <n v="3.0632985092701155"/>
    <n v="5.591147895315788E-3"/>
    <n v="8.6565294464928488"/>
    <n v="1.5799941223171802E-2"/>
    <s v="XS2075937297"/>
    <s v="-"/>
    <n v="-5.64"/>
    <n v="1004648.3359133126"/>
    <n v="1.9707672753819148E-3"/>
  </r>
  <r>
    <s v="Investments"/>
    <s v="Investments Long"/>
    <s v="Avaliable for Trading"/>
    <s v="United States Dollar"/>
    <m/>
    <s v="SUNAC 7.875 02/15/22"/>
    <s v="XS1953150197"/>
    <n v="1500000"/>
    <n v="100.575"/>
    <n v="1501875"/>
    <n v="11769743.810000001"/>
    <n v="-77598.34"/>
    <n v="190727.58"/>
    <n v="11692145.470000001"/>
    <n v="2.5999999999999999E-3"/>
    <m/>
    <s v="Investments"/>
    <s v="BBG00NB0B2N4"/>
    <s v="BOND"/>
    <s v="Corp"/>
    <s v="#N/A Field Not Applicable"/>
    <n v="0.1"/>
    <n v="7.7429999999999999E-3"/>
    <s v="High"/>
    <n v="0.5"/>
    <n v="2.1031000000000001E-2"/>
    <s v="High"/>
    <n v="1532878.3604231167"/>
    <s v=""/>
    <s v=""/>
    <s v="B+"/>
    <s v="B1"/>
    <s v="BB"/>
    <n v="8"/>
    <n v="8"/>
    <n v="10"/>
    <n v="8"/>
    <s v="CN"/>
    <s v="Financial"/>
    <x v="16"/>
    <s v="Real Estate Oper/Develop"/>
    <s v="N"/>
    <s v=" "/>
    <s v="ACTV"/>
    <x v="2"/>
    <x v="1"/>
    <s v="Non-Investment Grade"/>
    <s v="China"/>
    <s v="High"/>
    <s v="High"/>
    <s v="Real Estate"/>
    <s v="FINANCIAL"/>
    <s v="#N/A Field Not Applicable"/>
    <n v="2.2278978366696907E-2"/>
    <s v="2/15/2022"/>
    <n v="1.7972602739726027"/>
    <s v="1 - 2 yrs"/>
    <n v="5.0051403453949218E-3"/>
    <n v="1.6019348780403648"/>
    <n v="4.4611840615898166E-3"/>
    <n v="7.4818245666988092"/>
    <n v="2.0835925958113028E-2"/>
    <s v="XS1953150197"/>
    <s v="-"/>
    <n v="-2.73"/>
    <n v="1532878.3604231167"/>
    <n v="3.0069691073709485E-3"/>
  </r>
  <r>
    <s v="Investments"/>
    <s v="Investments Long"/>
    <s v="Avaliable for Trading"/>
    <s v="United States Dollar"/>
    <m/>
    <s v="SUNAC 7.95 08/08/22"/>
    <s v="XS1594400449"/>
    <n v="3000000"/>
    <n v="99.947999999999993"/>
    <n v="3153750"/>
    <n v="24493914.75"/>
    <n v="-1255405.06"/>
    <n v="421029.61"/>
    <n v="23238509.690000001"/>
    <n v="5.1000000000000004E-3"/>
    <m/>
    <s v="Investments"/>
    <s v="BBG00HC2ZDQ9"/>
    <s v="BOND"/>
    <s v="Corp"/>
    <s v="#N/A Field Not Applicable"/>
    <n v="0.2"/>
    <n v="9.6010000000000002E-3"/>
    <s v="High"/>
    <n v="0.8"/>
    <n v="2.6098E-2"/>
    <s v="High"/>
    <n v="3052056.1532507744"/>
    <s v=""/>
    <s v=""/>
    <s v="B+"/>
    <s v="B1"/>
    <s v="BB"/>
    <n v="8"/>
    <n v="8"/>
    <n v="10"/>
    <n v="8"/>
    <s v="CN"/>
    <s v="Financial"/>
    <x v="16"/>
    <s v="Real Estate Oper/Develop"/>
    <s v="N"/>
    <s v=" "/>
    <s v="ACTV"/>
    <x v="2"/>
    <x v="1"/>
    <s v="Non-Investment Grade"/>
    <s v="China"/>
    <s v="High"/>
    <s v="High"/>
    <s v="Real Estate"/>
    <s v="FINANCIAL"/>
    <s v="#N/A Field Not Applicable"/>
    <n v="4.4358831573204034E-2"/>
    <s v="8/8/2022"/>
    <n v="2.2739726027397262"/>
    <s v="2 - 3 yrs"/>
    <n v="1.260884596087649E-2"/>
    <n v="1.9872182073072886"/>
    <n v="1.1018834719643558E-2"/>
    <n v="8.1601588036151806"/>
    <n v="4.5246888747520489E-2"/>
    <s v="XS1594400449"/>
    <s v="-"/>
    <n v="-3.58"/>
    <n v="3052056.1532507744"/>
    <n v="5.9870625117659469E-3"/>
  </r>
  <r>
    <s v="Investments"/>
    <s v="Investments Long"/>
    <s v="Avaliable for Trading"/>
    <s v="United States Dollar"/>
    <m/>
    <s v="SUNAC 8.35 04/19/23"/>
    <s v="XS1810024338"/>
    <n v="263000"/>
    <n v="100.01300000000001"/>
    <n v="210400"/>
    <n v="1631168.08"/>
    <n v="407399.5"/>
    <n v="5200.5"/>
    <n v="2038567.58"/>
    <n v="4.0000000000000002E-4"/>
    <m/>
    <s v="Investments"/>
    <s v="BBG00KMRGS75"/>
    <s v="BOND"/>
    <s v="Corp"/>
    <s v="#N/A Field Not Applicable"/>
    <n v="0.1"/>
    <n v="1.2666999999999999E-2"/>
    <s v="High"/>
    <n v="0.4"/>
    <n v="3.5180999999999997E-2"/>
    <s v="High"/>
    <n v="263643.97316821467"/>
    <s v=""/>
    <s v=""/>
    <s v="B+"/>
    <s v="B1"/>
    <s v="BB"/>
    <n v="8"/>
    <n v="8"/>
    <n v="10"/>
    <n v="8"/>
    <s v="CN"/>
    <s v="Financial"/>
    <x v="16"/>
    <s v="Real Estate Oper/Develop"/>
    <s v="N"/>
    <s v=" "/>
    <s v="ACTV"/>
    <x v="2"/>
    <x v="1"/>
    <s v="Non-Investment Grade"/>
    <s v="China"/>
    <s v="High"/>
    <s v="High"/>
    <s v="Real Estate"/>
    <s v="FINANCIAL"/>
    <s v="#N/A Field Not Applicable"/>
    <n v="3.8318228806513816E-3"/>
    <s v="4/19/2023"/>
    <n v="2.9698630136986299"/>
    <s v="2 - 3 yrs"/>
    <n v="1.4224986310363346E-3"/>
    <n v="2.5547054208723403"/>
    <n v="1.2236473356278439E-3"/>
    <n v="8.5632298400915481"/>
    <n v="4.1015975041924337E-3"/>
    <s v="XS1810024338"/>
    <s v="-"/>
    <n v="-4.6500000000000004"/>
    <n v="263643.97316821467"/>
    <n v="5.1717690270122317E-4"/>
  </r>
  <r>
    <s v="Investments"/>
    <s v="Investments Long"/>
    <s v="Avaliable for Trading"/>
    <s v="United States Dollar"/>
    <m/>
    <s v="SUNAC 8.375 01/15/21"/>
    <s v="XS1936202644"/>
    <n v="2000000"/>
    <n v="101.123"/>
    <n v="2018125"/>
    <n v="15825245.060000001"/>
    <n v="-150775.56"/>
    <n v="378629.57"/>
    <n v="15674469.5"/>
    <n v="3.3999999999999998E-3"/>
    <m/>
    <s v="Investments"/>
    <s v="BBG00N14RT60"/>
    <s v="BOND"/>
    <s v="Corp"/>
    <s v="#N/A Field Not Applicable"/>
    <n v="0.2"/>
    <n v="4.6579999999999998E-3"/>
    <s v="High"/>
    <n v="0.5"/>
    <n v="1.2543E-2"/>
    <s v="High"/>
    <n v="2070833.2133642931"/>
    <s v=""/>
    <s v=""/>
    <s v="B+"/>
    <s v="B1"/>
    <s v="BB"/>
    <n v="8"/>
    <n v="8"/>
    <n v="10"/>
    <n v="8"/>
    <s v="CN"/>
    <s v="Financial"/>
    <x v="16"/>
    <s v="Real Estate Oper/Develop"/>
    <s v="N"/>
    <s v=" "/>
    <s v="ACTV"/>
    <x v="2"/>
    <x v="1"/>
    <s v="Non-Investment Grade"/>
    <s v="China"/>
    <s v="High"/>
    <s v="High"/>
    <s v="Real Estate"/>
    <s v="FINANCIAL"/>
    <s v="#N/A Field Not Applicable"/>
    <n v="3.0097657813399951E-2"/>
    <s v="1/15/2021"/>
    <n v="0.71232876712328763"/>
    <s v="0 - 1 yr"/>
    <n v="2.6799284354397214E-3"/>
    <n v="0.64420823799139648"/>
    <n v="2.4236448884547962E-3"/>
    <n v="7.6532671834140533"/>
    <n v="2.8793177105114923E-2"/>
    <s v="XS1936202644"/>
    <s v="-"/>
    <n v="-1.0900000000000001"/>
    <n v="2070833.2133642931"/>
    <n v="4.0622476380874325E-3"/>
  </r>
  <r>
    <s v="Investments"/>
    <s v="Investments Long"/>
    <s v="Avaliable for Trading"/>
    <s v="United States Dollar"/>
    <m/>
    <s v="SUNAC 8.625 07/27/20"/>
    <s v="XS1861032628"/>
    <n v="2000000"/>
    <n v="100.527"/>
    <n v="2014440.44"/>
    <n v="15792156.630000001"/>
    <n v="-210069.53"/>
    <n v="345368.27"/>
    <n v="15582087.1"/>
    <n v="3.3999999999999998E-3"/>
    <m/>
    <s v="Investments"/>
    <s v="BBG00LJTVJR4"/>
    <s v="BOND"/>
    <s v="Corp"/>
    <s v="#N/A Field Not Applicable"/>
    <n v="0.3"/>
    <n v="3.7299999999999998E-3"/>
    <s v="High"/>
    <n v="0.8"/>
    <n v="9.7979999999999994E-3"/>
    <s v="High"/>
    <n v="2054625.305727554"/>
    <s v=""/>
    <s v=""/>
    <s v="B+"/>
    <s v="B1"/>
    <s v="BB"/>
    <n v="8"/>
    <n v="8"/>
    <n v="10"/>
    <n v="8"/>
    <s v="CN"/>
    <s v="Financial"/>
    <x v="16"/>
    <s v="Real Estate Oper/Develop"/>
    <s v="N"/>
    <s v=" "/>
    <s v="ACTV"/>
    <x v="2"/>
    <x v="1"/>
    <s v="Non-Investment Grade"/>
    <s v="China"/>
    <s v="High"/>
    <s v="High"/>
    <s v="Real Estate"/>
    <s v="FINANCIAL"/>
    <s v="#N/A Field Not Applicable"/>
    <n v="2.9862090769770564E-2"/>
    <s v="7/27/2020"/>
    <n v="0.24109589041095891"/>
    <s v="0 - 1 yr"/>
    <n v="8.9995342045883896E-4"/>
    <n v="0.21914244512654582"/>
    <n v="8.1800644848479707E-4"/>
    <n v="6.3241958454377301"/>
    <n v="2.3606713797783424E-2"/>
    <s v="XS1861032628"/>
    <s v="-"/>
    <n v="-0.36"/>
    <n v="2054625.305727554"/>
    <n v="4.0304534143465846E-3"/>
  </r>
  <r>
    <s v="Investments"/>
    <s v="Investments Long"/>
    <s v="Avaliable for Trading"/>
    <s v="United States Dollar"/>
    <m/>
    <s v="SUNSHI 10 02/12/23"/>
    <s v="XS2056435246"/>
    <n v="3700000"/>
    <n v="98.995999999999995"/>
    <n v="3708660"/>
    <n v="29026932.460000001"/>
    <n v="-639096.89"/>
    <n v="1338201.2"/>
    <n v="28387835.57"/>
    <n v="6.1999999999999998E-3"/>
    <m/>
    <s v="Investments"/>
    <s v="BBG00QRVV6Z8"/>
    <s v="BOND"/>
    <s v="Corp"/>
    <s v="#N/A Field Not Applicable"/>
    <n v="0.3"/>
    <n v="1.8582999999999999E-2"/>
    <s v="High"/>
    <n v="1.9"/>
    <n v="4.8476999999999999E-2"/>
    <s v="High"/>
    <n v="3834628.0663054697"/>
    <s v=""/>
    <s v=""/>
    <s v=""/>
    <s v=""/>
    <s v="B"/>
    <n v="0"/>
    <n v="0"/>
    <n v="7"/>
    <n v="7"/>
    <s v="CN"/>
    <s v="Financial"/>
    <x v="16"/>
    <s v="Real Estate Oper/Develop"/>
    <s v="N"/>
    <s v=" "/>
    <s v="ACTV"/>
    <x v="2"/>
    <x v="1"/>
    <s v="Non-Investment Grade"/>
    <s v="China"/>
    <s v="High"/>
    <s v="High"/>
    <s v="#N/A Field Not Applicable"/>
    <s v="SPECIAL PURPOSE"/>
    <s v="#N/A Field Not Applicable"/>
    <n v="4.8766195803182331E-2"/>
    <s v="2/12/2023"/>
    <n v="2.7890410958904108"/>
    <s v="2 - 3 yrs"/>
    <n v="1.9430132026473427E-2"/>
    <n v="1.2945832874420584"/>
    <n v="9.0188431541324138E-3"/>
    <n v="10.64874712750494"/>
    <n v="7.4185555354068747E-2"/>
    <s v="XS2056435246"/>
    <s v="-"/>
    <n v="-3.59"/>
    <n v="3834628.0663054697"/>
    <n v="7.5221938226431601E-3"/>
  </r>
  <r>
    <s v="Investments"/>
    <s v="Investments Long"/>
    <s v="Avaliable for Trading"/>
    <s v="United States Dollar"/>
    <m/>
    <s v="SUNSHI 10.25 03/18/22"/>
    <s v="XS2008157856"/>
    <n v="2500000"/>
    <n v="98.07"/>
    <n v="2441250"/>
    <n v="19019511.829999998"/>
    <n v="-17958.98"/>
    <n v="231698.69"/>
    <n v="19001552.850000001"/>
    <n v="4.1999999999999997E-3"/>
    <m/>
    <s v="Investments"/>
    <s v="BBG00PDYXN26"/>
    <s v="BOND"/>
    <s v="Corp"/>
    <s v="#N/A Field Not Applicable"/>
    <n v="0.3"/>
    <n v="1.3521999999999999E-2"/>
    <s v="High"/>
    <n v="1.7"/>
    <n v="3.5139999999999998E-2"/>
    <s v="High"/>
    <n v="2481069.6001031995"/>
    <s v=""/>
    <s v=""/>
    <s v=""/>
    <s v="B2"/>
    <s v=""/>
    <n v="0"/>
    <n v="7"/>
    <n v="0"/>
    <n v="7"/>
    <s v="CN"/>
    <s v="Financial"/>
    <x v="16"/>
    <s v="Real Estate Oper/Develop"/>
    <s v="N"/>
    <s v=" "/>
    <s v="ACTV"/>
    <x v="2"/>
    <x v="1"/>
    <s v="Non-Investment Grade"/>
    <s v="China"/>
    <s v="High"/>
    <s v="High"/>
    <s v="#N/A Field Not Applicable"/>
    <s v="SPECIAL PURPOSE"/>
    <s v="#N/A Field Not Applicable"/>
    <n v="3.1552558377983132E-2"/>
    <s v="3/18/2022"/>
    <n v="1.8821917808219177"/>
    <s v="1 - 2 yrs"/>
    <n v="8.4839951489919414E-3"/>
    <n v="1.6293752351504047"/>
    <n v="7.3444224609604484E-3"/>
    <n v="11.2395283855824"/>
    <n v="5.0662267932441024E-2"/>
    <s v="XS2008157856"/>
    <s v="-"/>
    <n v="-4.2300000000000004"/>
    <n v="2481069.6001031995"/>
    <n v="4.8669873835835284E-3"/>
  </r>
  <r>
    <s v="Investments"/>
    <s v="Investments Long"/>
    <s v="Avaliable for Trading"/>
    <s v="United States Dollar"/>
    <m/>
    <s v="SUNSHI 12 07/02/20"/>
    <s v="XS1923588096"/>
    <n v="1000000"/>
    <n v="99.742000000000004"/>
    <n v="959500"/>
    <n v="7443417.2000000002"/>
    <n v="286787.28000000003"/>
    <n v="304841.2"/>
    <n v="7730204.4800000004"/>
    <n v="1.6999999999999999E-3"/>
    <m/>
    <s v="Investments"/>
    <s v="BBG00MTS9QX5"/>
    <s v="BOND"/>
    <s v="Corp"/>
    <s v="#N/A Field Not Applicable"/>
    <n v="0.6"/>
    <n v="1.9245000000000002E-2"/>
    <s v="High"/>
    <n v="2"/>
    <n v="4.7849000000000003E-2"/>
    <s v="High"/>
    <n v="1036512.6006191951"/>
    <s v=""/>
    <s v=""/>
    <s v=""/>
    <s v="B2"/>
    <s v=""/>
    <n v="0"/>
    <n v="7"/>
    <n v="0"/>
    <n v="7"/>
    <s v="CN"/>
    <s v="Financial"/>
    <x v="16"/>
    <s v="Real Estate Oper/Develop"/>
    <s v="N"/>
    <s v=" "/>
    <s v="ACTV"/>
    <x v="2"/>
    <x v="1"/>
    <s v="Non-Investment Grade"/>
    <s v="China"/>
    <s v="High"/>
    <s v="High"/>
    <s v="#N/A Field Not Applicable"/>
    <s v="SPECIAL PURPOSE"/>
    <s v="#N/A Field Not Applicable"/>
    <n v="1.3181663400007775E-2"/>
    <s v="7/2/2020"/>
    <n v="0.17260273972602741"/>
    <s v="0 - 1 yr"/>
    <n v="3.2502731671252044E-4"/>
    <n v="0.14794606047973671"/>
    <n v="2.7859645294301175E-4"/>
    <n v="21.376565261634958"/>
    <n v="4.0254098275310166E-2"/>
    <s v="XS1923588096"/>
    <s v="-"/>
    <n v="-0.48"/>
    <n v="1036512.6006191951"/>
    <n v="2.0332737743145707E-3"/>
  </r>
  <r>
    <s v="Investments"/>
    <s v="Investments Long"/>
    <s v="Avaliable for Trading"/>
    <s v="United States Dollar"/>
    <m/>
    <s v="SUNSHI 6.8 03/11/21 EMTN"/>
    <s v="XS2133059480"/>
    <n v="14200000"/>
    <n v="97.522000000000006"/>
    <n v="14109120"/>
    <n v="109599644.16"/>
    <n v="-2273913.5299999998"/>
    <n v="997812.42"/>
    <n v="107325730.63"/>
    <n v="2.3599999999999999E-2"/>
    <m/>
    <s v="Investments"/>
    <s v="BBG00S6SWBM6"/>
    <s v="BOND"/>
    <s v="Corp"/>
    <s v="#N/A Field Not Applicable"/>
    <n v="3.8"/>
    <n v="2.103E-2"/>
    <s v="Medium"/>
    <n v="6.8"/>
    <n v="5.4468000000000003E-2"/>
    <s v="Medium"/>
    <n v="13973625.264447885"/>
    <s v=""/>
    <s v=""/>
    <s v=""/>
    <s v=""/>
    <s v=""/>
    <n v="0"/>
    <n v="0"/>
    <n v="0"/>
    <n v="0"/>
    <s v="CN"/>
    <s v="Financial"/>
    <x v="16"/>
    <s v="Real Estate Oper/Develop"/>
    <s v="N"/>
    <s v=" "/>
    <s v="ACTV"/>
    <x v="2"/>
    <x v="1"/>
    <s v="Non-Investment Grade"/>
    <s v="China"/>
    <s v="Medium"/>
    <s v="Medium"/>
    <s v="#N/A Field Not Applicable"/>
    <s v="SPECIAL PURPOSE"/>
    <s v="#N/A Field Not Applicable"/>
    <n v="0"/>
    <s v="3/11/2021"/>
    <n v="0.86301369863013699"/>
    <s v="0 - 1 yr"/>
    <n v="2.1909091706828164E-2"/>
    <n v="0.78969469268778758"/>
    <n v="2.0047762242887814E-2"/>
    <n v="9.6700703183907084"/>
    <n v="0.24549141891187667"/>
    <s v="XS2133059480"/>
    <s v="-"/>
    <n v="-1.85"/>
    <n v="13973625.264447885"/>
    <n v="2.7411346244443552E-2"/>
  </r>
  <r>
    <s v="Investments"/>
    <s v="Investments Long"/>
    <s v="Avaliable for Trading"/>
    <s v="United States Dollar"/>
    <m/>
    <s v="SUNSHI 9.25 04/15/23"/>
    <s v="XS2100664544"/>
    <n v="3000000"/>
    <n v="91.715000000000003"/>
    <n v="2969655"/>
    <n v="23088134.489999998"/>
    <n v="-1763846.7"/>
    <n v="627281.81000000006"/>
    <n v="21324287.789999999"/>
    <n v="4.7000000000000002E-3"/>
    <m/>
    <s v="Investments"/>
    <s v="BBG00RB30509"/>
    <s v="BOND"/>
    <s v="Corp"/>
    <s v="#N/A Field Not Applicable"/>
    <n v="0.3"/>
    <n v="1.4297000000000001E-2"/>
    <s v="High"/>
    <n v="1.7"/>
    <n v="3.7350000000000001E-2"/>
    <s v="High"/>
    <n v="2831729.8245614031"/>
    <s v=""/>
    <s v=""/>
    <s v=""/>
    <s v=""/>
    <s v="B"/>
    <n v="0"/>
    <n v="0"/>
    <n v="7"/>
    <n v="7"/>
    <s v="CN"/>
    <s v="Financial"/>
    <x v="16"/>
    <s v="Real Estate Oper/Develop"/>
    <s v="N"/>
    <s v=" "/>
    <s v="ACTV"/>
    <x v="2"/>
    <x v="1"/>
    <s v="Non-Investment Grade"/>
    <s v="China"/>
    <s v="High"/>
    <s v="High"/>
    <s v="#N/A Field Not Applicable"/>
    <s v="SPECIAL PURPOSE"/>
    <s v="#N/A Field Not Applicable"/>
    <n v="3.6012016993168264E-2"/>
    <s v="4/15/2023"/>
    <n v="2.9589041095890409"/>
    <s v="2 - 3 yrs"/>
    <n v="1.5222300725096564E-2"/>
    <n v="2.3941835088981152"/>
    <n v="1.2317053886743163E-2"/>
    <n v="12.701168127495322"/>
    <n v="6.5342097491492668E-2"/>
    <s v="XS2100664544"/>
    <s v="-"/>
    <n v="-6.81"/>
    <n v="2831729.8245614031"/>
    <n v="5.5548596175150787E-3"/>
  </r>
  <r>
    <s v="Investments"/>
    <s v="Investments Long"/>
    <s v="Avaliable for Trading"/>
    <s v="United States Dollar"/>
    <m/>
    <s v="SUNSHI 9.5 04/03/21"/>
    <s v="XS1973241125"/>
    <n v="2350000"/>
    <n v="99.02"/>
    <n v="2327637.5"/>
    <n v="18220048.07"/>
    <n v="-185565.19"/>
    <n v="129767.41"/>
    <n v="18034482.879999999"/>
    <n v="4.0000000000000001E-3"/>
    <m/>
    <s v="Investments"/>
    <s v="BBG00NQF0SC2"/>
    <s v="BOND"/>
    <s v="Corp"/>
    <s v="#N/A Field Not Applicable"/>
    <n v="0.2"/>
    <n v="1.1494000000000001E-2"/>
    <s v="High"/>
    <n v="1.9"/>
    <n v="3.0211999999999999E-2"/>
    <s v="High"/>
    <n v="2343169.5420536636"/>
    <s v=""/>
    <s v=""/>
    <s v=""/>
    <s v=""/>
    <s v="B"/>
    <n v="0"/>
    <n v="0"/>
    <n v="7"/>
    <n v="7"/>
    <s v="CN"/>
    <s v="Financial"/>
    <x v="16"/>
    <s v="Real Estate Oper/Develop"/>
    <s v="N"/>
    <s v=" "/>
    <s v="ACTV"/>
    <x v="2"/>
    <x v="1"/>
    <s v="Non-Investment Grade"/>
    <s v="China"/>
    <s v="High"/>
    <s v="High"/>
    <s v="#N/A Field Not Applicable"/>
    <s v="SPECIAL PURPOSE"/>
    <s v="#N/A Field Not Applicable"/>
    <n v="2.9798839082178508E-2"/>
    <s v="4/3/2021"/>
    <n v="0.92602739726027394"/>
    <s v="0 - 1 yr"/>
    <n v="3.942077342378213E-3"/>
    <n v="0.83837497562937802"/>
    <n v="3.5689429984721664E-3"/>
    <n v="10.590700455467184"/>
    <n v="4.5084368377145891E-2"/>
    <s v="XS1973241125"/>
    <s v="-"/>
    <n v="-2.08"/>
    <n v="2343169.5420536636"/>
    <n v="4.5964758901959144E-3"/>
  </r>
  <r>
    <s v="Investments"/>
    <s v="Investments Long"/>
    <s v="Avaliable for Trading"/>
    <s v="United States Dollar"/>
    <m/>
    <s v="TPHL 6.75 07/16/23"/>
    <s v="XS2027426027"/>
    <n v="1500000"/>
    <n v="98.450999999999993"/>
    <n v="1200000"/>
    <n v="9303240"/>
    <n v="2141984.1"/>
    <n v="226693.35"/>
    <n v="11445224.1"/>
    <n v="2.5000000000000001E-3"/>
    <m/>
    <s v="Investments"/>
    <s v="BBG00PNSNLZ7"/>
    <s v="BOND"/>
    <s v="Corp"/>
    <s v="#N/A Field Not Applicable"/>
    <n v="0.2"/>
    <n v="1.1683000000000001E-2"/>
    <s v="High"/>
    <n v="0.5"/>
    <n v="3.1913999999999998E-2"/>
    <s v="High"/>
    <n v="1505665.305727554"/>
    <s v=""/>
    <s v=""/>
    <s v="B+"/>
    <s v="B1"/>
    <s v="BB-"/>
    <n v="8"/>
    <n v="8"/>
    <n v="9"/>
    <n v="8"/>
    <s v="CN"/>
    <s v="Financial"/>
    <x v="16"/>
    <s v="Real Estate Oper/Develop"/>
    <s v="N"/>
    <s v=" "/>
    <s v="ACTV"/>
    <x v="2"/>
    <x v="1"/>
    <s v="Non-Investment Grade"/>
    <s v="China"/>
    <s v="High"/>
    <s v="High"/>
    <s v="Real Estate"/>
    <s v="FINANCIAL"/>
    <s v="#N/A Field Not Applicable"/>
    <n v="2.1883461623485246E-2"/>
    <s v="7/16/2023"/>
    <n v="3.2109589041095892"/>
    <s v="3 - 5 yrs"/>
    <n v="8.7833619940838048E-3"/>
    <n v="2.7614328033496349"/>
    <n v="7.5537135972418767E-3"/>
    <n v="7.3726753600426473"/>
    <n v="2.0167457287988567E-2"/>
    <s v="XS2027426027"/>
    <s v="-"/>
    <s v="-"/>
    <n v="1505665.305727554"/>
    <n v="2.9535866493106979E-3"/>
  </r>
  <r>
    <s v="Investments"/>
    <s v="Investments Long"/>
    <s v="Avaliable for Trading"/>
    <s v="United States Dollar"/>
    <m/>
    <s v="TPHL 7.625 02/21/22"/>
    <s v="XS1945401674"/>
    <n v="5000000"/>
    <n v="101.51900000000001"/>
    <n v="4994791.66"/>
    <n v="39195129.159999996"/>
    <n v="144498.53"/>
    <n v="566329.72"/>
    <n v="39339627.689999998"/>
    <n v="8.6E-3"/>
    <m/>
    <s v="Investments"/>
    <s v="BBG00NB7K829"/>
    <s v="BOND"/>
    <s v="Corp"/>
    <s v="#N/A Field Not Applicable"/>
    <n v="0.3"/>
    <n v="8.0129999999999993E-3"/>
    <s v="High"/>
    <n v="2"/>
    <n v="2.1260000000000001E-2"/>
    <s v="High"/>
    <n v="5147827.3232714133"/>
    <s v=""/>
    <s v=""/>
    <s v=""/>
    <s v="B1"/>
    <s v="BB-"/>
    <n v="0"/>
    <n v="8"/>
    <n v="9"/>
    <n v="8"/>
    <s v="CN"/>
    <s v="Financial"/>
    <x v="16"/>
    <s v="Real Estate Oper/Develop"/>
    <s v="N"/>
    <s v=" "/>
    <s v="ACTV"/>
    <x v="2"/>
    <x v="1"/>
    <s v="Non-Investment Grade"/>
    <s v="China"/>
    <s v="High"/>
    <s v="High"/>
    <s v="Real Estate"/>
    <s v="FINANCIAL"/>
    <s v="#N/A Field Not Applicable"/>
    <n v="7.481893967046277E-2"/>
    <s v="2/21/2022"/>
    <n v="1.8136986301369864"/>
    <s v="1 - 2 yrs"/>
    <n v="1.6962376048577518E-2"/>
    <n v="1.6284364540848262"/>
    <n v="1.5229736101919366E-2"/>
    <n v="6.6372134828318963"/>
    <n v="6.207365939399772E-2"/>
    <s v="XS1945401674"/>
    <s v="-"/>
    <n v="-1.75"/>
    <n v="5147827.3232714133"/>
    <n v="1.0098229664410222E-2"/>
  </r>
  <r>
    <s v="Investments"/>
    <s v="Investments Long"/>
    <s v="Avaliable for Trading"/>
    <s v="United States Dollar"/>
    <m/>
    <s v="TPHL 7.85 06/04/21"/>
    <s v="XS1831884702"/>
    <n v="2000000"/>
    <n v="101.461"/>
    <n v="1846333.34"/>
    <n v="14321083.439999999"/>
    <n v="1405777.4"/>
    <n v="493472.46"/>
    <n v="15726860.84"/>
    <n v="3.5000000000000001E-3"/>
    <m/>
    <s v="Investments"/>
    <s v="BBG00L1B1VB5"/>
    <s v="BOND"/>
    <s v="Corp"/>
    <s v="#N/A Field Not Applicable"/>
    <n v="0.3"/>
    <n v="5.3670000000000002E-3"/>
    <s v="High"/>
    <n v="0.6"/>
    <n v="1.4429000000000001E-2"/>
    <s v="High"/>
    <n v="2092406.2564499485"/>
    <s v=""/>
    <s v=""/>
    <s v=""/>
    <s v="B1"/>
    <s v="BB-"/>
    <n v="0"/>
    <n v="8"/>
    <n v="9"/>
    <n v="8"/>
    <s v="CN"/>
    <s v="Financial"/>
    <x v="16"/>
    <s v="Real Estate Oper/Develop"/>
    <s v="N"/>
    <s v=" "/>
    <s v="ACTV"/>
    <x v="2"/>
    <x v="1"/>
    <s v="Non-Investment Grade"/>
    <s v="China"/>
    <s v="High"/>
    <s v="High"/>
    <s v="Real Estate"/>
    <s v="FINANCIAL"/>
    <s v="#N/A Field Not Applicable"/>
    <n v="3.0411202170615922E-2"/>
    <s v="6/4/2021"/>
    <n v="1.095890410958904"/>
    <s v="1 - 2 yrs"/>
    <n v="4.1659181055638244E-3"/>
    <n v="0.97745284805832422"/>
    <n v="3.715689521818253E-3"/>
    <n v="8.4610928964763676"/>
    <n v="3.2164000832388129E-2"/>
    <s v="XS1831884702"/>
    <s v="-"/>
    <n v="-0.17"/>
    <n v="2092406.2564499485"/>
    <n v="4.1045663737323415E-3"/>
  </r>
  <r>
    <s v="Investments"/>
    <s v="Investments Long"/>
    <s v="Avaliable for Trading"/>
    <s v="United States Dollar"/>
    <m/>
    <s v="TSIGTF 6.8 01/10/22"/>
    <s v="XS2021226985"/>
    <n v="1300000"/>
    <n v="91.524000000000001"/>
    <n v="1138000"/>
    <n v="8821729"/>
    <n v="399551.96"/>
    <n v="209341.51"/>
    <n v="9221280.9600000009"/>
    <n v="2E-3"/>
    <m/>
    <s v="Investments"/>
    <s v="BBG00PKGTF65"/>
    <s v="BOND"/>
    <s v="Corp"/>
    <s v="#N/A Field Not Applicable"/>
    <n v="0.5"/>
    <n v="2.7869999999999999E-2"/>
    <s v="High"/>
    <n v="2"/>
    <n v="6.9287000000000001E-2"/>
    <s v="High"/>
    <n v="1216540.5663054697"/>
    <s v=""/>
    <s v=""/>
    <s v=""/>
    <s v=""/>
    <s v=""/>
    <n v="0"/>
    <n v="0"/>
    <n v="0"/>
    <n v="0"/>
    <s v="CN"/>
    <s v="Technology"/>
    <x v="29"/>
    <s v="Computers"/>
    <s v="N"/>
    <s v=" "/>
    <s v="ACTV"/>
    <x v="2"/>
    <x v="2"/>
    <s v="Non-Investment Grade"/>
    <s v="China"/>
    <s v="High"/>
    <s v="High"/>
    <s v="#N/A Field Not Applicable"/>
    <s v="SPECIAL PURPOSE"/>
    <s v="#N/A Field Not Applicable"/>
    <n v="0"/>
    <s v="1/10/2022"/>
    <n v="1.6986301369863013"/>
    <s v="1 - 2 yrs"/>
    <n v="3.7542484645793658E-3"/>
    <n v="1.4813782478909392"/>
    <n v="3.2740865074211744E-3"/>
    <n v="12.345630195359925"/>
    <n v="2.728584769338073E-2"/>
    <s v="XS2021226985"/>
    <s v="-"/>
    <n v="-2.8"/>
    <n v="1216540.5663054697"/>
    <n v="2.3864254302176789E-3"/>
  </r>
  <r>
    <s v="Investments"/>
    <s v="Investments Long"/>
    <s v="Avaliable for Trading"/>
    <s v="United States Dollar"/>
    <m/>
    <s v="VNET 7.875 10/15/21"/>
    <s v="XS1976766045"/>
    <n v="5500000"/>
    <n v="92.75"/>
    <n v="5523862.5099999998"/>
    <n v="43293036.490000002"/>
    <n v="-3757328.67"/>
    <n v="139866.88"/>
    <n v="39535707.82"/>
    <n v="8.6999999999999994E-3"/>
    <m/>
    <s v="Investments"/>
    <s v="BBG00NV0G541"/>
    <s v="BOND"/>
    <s v="Corp"/>
    <s v="#N/A Field Not Applicable"/>
    <n v="0.6"/>
    <n v="9.1730000000000006E-3"/>
    <s v="High"/>
    <n v="2.1"/>
    <n v="2.2839000000000002E-2"/>
    <s v="High"/>
    <n v="5118108.1914344691"/>
    <s v=""/>
    <s v=""/>
    <s v="B+"/>
    <s v="B2"/>
    <s v="B+"/>
    <n v="8"/>
    <n v="7"/>
    <n v="8"/>
    <n v="8"/>
    <s v="CN"/>
    <s v="Communications"/>
    <x v="2"/>
    <s v="Internet Connectiv Svcs"/>
    <s v="N"/>
    <s v=" "/>
    <s v="ACTV"/>
    <x v="2"/>
    <x v="2"/>
    <s v="Non-Investment Grade"/>
    <s v="China"/>
    <s v="High"/>
    <s v="High"/>
    <s v="Information Technology"/>
    <s v="INDUSTRIAL"/>
    <s v="#N/A Field Not Applicable"/>
    <n v="7.4386999398901019E-2"/>
    <s v="10/15/2021"/>
    <n v="1.4602739726027398"/>
    <s v="1 - 2 yrs"/>
    <n v="1.3578174890278851E-2"/>
    <n v="1.2916339280468974"/>
    <n v="1.201009652865309E-2"/>
    <n v="13.728030034646324"/>
    <n v="0.12764837024191641"/>
    <s v="XS1976766045"/>
    <s v="-"/>
    <n v="-2.69"/>
    <n v="5118108.1914344691"/>
    <n v="1.0039931162951236E-2"/>
  </r>
  <r>
    <s v="Investments"/>
    <s v="Investments Long"/>
    <s v="Avaliable for Trading"/>
    <s v="United States Dollar"/>
    <m/>
    <s v="WB 3.5 07/05/24"/>
    <s v="US948596AD39"/>
    <n v="2000000"/>
    <n v="101.492"/>
    <n v="1947708.72"/>
    <n v="15100001.4"/>
    <n v="631664.56999999995"/>
    <n v="173303.09"/>
    <n v="15731665.970000001"/>
    <n v="3.5000000000000001E-3"/>
    <m/>
    <s v="Investments"/>
    <s v="BBG00PKGT0Y7"/>
    <s v="BOND"/>
    <s v="Corp"/>
    <s v="#N/A Field Not Applicable"/>
    <n v="0.3"/>
    <n v="5.5490000000000001E-3"/>
    <s v="High"/>
    <n v="0.8"/>
    <n v="1.5402000000000001E-2"/>
    <s v="High"/>
    <n v="2051724.5949432405"/>
    <s v=""/>
    <s v=""/>
    <s v="BBB"/>
    <s v="Baa1"/>
    <s v=""/>
    <n v="13"/>
    <n v="14"/>
    <n v="0"/>
    <n v="13"/>
    <s v="CN"/>
    <s v="Communications"/>
    <x v="2"/>
    <s v="Internet Content-Entmnt"/>
    <s v="N"/>
    <s v=" "/>
    <s v="ACTV"/>
    <x v="2"/>
    <x v="2"/>
    <s v="Investment Grade"/>
    <s v="China"/>
    <s v="High"/>
    <s v="High"/>
    <s v="Communication Services"/>
    <s v="INDUSTRIAL"/>
    <s v="#N/A Field Not Applicable"/>
    <n v="4.8457388856596922E-2"/>
    <s v="7/5/2024"/>
    <n v="4.183561643835616"/>
    <s v="3 - 5 yrs"/>
    <n v="1.5594190260068174E-2"/>
    <n v="3.7342426678702725"/>
    <n v="1.3919357618606593E-2"/>
    <n v="3.1761568536190818"/>
    <n v="1.1839097517335787E-2"/>
    <s v="US948596AD39"/>
    <s v="-"/>
    <n v="-2.25"/>
    <n v="2051724.5949432405"/>
    <n v="4.024763238307149E-3"/>
  </r>
  <r>
    <s v="Investments"/>
    <s v="Investments Long"/>
    <s v="Avaliable for Trading"/>
    <s v="United States Dollar"/>
    <m/>
    <s v="WREICL 2.875 05/07/30 EMTN"/>
    <s v="XS2161921338"/>
    <n v="2000000"/>
    <n v="99.052999999999997"/>
    <n v="1977860"/>
    <n v="15328810.560000001"/>
    <n v="24800.65"/>
    <n v="0"/>
    <n v="15353611.210000001"/>
    <n v="3.3999999999999998E-3"/>
    <m/>
    <s v="Investments"/>
    <s v="BBG00TJ8VS75"/>
    <s v="BOND"/>
    <s v="Corp"/>
    <s v="#N/A Field Not Applicable"/>
    <s v="N.A."/>
    <s v="N.A."/>
    <s v="Not Covered"/>
    <s v="N.A."/>
    <s v="N.A."/>
    <s v="Not Covered"/>
    <n v="1980600.0012899898"/>
    <n v="6.6666666666666671E-3"/>
    <n v="4.8323066392881584"/>
    <s v=""/>
    <s v="A2"/>
    <s v=""/>
    <n v="0"/>
    <n v="16"/>
    <n v="0"/>
    <n v="16"/>
    <s v="HK"/>
    <s v="Financial"/>
    <x v="16"/>
    <s v="Real Estate Oper/Develop"/>
    <s v="N"/>
    <s v=" "/>
    <s v="ACTV"/>
    <x v="2"/>
    <x v="1"/>
    <s v="Investment Grade"/>
    <s v="Hong Kong"/>
    <s v="Medium"/>
    <s v="Medium"/>
    <s v="#N/A Field Not Applicable"/>
    <s v="FINANCIAL"/>
    <s v="#N/A Field Not Applicable"/>
    <n v="5.7572401987121304E-2"/>
    <s v="5/7/2030"/>
    <n v="10.024657534246575"/>
    <s v="10 yrs or Above"/>
    <n v="3.6071475834054255E-2"/>
    <n v="8.6164655156461425"/>
    <n v="3.1004413523434259E-2"/>
    <n v="3.0695065419540279"/>
    <n v="1.1044929033467245E-2"/>
    <s v="XS2161921338"/>
    <s v="-"/>
    <n v="-4.6399999999999997"/>
    <n v="1980600.0012899898"/>
    <n v="3.8852417593617469E-3"/>
  </r>
  <r>
    <s v="Investments"/>
    <s v="Investments Long"/>
    <s v="Avaliable for Trading"/>
    <s v="United States Dollar"/>
    <m/>
    <s v="XIHUI 4.5 04/17/22"/>
    <s v="XS1958219922"/>
    <n v="2500000"/>
    <n v="101.18300000000001"/>
    <n v="2493075"/>
    <n v="19536982.239999998"/>
    <n v="67729.929999999993"/>
    <n v="31485.19"/>
    <n v="19604712.170000002"/>
    <n v="4.3E-3"/>
    <m/>
    <s v="Investments"/>
    <s v="BBG00NV899R9"/>
    <s v="BOND"/>
    <s v="Corp"/>
    <s v="#N/A Field Not Applicable"/>
    <n v="0.5"/>
    <n v="1.0071E-2"/>
    <s v="High"/>
    <n v="1.6"/>
    <n v="3.8126E-2"/>
    <s v="High"/>
    <n v="2533049.1950464402"/>
    <s v=""/>
    <s v=""/>
    <s v=""/>
    <s v=""/>
    <s v="BBB+"/>
    <n v="0"/>
    <n v="0"/>
    <n v="14"/>
    <n v="14"/>
    <s v="CN"/>
    <s v="Industrial"/>
    <x v="7"/>
    <s v="Building-Heavy Construct"/>
    <s v="N"/>
    <s v=" "/>
    <s v="ACTV"/>
    <x v="2"/>
    <x v="2"/>
    <s v="Investment Grade"/>
    <s v="China"/>
    <s v="High"/>
    <s v="High"/>
    <s v="#N/A Field Not Applicable"/>
    <s v="SPECIAL PURPOSE"/>
    <s v="Chengtou Bond"/>
    <n v="6.4427199138372873E-2"/>
    <s v="4/17/2022"/>
    <n v="1.9643835616438357"/>
    <s v="1 - 2 yrs"/>
    <n v="9.03998077929811E-3"/>
    <n v="1.8418417058995928"/>
    <n v="8.4760501690966765E-3"/>
    <n v="4.1075638805153334"/>
    <n v="1.8902774007396355E-2"/>
    <s v="XS1958219922"/>
    <s v="-"/>
    <n v="-1.39"/>
    <n v="2533049.1950464402"/>
    <n v="4.9689530973958344E-3"/>
  </r>
  <r>
    <s v="Investments"/>
    <s v="Investments Long"/>
    <s v="Avaliable for Trading"/>
    <s v="United States Dollar"/>
    <m/>
    <s v="YLLGSP 6.75 04/23/23"/>
    <s v="XS1809258210"/>
    <n v="500000"/>
    <n v="97.757000000000005"/>
    <n v="514750"/>
    <n v="4000894.38"/>
    <n v="-212712.87"/>
    <n v="5086.07"/>
    <n v="3788181.51"/>
    <n v="8.0000000000000004E-4"/>
    <m/>
    <s v="Investments"/>
    <s v="BBG00KMQKL04"/>
    <s v="BOND"/>
    <s v="Corp"/>
    <s v="#N/A Field Not Applicable"/>
    <n v="0.3"/>
    <n v="7.8429999999999993E-3"/>
    <s v="High"/>
    <n v="0.7"/>
    <n v="2.0823999999999999E-2"/>
    <s v="High"/>
    <n v="489327.60319917439"/>
    <s v=""/>
    <s v=""/>
    <s v="B+"/>
    <s v="Ba3"/>
    <s v=""/>
    <n v="8"/>
    <n v="9"/>
    <n v="0"/>
    <n v="8"/>
    <s v="SG"/>
    <s v="Financial"/>
    <x v="16"/>
    <s v="Real Estate Oper/Develop"/>
    <s v="N"/>
    <s v=" "/>
    <s v="ACTV"/>
    <x v="2"/>
    <x v="1"/>
    <s v="Non-Investment Grade"/>
    <s v="Singapore"/>
    <s v="High"/>
    <s v="High"/>
    <s v="#N/A Field Not Applicable"/>
    <s v="FINANCIAL"/>
    <s v="#N/A Field Not Applicable"/>
    <n v="7.1119270565557979E-3"/>
    <s v="4/23/2023"/>
    <n v="2.9808219178082194"/>
    <s v="2 - 3 yrs"/>
    <n v="2.6499235060043523E-3"/>
    <n v="2.6243747493412108"/>
    <n v="2.3330452232976995E-3"/>
    <n v="7.5646439774737422"/>
    <n v="6.7248995220759219E-3"/>
    <s v="XS1809258210"/>
    <s v="-"/>
    <n v="-3.26"/>
    <n v="489327.60319917439"/>
    <n v="9.59888941088347E-4"/>
  </r>
  <r>
    <s v="Investments"/>
    <s v="Investments Long"/>
    <s v="Avaliable for Trading"/>
    <s v="United States Dollar"/>
    <m/>
    <s v="YLLGSP 6.8 02/27/24"/>
    <s v="XS2030531938"/>
    <n v="3000000"/>
    <n v="95.811999999999998"/>
    <n v="3082500"/>
    <n v="23958731.25"/>
    <n v="-1681866.38"/>
    <n v="276682.14"/>
    <n v="22276864.870000001"/>
    <n v="4.8999999999999998E-3"/>
    <m/>
    <s v="Investments"/>
    <s v="BBG00Q2B8JR6"/>
    <s v="BOND"/>
    <s v="Corp"/>
    <s v="#N/A Field Not Applicable"/>
    <n v="0.3"/>
    <n v="1.3127E-2"/>
    <s v="High"/>
    <n v="1.5"/>
    <n v="3.3623E-2"/>
    <s v="High"/>
    <n v="2909384.2892156867"/>
    <s v=""/>
    <s v=""/>
    <s v="B+"/>
    <s v="Ba3"/>
    <s v=""/>
    <n v="8"/>
    <n v="9"/>
    <n v="0"/>
    <n v="8"/>
    <s v="SG"/>
    <s v="Financial"/>
    <x v="16"/>
    <s v="Real Estate Oper/Develop"/>
    <s v="N"/>
    <s v=" "/>
    <s v="ACTV"/>
    <x v="2"/>
    <x v="1"/>
    <s v="Non-Investment Grade"/>
    <s v="Singapore"/>
    <s v="High"/>
    <s v="High"/>
    <s v="#N/A Field Not Applicable"/>
    <s v="FINANCIAL"/>
    <s v="#N/A Field Not Applicable"/>
    <n v="4.2285227134364757E-2"/>
    <s v="2/27/2024"/>
    <n v="3.8301369863013699"/>
    <s v="3 - 5 yrs"/>
    <n v="2.0244776552685591E-2"/>
    <n v="3.2320030623868705"/>
    <n v="1.7083247948998913E-2"/>
    <n v="8.0910763591944441"/>
    <n v="4.2766625201253267E-2"/>
    <s v="XS2030531938"/>
    <s v="-"/>
    <n v="-4.22"/>
    <n v="2909384.2892156867"/>
    <n v="5.7071904105470885E-3"/>
  </r>
  <r>
    <s v="Investments"/>
    <s v="Investments Long"/>
    <s v="Avaliable for Trading"/>
    <s v="United States Dollar"/>
    <m/>
    <s v="YUZHOU 6.375 03/06/21"/>
    <s v="XS1788498167"/>
    <n v="1800000"/>
    <n v="99.513000000000005"/>
    <n v="1824660"/>
    <n v="14198226.859999999"/>
    <n v="-315805.11"/>
    <n v="133400.32000000001"/>
    <n v="13882421.75"/>
    <n v="3.0999999999999999E-3"/>
    <m/>
    <s v="Investments"/>
    <s v="BBG00K67R1J1"/>
    <s v="BOND"/>
    <s v="Corp"/>
    <s v="#N/A Field Not Applicable"/>
    <n v="0.3"/>
    <n v="5.2119999999999996E-3"/>
    <s v="High"/>
    <n v="1.5"/>
    <n v="1.3295E-2"/>
    <s v="High"/>
    <n v="1808026.5828173375"/>
    <s v=""/>
    <s v=""/>
    <s v="B+"/>
    <s v=""/>
    <s v="BB-"/>
    <n v="8"/>
    <n v="0"/>
    <n v="9"/>
    <n v="8"/>
    <s v="CN"/>
    <s v="Financial"/>
    <x v="16"/>
    <s v="Real Estate Oper/Develop"/>
    <s v="N"/>
    <s v=" "/>
    <s v="ACTV"/>
    <x v="2"/>
    <x v="1"/>
    <s v="Non-Investment Grade"/>
    <s v="China"/>
    <s v="High"/>
    <s v="High"/>
    <s v="Real Estate"/>
    <s v="FINANCIAL"/>
    <s v="#N/A Field Not Applicable"/>
    <n v="2.6278004938292514E-2"/>
    <s v="3/6/2021"/>
    <n v="0.84931506849315064"/>
    <s v="0 - 1 yr"/>
    <n v="2.7897881955036567E-3"/>
    <n v="0.78762072218162871"/>
    <n v="2.5871376533737945E-3"/>
    <n v="6.9694811028981665"/>
    <n v="2.2893007354911798E-2"/>
    <s v="XS1788498167"/>
    <s v="-"/>
    <n v="-1.36"/>
    <n v="1808026.5828173375"/>
    <n v="3.54671330759508E-3"/>
  </r>
  <r>
    <s v="Investments"/>
    <s v="Investments Long"/>
    <s v="Avaliable for Trading"/>
    <s v="United States Dollar"/>
    <m/>
    <s v="YUZHOU 7.375 01/13/26"/>
    <s v="XS2100653778"/>
    <n v="1000000"/>
    <n v="81.873999999999995"/>
    <n v="690000"/>
    <n v="5349363"/>
    <n v="996035.75"/>
    <n v="169885.46"/>
    <n v="6345398.75"/>
    <n v="1.4E-3"/>
    <m/>
    <s v="Investments"/>
    <s v="BBG00R9LVRX4"/>
    <s v="BOND"/>
    <s v="Corp"/>
    <s v="#N/A Field Not Applicable"/>
    <n v="0.2"/>
    <n v="2.2502000000000001E-2"/>
    <s v="High"/>
    <n v="0.5"/>
    <n v="6.2039999999999998E-2"/>
    <s v="High"/>
    <n v="840464.93937048502"/>
    <s v=""/>
    <s v=""/>
    <s v=""/>
    <s v="B1 *-"/>
    <s v="BB-"/>
    <n v="0"/>
    <n v="8"/>
    <n v="9"/>
    <n v="8"/>
    <s v="CN"/>
    <s v="Financial"/>
    <x v="16"/>
    <s v="Real Estate Oper/Develop"/>
    <s v="N"/>
    <s v=" "/>
    <s v="ACTV"/>
    <x v="2"/>
    <x v="1"/>
    <s v="Non-Investment Grade"/>
    <s v="China"/>
    <s v="High"/>
    <s v="High"/>
    <s v="Real Estate"/>
    <s v="FINANCIAL"/>
    <s v="#N/A Field Not Applicable"/>
    <n v="1.2215385568515513E-2"/>
    <s v="1/13/2026"/>
    <n v="5.7095890410958905"/>
    <s v="5 - 7 yrs"/>
    <n v="8.7181039468446336E-3"/>
    <n v="4.2379511603100593"/>
    <n v="6.4710259304656343E-3"/>
    <n v="12.08273613822074"/>
    <n v="1.8449410081375312E-2"/>
    <s v="XS2100653778"/>
    <s v="-"/>
    <n v="-11.01"/>
    <n v="840464.93937048502"/>
    <n v="1.6486971006739598E-3"/>
  </r>
  <r>
    <s v="Investments"/>
    <s v="Investments Long"/>
    <s v="Avaliable for Trading"/>
    <s v="United States Dollar"/>
    <m/>
    <s v="YUZHOU 7.7 02/20/25"/>
    <s v="XS2121187962"/>
    <n v="5500000"/>
    <n v="85.697000000000003"/>
    <n v="4939555"/>
    <n v="38363783.229999997"/>
    <n v="-1834494.32"/>
    <n v="638207.43999999994"/>
    <n v="36529288.909999996"/>
    <n v="8.0000000000000002E-3"/>
    <m/>
    <s v="Investments"/>
    <s v="BBG00RPXWXD8"/>
    <s v="BOND"/>
    <s v="Corp"/>
    <s v="#N/A Field Not Applicable"/>
    <n v="0.1"/>
    <n v="1.8037000000000001E-2"/>
    <s v="High"/>
    <n v="0.9"/>
    <n v="4.9165E-2"/>
    <s v="High"/>
    <n v="4794568.6726006186"/>
    <s v=""/>
    <s v=""/>
    <s v=""/>
    <s v="B1 *-"/>
    <s v="BB-"/>
    <n v="0"/>
    <n v="8"/>
    <n v="9"/>
    <n v="8"/>
    <s v="CN"/>
    <s v="Financial"/>
    <x v="16"/>
    <s v="Real Estate Oper/Develop"/>
    <s v="N"/>
    <s v=" "/>
    <s v="ACTV"/>
    <x v="2"/>
    <x v="1"/>
    <s v="Non-Investment Grade"/>
    <s v="China"/>
    <s v="High"/>
    <s v="High"/>
    <s v="Real Estate"/>
    <s v="FINANCIAL"/>
    <s v="#N/A Field Not Applicable"/>
    <n v="6.9684649801584481E-2"/>
    <s v="2/20/2025"/>
    <n v="4.8136986301369866"/>
    <s v="3 - 5 yrs"/>
    <n v="4.1930112911432858E-2"/>
    <n v="3.7300063509890564"/>
    <n v="3.2490523290794798E-2"/>
    <n v="11.853795770003646"/>
    <n v="0.10325345088152595"/>
    <s v="XS2121187962"/>
    <s v="-"/>
    <n v="-9.5500000000000007"/>
    <n v="4794568.6726006186"/>
    <n v="9.4052602306285236E-3"/>
  </r>
  <r>
    <s v="Investments"/>
    <s v="Investments Long"/>
    <s v="Avaliable for Trading"/>
    <s v="United States Dollar"/>
    <m/>
    <s v="YUZHOU 8.625 01/23/22"/>
    <s v="XS1938265474"/>
    <n v="4000000"/>
    <n v="100.29"/>
    <n v="4231250"/>
    <n v="32881885.879999999"/>
    <n v="-1791183.56"/>
    <n v="720445.68"/>
    <n v="31090702.32"/>
    <n v="6.7999999999999996E-3"/>
    <m/>
    <s v="Investments"/>
    <s v="BBG00N2KDB12"/>
    <s v="BOND"/>
    <s v="Corp"/>
    <s v="#N/A Field Not Applicable"/>
    <n v="0.3"/>
    <n v="8.2129999999999998E-3"/>
    <s v="High"/>
    <n v="1.9"/>
    <n v="2.1561E-2"/>
    <s v="High"/>
    <n v="4103605.2631578948"/>
    <s v=""/>
    <s v=""/>
    <s v=""/>
    <s v="B1 *-"/>
    <s v="BB-"/>
    <n v="0"/>
    <n v="8"/>
    <n v="9"/>
    <n v="8"/>
    <s v="CN"/>
    <s v="Financial"/>
    <x v="16"/>
    <s v="Real Estate Oper/Develop"/>
    <s v="N"/>
    <s v=" "/>
    <s v="ACTV"/>
    <x v="2"/>
    <x v="1"/>
    <s v="Non-Investment Grade"/>
    <s v="China"/>
    <s v="High"/>
    <s v="High"/>
    <s v="Real Estate"/>
    <s v="FINANCIAL"/>
    <s v="#N/A Field Not Applicable"/>
    <n v="5.9642131589699471E-2"/>
    <s v="1/23/2022"/>
    <n v="1.7342465753424658"/>
    <s v="1 - 2 yrs"/>
    <n v="1.2929270306945125E-2"/>
    <n v="1.5264398318694465"/>
    <n v="1.1380015664514534E-2"/>
    <n v="8.4217443428579788"/>
    <n v="6.2786348038942827E-2"/>
    <s v="XS1938265474"/>
    <s v="-"/>
    <n v="-3.02"/>
    <n v="4103605.2631578948"/>
    <n v="8.0498326375711918E-3"/>
  </r>
  <r>
    <s v="Investments"/>
    <s v="Investments Long"/>
    <s v="Avaliable for Trading"/>
    <s v="United States Dollar"/>
    <m/>
    <s v="YWSOAO 4.5 05/30/22"/>
    <s v="XS1831038143"/>
    <n v="5000000"/>
    <n v="100.02200000000001"/>
    <n v="4985803.2300000004"/>
    <n v="39136915.07"/>
    <n v="-377389.85"/>
    <n v="726581.25"/>
    <n v="38759525.219999999"/>
    <n v="8.5000000000000006E-3"/>
    <m/>
    <s v="Investments"/>
    <s v="BBG00P7N38J5"/>
    <s v="BOND"/>
    <s v="Corp"/>
    <s v="#N/A Field Not Applicable"/>
    <n v="0.7"/>
    <n v="9.0159999999999997E-3"/>
    <s v="High"/>
    <n v="2"/>
    <n v="2.3139E-2"/>
    <s v="High"/>
    <n v="5093666.9852941176"/>
    <s v=""/>
    <s v=""/>
    <s v=""/>
    <s v="Baa3"/>
    <s v="BBB"/>
    <n v="0"/>
    <n v="12"/>
    <n v="13"/>
    <n v="12"/>
    <s v="CN"/>
    <s v="Financial"/>
    <x v="16"/>
    <s v="Real Estate Oper/Develop"/>
    <s v="N"/>
    <s v=" "/>
    <s v="ACTV"/>
    <x v="2"/>
    <x v="1"/>
    <s v="Investment Grade"/>
    <s v="China"/>
    <s v="High"/>
    <s v="High"/>
    <s v="#N/A Field Not Applicable"/>
    <s v="SPECIAL PURPOSE"/>
    <s v="Chengtou Bond"/>
    <n v="0.11104765339097272"/>
    <s v="5/30/2022"/>
    <n v="2.0821917808219177"/>
    <s v="2 - 3 yrs"/>
    <n v="1.9268542597520383E-2"/>
    <n v="1.9129448214678244"/>
    <n v="1.7702336124201263E-2"/>
    <n v="4.5247178570502289"/>
    <n v="4.1871608356804889E-2"/>
    <s v="XS1831038143"/>
    <s v="-"/>
    <n v="-2.21"/>
    <n v="5093666.9852941176"/>
    <n v="9.9919860984839966E-3"/>
  </r>
  <r>
    <s v="Investments"/>
    <s v="Investments Long"/>
    <s v="Avaliable for Trading"/>
    <s v="United States Dollar"/>
    <m/>
    <s v="YZCOAL 4.75 11/30/20"/>
    <s v="XS1728036952"/>
    <n v="2000000"/>
    <n v="99.581000000000003"/>
    <n v="1942347.38"/>
    <n v="15234487.359999999"/>
    <n v="200965.89"/>
    <n v="306778.73"/>
    <n v="15435453.25"/>
    <n v="3.3999999999999998E-3"/>
    <m/>
    <s v="Investments"/>
    <s v="BBG00JC8V4T3"/>
    <s v="BOND"/>
    <s v="Corp"/>
    <s v="#N/A Field Not Applicable"/>
    <n v="0.3"/>
    <n v="3.9940000000000002E-3"/>
    <s v="High"/>
    <n v="1.7"/>
    <n v="9.9570000000000006E-3"/>
    <s v="High"/>
    <n v="2030731.6795665636"/>
    <s v=""/>
    <s v=""/>
    <s v=""/>
    <s v=""/>
    <s v=""/>
    <n v="0"/>
    <n v="0"/>
    <n v="0"/>
    <n v="0"/>
    <s v="CN"/>
    <s v="Energy"/>
    <x v="15"/>
    <s v="Coal"/>
    <s v="N"/>
    <s v=" "/>
    <s v="ACTV"/>
    <x v="2"/>
    <x v="2"/>
    <s v="Non-Investment Grade"/>
    <s v="China"/>
    <s v="High"/>
    <s v="High"/>
    <s v="#N/A Field Not Applicable"/>
    <s v="SPECIAL PURPOSE"/>
    <s v="#N/A Field Not Applicable"/>
    <n v="0"/>
    <s v="11/30/2020"/>
    <n v="0.58630136986301373"/>
    <s v="0 - 1 yr"/>
    <n v="2.1630723418424027E-3"/>
    <n v="0.53780211562827596"/>
    <n v="1.9841415038338622E-3"/>
    <n v="5.3747258277967136"/>
    <n v="1.9829257410415774E-2"/>
    <s v="XS1728036952"/>
    <s v="-"/>
    <n v="-0.56000000000000005"/>
    <n v="2030731.6795665636"/>
    <n v="3.983582509528451E-3"/>
  </r>
  <r>
    <s v="Investments"/>
    <s v="Investments Long"/>
    <s v="Avaliable for Trading"/>
    <s v="United States Dollar"/>
    <m/>
    <s v="ZHPRHK 5.6 02/28/21"/>
    <s v="XS2122877330"/>
    <n v="3000000"/>
    <n v="98.01"/>
    <n v="3000000"/>
    <n v="23316900"/>
    <n v="-528986.93999999994"/>
    <n v="209772.08"/>
    <n v="22787913.059999999"/>
    <n v="5.0000000000000001E-3"/>
    <m/>
    <s v="Investments"/>
    <s v="BBG00RT2L457"/>
    <s v="BOND"/>
    <s v="Corp"/>
    <s v="#N/A Field Not Applicable"/>
    <n v="0.3"/>
    <n v="7.0039999999999998E-3"/>
    <s v="High"/>
    <n v="1"/>
    <n v="1.8194999999999999E-2"/>
    <s v="High"/>
    <n v="2966677.6496388027"/>
    <s v=""/>
    <s v=""/>
    <s v=""/>
    <s v=""/>
    <s v=""/>
    <n v="0"/>
    <n v="0"/>
    <n v="0"/>
    <n v="0"/>
    <s v="CN"/>
    <s v="Financial"/>
    <x v="16"/>
    <s v="Real Estate Oper/Develop"/>
    <s v="N"/>
    <s v=" "/>
    <s v="ACTV"/>
    <x v="2"/>
    <x v="1"/>
    <s v="Non-Investment Grade"/>
    <s v="China"/>
    <s v="High"/>
    <s v="High"/>
    <s v="Real Estate"/>
    <s v="FINANCIAL"/>
    <s v="#N/A Field Not Applicable"/>
    <n v="0"/>
    <s v="2/28/2021"/>
    <n v="0.83287671232876714"/>
    <s v="0 - 1 yr"/>
    <n v="4.488990334877669E-3"/>
    <n v="0.76479112912972114"/>
    <n v="4.122026628964397E-3"/>
    <n v="7.8679318370906248"/>
    <n v="4.2406120196856197E-2"/>
    <s v="XS2122877330"/>
    <s v="-"/>
    <n v="-1.41"/>
    <n v="2966677.6496388027"/>
    <n v="5.8195798664216073E-3"/>
  </r>
  <r>
    <s v="Investments"/>
    <s v="Investments Long"/>
    <s v="Avaliable for Trading"/>
    <s v="United States Dollar"/>
    <m/>
    <s v="ZHPRHK 8.65 01/21/23"/>
    <s v="XS1973630889"/>
    <n v="2191000"/>
    <n v="97.647000000000006"/>
    <n v="2237093.75"/>
    <n v="17368750.539999999"/>
    <n v="-787617.92"/>
    <n v="403928.13"/>
    <n v="16581132.619999999"/>
    <n v="3.5999999999999999E-3"/>
    <m/>
    <s v="Investments"/>
    <s v="BBG00NQDZNG6"/>
    <s v="BOND"/>
    <s v="Corp"/>
    <s v="#N/A Field Not Applicable"/>
    <n v="0.3"/>
    <n v="1.89E-2"/>
    <s v="High"/>
    <n v="1.7"/>
    <n v="5.0563999999999998E-2"/>
    <s v="High"/>
    <n v="2191055.3083075336"/>
    <s v=""/>
    <s v=""/>
    <s v="B-"/>
    <s v="B2"/>
    <s v=""/>
    <n v="6"/>
    <n v="7"/>
    <n v="0"/>
    <n v="6"/>
    <s v="CN"/>
    <s v="Financial"/>
    <x v="16"/>
    <s v="Real Estate Oper/Develop"/>
    <s v="N"/>
    <s v=" "/>
    <s v="ACTV"/>
    <x v="2"/>
    <x v="1"/>
    <s v="Non-Investment Grade"/>
    <s v="China"/>
    <s v="High"/>
    <s v="High"/>
    <s v="Real Estate"/>
    <s v="FINANCIAL"/>
    <s v="#N/A Field Not Applicable"/>
    <n v="2.3883731616127297E-2"/>
    <s v="1/21/2023"/>
    <n v="2.7287671232876711"/>
    <s v="2 - 3 yrs"/>
    <n v="1.0862190269252415E-2"/>
    <n v="2.2955943112908552"/>
    <n v="9.1378930717298957E-3"/>
    <n v="9.6799913176791286"/>
    <n v="3.8532385779648459E-2"/>
    <s v="XS1973630889"/>
    <s v="-"/>
    <n v="-4.93"/>
    <n v="2191055.3083075336"/>
    <n v="4.2980811750798625E-3"/>
  </r>
  <r>
    <s v="Investments"/>
    <s v="Investments Long"/>
    <s v="Avaliable for Trading"/>
    <s v="United States Dollar"/>
    <m/>
    <s v="ZHPRHK 9.15 03/08/22"/>
    <s v="XS1960071303"/>
    <n v="3500000"/>
    <n v="100.489"/>
    <n v="3504664.99"/>
    <n v="27483627.359999999"/>
    <n v="-225282.75"/>
    <n v="358511.34"/>
    <n v="27258344.609999999"/>
    <n v="6.0000000000000001E-3"/>
    <m/>
    <s v="Investments"/>
    <s v="BBG00NHNXCH9"/>
    <s v="BOND"/>
    <s v="Corp"/>
    <s v="#N/A Field Not Applicable"/>
    <n v="0.3"/>
    <n v="1.0418E-2"/>
    <s v="High"/>
    <n v="1.9"/>
    <n v="2.7630999999999999E-2"/>
    <s v="High"/>
    <n v="3562545.9171826625"/>
    <s v=""/>
    <s v=""/>
    <s v="B-"/>
    <s v="B2"/>
    <s v=""/>
    <n v="6"/>
    <n v="7"/>
    <n v="0"/>
    <n v="6"/>
    <s v="CN"/>
    <s v="Financial"/>
    <x v="16"/>
    <s v="Real Estate Oper/Develop"/>
    <s v="N"/>
    <s v=" "/>
    <s v="ACTV"/>
    <x v="2"/>
    <x v="1"/>
    <s v="Non-Investment Grade"/>
    <s v="China"/>
    <s v="High"/>
    <s v="High"/>
    <s v="Real Estate"/>
    <s v="FINANCIAL"/>
    <s v="#N/A Field Not Applicable"/>
    <n v="3.8833748392159757E-2"/>
    <s v="3/8/2022"/>
    <n v="1.8547945205479452"/>
    <s v="1 - 2 yrs"/>
    <n v="1.2004770621685916E-2"/>
    <n v="1.6358139117338417"/>
    <n v="1.0587464310777773E-2"/>
    <n v="8.938499032844323"/>
    <n v="5.7852570407506632E-2"/>
    <s v="XS1960071303"/>
    <s v="-"/>
    <n v="-3.3"/>
    <n v="3562545.9171826625"/>
    <n v="6.9884641815948344E-3"/>
  </r>
  <r>
    <s v="Investments"/>
    <s v="Investments Long"/>
    <s v="Avaliable for Trading"/>
    <s v="United States Dollar"/>
    <m/>
    <s v="ZHPRHK 9.8 08/20/21"/>
    <s v="XS1951935847"/>
    <n v="4000000"/>
    <n v="101.514"/>
    <n v="4003590.86"/>
    <n v="31423400.52"/>
    <n v="46751.43"/>
    <n v="590737.46"/>
    <n v="31470151.949999999"/>
    <n v="6.8999999999999999E-3"/>
    <m/>
    <s v="Investments"/>
    <s v="BBG00N9X3LW2"/>
    <s v="BOND"/>
    <s v="Corp"/>
    <s v="#N/A Field Not Applicable"/>
    <n v="0.4"/>
    <n v="1.1063999999999999E-2"/>
    <s v="High"/>
    <n v="2.4"/>
    <n v="2.8334999999999999E-2"/>
    <s v="High"/>
    <n v="4135821.6473168214"/>
    <s v=""/>
    <s v=""/>
    <s v="B-"/>
    <s v="B2"/>
    <s v=""/>
    <n v="6"/>
    <n v="7"/>
    <n v="0"/>
    <n v="6"/>
    <s v="CN"/>
    <s v="Financial"/>
    <x v="16"/>
    <s v="Real Estate Oper/Develop"/>
    <s v="N"/>
    <s v=" "/>
    <s v="ACTV"/>
    <x v="2"/>
    <x v="1"/>
    <s v="Non-Investment Grade"/>
    <s v="China"/>
    <s v="High"/>
    <s v="High"/>
    <s v="Real Estate"/>
    <s v="FINANCIAL"/>
    <s v="#N/A Field Not Applicable"/>
    <n v="4.5082775346728027E-2"/>
    <s v="8/20/2021"/>
    <n v="1.3068493150684932"/>
    <s v="1 - 2 yrs"/>
    <n v="9.8193990138763787E-3"/>
    <n v="1.1675682292055176"/>
    <n v="8.7728693632082352E-3"/>
    <n v="8.5949575559679836"/>
    <n v="6.4580756768394532E-2"/>
    <s v="XS1951935847"/>
    <s v="-"/>
    <n v="-2.36"/>
    <n v="4135821.6473168214"/>
    <n v="8.1130298712318895E-3"/>
  </r>
  <r>
    <s v="Investments"/>
    <s v="Investments Long"/>
    <s v="Avaliable for Trading"/>
    <s v="United States Dollar"/>
    <m/>
    <s v="ZHPRHK V10.25 PERP"/>
    <s v="XS2013512608"/>
    <n v="1300000"/>
    <n v="90.236999999999995"/>
    <n v="1284140"/>
    <n v="9971256.8000000007"/>
    <n v="-879644.44"/>
    <n v="272521.78999999998"/>
    <n v="9091612.3599999994"/>
    <n v="2E-3"/>
    <m/>
    <s v="Investments"/>
    <s v="BBG00PF578H3"/>
    <s v="BOND"/>
    <s v="Corp"/>
    <s v="#N/A Field Not Applicable"/>
    <n v="0.3"/>
    <n v="1.312E-2"/>
    <s v="High"/>
    <n v="1.4"/>
    <n v="3.1036000000000001E-2"/>
    <s v="High"/>
    <n v="1207963.6416408666"/>
    <s v=""/>
    <s v=""/>
    <s v=""/>
    <s v="B2"/>
    <s v=""/>
    <n v="0"/>
    <n v="7"/>
    <n v="0"/>
    <n v="7"/>
    <s v="CN"/>
    <s v="Financial"/>
    <x v="16"/>
    <s v="Real Estate Oper/Develop"/>
    <s v="N"/>
    <s v=" "/>
    <s v="ACTV"/>
    <x v="2"/>
    <x v="1"/>
    <s v="Non-Investment Grade"/>
    <s v="China"/>
    <s v="High"/>
    <s v="High"/>
    <s v="Real Estate"/>
    <s v="FINANCIAL"/>
    <s v="#N/A Field Not Applicable"/>
    <n v="1.536206131410791E-2"/>
    <s v="1/25/2169"/>
    <n v="148.83835616438355"/>
    <s v="10 yrs or Above"/>
    <n v="0.32663770761261302"/>
    <n v="1.440638566410317"/>
    <n v="3.1615968555234008E-3"/>
    <n v="14.381793253599247"/>
    <n v="3.156199853837359E-2"/>
    <s v="XS2013512608"/>
    <s v="-"/>
    <n v="-14.62"/>
    <n v="1207963.6416408666"/>
    <n v="2.3696005156200258E-3"/>
  </r>
  <r>
    <s v="Receivable Investments"/>
    <s v="AccruedInterestReceivable"/>
    <s v="AccruedInterestReceivable"/>
    <s v="United States Dollar"/>
    <m/>
    <s v="United States Dollar"/>
    <s v="USD"/>
    <n v="-8083.34"/>
    <n v="1"/>
    <n v="-8083.34"/>
    <n v="-62647.5"/>
    <n v="0"/>
    <n v="0"/>
    <n v="-62647.5"/>
    <n v="-5.9999999999999995E-4"/>
    <m/>
    <s v="Receivable Investments"/>
    <s v="#N/A Invalid Security"/>
    <s v="Cash Adjustments"/>
    <s v="Cash Adjustments"/>
    <s v="Cash Adjustments"/>
    <n v="0"/>
    <n v="0"/>
    <s v="High"/>
    <n v="0"/>
    <n v="0"/>
    <s v="High"/>
    <n v="-8081.4628482972139"/>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8081.4628482972139"/>
    <n v="-1.5852992484340433E-5"/>
  </r>
  <r>
    <s v="Receivable Investments"/>
    <s v="NAV Adjustment"/>
    <s v="NAV Adjustment"/>
    <s v="Hong Kong Dollar"/>
    <m/>
    <s v="Hong Kong Dollar"/>
    <s v="HKD"/>
    <n v="-5382.1"/>
    <n v="1"/>
    <n v="-5382.1"/>
    <n v="-5382.1"/>
    <n v="0"/>
    <n v="0"/>
    <n v="-5382.1"/>
    <n v="-1E-4"/>
    <m/>
    <s v="Receivable Investments"/>
    <s v="#N/A Invalid Security"/>
    <s v="Cash Adjustments"/>
    <s v="Cash Adjustments"/>
    <s v="Cash Adjustments"/>
    <n v="0"/>
    <n v="0"/>
    <s v="High"/>
    <n v="0"/>
    <n v="0"/>
    <s v="High"/>
    <n v="-694.28534571723435"/>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694.28534571723435"/>
    <n v="-1.3619440656046715E-6"/>
  </r>
  <r>
    <s v="Receivable Investments"/>
    <s v="Receivable"/>
    <s v="Receivable"/>
    <s v="United States Dollar"/>
    <m/>
    <s v="United States Dollar"/>
    <s v="USD"/>
    <n v="13723812"/>
    <n v="1"/>
    <n v="13723812"/>
    <n v="106362287.76000001"/>
    <n v="0"/>
    <n v="0"/>
    <n v="106362287.76000001"/>
    <n v="1.0005999999999999"/>
    <m/>
    <s v="Receivable Investments"/>
    <s v="#N/A Invalid Security"/>
    <s v="Cash Adjustments"/>
    <s v="Cash Adjustments"/>
    <s v="Cash Adjustments"/>
    <n v="0"/>
    <n v="0"/>
    <s v="High"/>
    <n v="0"/>
    <n v="0"/>
    <s v="High"/>
    <n v="13720625.356037153"/>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13720625.356037153"/>
    <n v="2.6915049259372433E-2"/>
  </r>
  <r>
    <s v="Payable Investments"/>
    <s v="Audit Fees Payable"/>
    <s v="Audit Fees Payable"/>
    <s v="Hong Kong Dollar"/>
    <m/>
    <s v="Hong Kong Dollar"/>
    <s v="HKD"/>
    <n v="-134727.56"/>
    <n v="1"/>
    <n v="-134727.56"/>
    <n v="-134727.56"/>
    <n v="0"/>
    <n v="0"/>
    <n v="-134727.56"/>
    <n v="1.1999999999999999E-3"/>
    <m/>
    <s v="Payable Investments"/>
    <s v="#N/A Invalid Security"/>
    <s v="Cash Adjustments"/>
    <s v="Cash Adjustments"/>
    <s v="Cash Adjustments"/>
    <n v="0"/>
    <n v="0"/>
    <s v="High"/>
    <n v="0"/>
    <n v="0"/>
    <s v="High"/>
    <n v="-17379.716202270381"/>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7379.716202270381"/>
    <n v="-3.4092900692182843E-5"/>
  </r>
  <r>
    <s v="Payable Investments"/>
    <s v="CapitalPayable"/>
    <s v="CapitalPayable"/>
    <s v="Hong Kong Dollar"/>
    <m/>
    <s v="Hong Kong Dollar"/>
    <s v="HKD"/>
    <n v="-10211085.48"/>
    <n v="1"/>
    <n v="-10211085.48"/>
    <n v="-10211085.48"/>
    <n v="0"/>
    <n v="0"/>
    <n v="-10211085.48"/>
    <n v="8.9399999999999993E-2"/>
    <m/>
    <s v="Payable Investments"/>
    <s v="#N/A Invalid Security"/>
    <s v="Cash Adjustments"/>
    <s v="Cash Adjustments"/>
    <s v="Cash Adjustments"/>
    <n v="0"/>
    <n v="0"/>
    <s v="High"/>
    <n v="0"/>
    <n v="0"/>
    <s v="High"/>
    <n v="-1317219.4891640868"/>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317219.4891640868"/>
    <n v="-2.583922125725651E-3"/>
  </r>
  <r>
    <s v="Payable Investments"/>
    <s v="Legal Fee Payable"/>
    <s v="Legal Fee Payable"/>
    <s v="Hong Kong Dollar"/>
    <m/>
    <s v="Hong Kong Dollar"/>
    <s v="HKD"/>
    <n v="-106000"/>
    <n v="1"/>
    <n v="-106000"/>
    <n v="-106000"/>
    <n v="0"/>
    <n v="0"/>
    <n v="-106000"/>
    <n v="8.9999999999999998E-4"/>
    <m/>
    <s v="Payable Investments"/>
    <s v="#N/A Invalid Security"/>
    <s v="Cash Adjustments"/>
    <s v="Cash Adjustments"/>
    <s v="Cash Adjustments"/>
    <n v="0"/>
    <n v="0"/>
    <s v="High"/>
    <n v="0"/>
    <n v="0"/>
    <s v="High"/>
    <n v="-13673.89060887513"/>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3673.89060887513"/>
    <n v="-2.6823372095296477E-5"/>
  </r>
  <r>
    <s v="Payable Investments"/>
    <s v="Management Fee Payable"/>
    <s v="Management Fee Payable"/>
    <s v="Hong Kong Dollar"/>
    <m/>
    <s v="Hong Kong Dollar"/>
    <s v="HKD"/>
    <n v="-4331427.4800000004"/>
    <n v="1"/>
    <n v="-4331427.4800000004"/>
    <n v="-4331427.4800000004"/>
    <n v="0"/>
    <n v="0"/>
    <n v="-4331427.4800000004"/>
    <n v="3.7900000000000003E-2"/>
    <m/>
    <s v="Payable Investments"/>
    <s v="#N/A Invalid Security"/>
    <s v="Cash Adjustments"/>
    <s v="Cash Adjustments"/>
    <s v="Cash Adjustments"/>
    <n v="0"/>
    <n v="0"/>
    <s v="High"/>
    <n v="0"/>
    <n v="0"/>
    <s v="High"/>
    <n v="-558749.67492260074"/>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558749.67492260074"/>
    <n v="-1.0960706698097391E-3"/>
  </r>
  <r>
    <s v="Payable Investments"/>
    <s v="Payable"/>
    <s v="Payable"/>
    <s v="United States Dollar"/>
    <m/>
    <s v="United States Dollar"/>
    <s v="USD"/>
    <n v="-12552120"/>
    <n v="1"/>
    <n v="-12552120"/>
    <n v="-97281440.420000002"/>
    <n v="327.08"/>
    <n v="0"/>
    <n v="-97281113.340000004"/>
    <n v="0.85150000000000003"/>
    <m/>
    <s v="Payable Investments"/>
    <s v="#N/A Invalid Security"/>
    <s v="Cash Adjustments"/>
    <s v="Cash Adjustments"/>
    <s v="Cash Adjustments"/>
    <n v="0"/>
    <n v="0"/>
    <s v="High"/>
    <n v="0"/>
    <n v="0"/>
    <s v="High"/>
    <n v="-12549163.22755418"/>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12549163.22755418"/>
    <n v="-2.4617051895882355E-2"/>
  </r>
  <r>
    <s v="Payable Investments"/>
    <s v="SFC Annual Fee Payable"/>
    <s v="SFC Annual Fee Payable"/>
    <s v="Hong Kong Dollar"/>
    <m/>
    <s v="Hong Kong Dollar"/>
    <s v="HKD"/>
    <n v="1006.98"/>
    <n v="1"/>
    <n v="1006.98"/>
    <n v="1006.98"/>
    <n v="0"/>
    <n v="0"/>
    <n v="1006.98"/>
    <n v="0"/>
    <m/>
    <s v="Payable Investments"/>
    <s v="#N/A Invalid Security"/>
    <s v="Cash Adjustments"/>
    <s v="Cash Adjustments"/>
    <s v="Cash Adjustments"/>
    <n v="0"/>
    <n v="0"/>
    <s v="High"/>
    <n v="0"/>
    <n v="0"/>
    <s v="High"/>
    <n v="129.89938080495358"/>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29.89938080495358"/>
    <n v="2.5481697389171365E-7"/>
  </r>
  <r>
    <s v="Payable Investments"/>
    <s v="SoldAI"/>
    <s v="SoldAI"/>
    <s v="United States Dollar"/>
    <m/>
    <s v="United States Dollar"/>
    <s v="USD"/>
    <n v="-4250"/>
    <n v="1"/>
    <n v="-4250"/>
    <n v="-32938.35"/>
    <n v="0"/>
    <n v="0"/>
    <n v="-32938.35"/>
    <n v="2.9999999999999997E-4"/>
    <m/>
    <s v="Payable Investments"/>
    <s v="#N/A Invalid Security"/>
    <s v="Cash Adjustments"/>
    <s v="Cash Adjustments"/>
    <s v="Cash Adjustments"/>
    <n v="0"/>
    <n v="0"/>
    <s v="High"/>
    <n v="0"/>
    <n v="0"/>
    <s v="High"/>
    <n v="-4249.0131578947367"/>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4249.0131578947367"/>
    <n v="-8.3350718703312135E-6"/>
  </r>
  <r>
    <s v="Payable Investments"/>
    <s v="SubscriptionsInAdvance"/>
    <s v="SubscriptionsInAdvance"/>
    <s v="Hong Kong Dollar"/>
    <m/>
    <s v="Hong Kong Dollar"/>
    <s v="HKD"/>
    <n v="-281342.12"/>
    <n v="1"/>
    <n v="-281342.12"/>
    <n v="-281342.12"/>
    <n v="0"/>
    <n v="0"/>
    <n v="-281342.12"/>
    <n v="2.5000000000000001E-3"/>
    <m/>
    <s v="Payable Investments"/>
    <s v="#N/A Invalid Security"/>
    <s v="Cash Adjustments"/>
    <s v="Cash Adjustments"/>
    <s v="Cash Adjustments"/>
    <n v="0"/>
    <n v="0"/>
    <s v="High"/>
    <n v="0"/>
    <n v="0"/>
    <s v="High"/>
    <n v="-36292.843137254902"/>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36292.843137254902"/>
    <n v="-7.1193814819241059E-5"/>
  </r>
  <r>
    <s v="Payable Investments"/>
    <s v="System Fee Payable"/>
    <s v="System Fee Payable"/>
    <s v="United States Dollar"/>
    <m/>
    <s v="United States Dollar"/>
    <s v="USD"/>
    <n v="-8550"/>
    <n v="1"/>
    <n v="-8550"/>
    <n v="-66591.28"/>
    <n v="0"/>
    <n v="0"/>
    <n v="-66591.28"/>
    <n v="5.9999999999999995E-4"/>
    <m/>
    <s v="Payable Investments"/>
    <s v="#N/A Invalid Security"/>
    <s v="Cash Adjustments"/>
    <s v="Cash Adjustments"/>
    <s v="Cash Adjustments"/>
    <n v="0"/>
    <n v="0"/>
    <s v="High"/>
    <n v="0"/>
    <n v="0"/>
    <s v="High"/>
    <n v="-8590.2063983488133"/>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8590.2063983488133"/>
    <n v="-1.6850968695679944E-5"/>
  </r>
  <r>
    <s v="Payable Investments"/>
    <s v="Trustee Directors and Officers Fees Payable"/>
    <s v="Trustee Directors and Officers Fees Payable"/>
    <s v="Hong Kong Dollar"/>
    <m/>
    <s v="Hong Kong Dollar"/>
    <s v="HKD"/>
    <n v="-1804761.45"/>
    <n v="1"/>
    <n v="-1804761.45"/>
    <n v="-1804761.45"/>
    <n v="0"/>
    <n v="0"/>
    <n v="-1804761.45"/>
    <n v="1.5800000000000002E-2"/>
    <m/>
    <s v="Payable Investments"/>
    <s v="#N/A Invalid Security"/>
    <s v="Cash Adjustments"/>
    <s v="Cash Adjustments"/>
    <s v="Cash Adjustments"/>
    <n v="0"/>
    <n v="0"/>
    <s v="High"/>
    <n v="0"/>
    <n v="0"/>
    <s v="High"/>
    <n v="-232812.36455108359"/>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232812.36455108359"/>
    <n v="-4.5669611242072456E-4"/>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9B5AAB-AE5F-459F-B7E4-50A75D063854}" name="PivotTable6"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6:B40" firstHeaderRow="1" firstDataRow="1" firstDataCol="1" rowPageCount="1" colPageCount="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axis="axisRow" showAll="0" sortType="descending">
      <items count="15">
        <item x="0"/>
        <item x="5"/>
        <item x="13"/>
        <item x="4"/>
        <item x="10"/>
        <item x="6"/>
        <item x="11"/>
        <item x="2"/>
        <item x="7"/>
        <item x="3"/>
        <item x="9"/>
        <item x="8"/>
        <item x="12"/>
        <item x="1"/>
        <item t="default"/>
      </items>
    </pivotField>
    <pivotField showAll="0"/>
    <pivotField showAll="0"/>
    <pivotField showAll="0"/>
    <pivotField showAll="0"/>
    <pivotField showAll="0"/>
    <pivotField showAll="0"/>
    <pivotField showAll="0"/>
    <pivotField axis="axisPage" multipleItemSelectionAllowed="1" showAll="0">
      <items count="6">
        <item h="1" x="0"/>
        <item x="2"/>
        <item h="1" x="1"/>
        <item x="3"/>
        <item h="1" x="4"/>
        <item t="default"/>
      </items>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6"/>
  </rowFields>
  <rowItems count="14">
    <i>
      <x v="1"/>
    </i>
    <i>
      <x v="2"/>
    </i>
    <i>
      <x v="3"/>
    </i>
    <i>
      <x v="4"/>
    </i>
    <i>
      <x v="5"/>
    </i>
    <i>
      <x v="6"/>
    </i>
    <i>
      <x v="7"/>
    </i>
    <i>
      <x v="8"/>
    </i>
    <i>
      <x v="9"/>
    </i>
    <i>
      <x v="10"/>
    </i>
    <i>
      <x v="11"/>
    </i>
    <i>
      <x v="12"/>
    </i>
    <i>
      <x v="13"/>
    </i>
    <i t="grand">
      <x/>
    </i>
  </rowItems>
  <colItems count="1">
    <i/>
  </colItems>
  <pageFields count="1">
    <pageField fld="44" hier="-1"/>
  </pageFields>
  <dataFields count="1">
    <dataField name="Sum of Market Value (USD)" fld="27" baseField="0" baseItem="0" numFmtId="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967514-C4E6-4C55-A688-07A79B706FB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untry">
  <location ref="A50:B70" firstHeaderRow="1" firstDataRow="1" firstDataCol="1"/>
  <pivotFields count="69">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 showAll="0"/>
    <pivotField axis="axisRow" showAll="0">
      <items count="25">
        <item h="1" x="0"/>
        <item h="1" m="1" x="22"/>
        <item x="14"/>
        <item x="5"/>
        <item x="2"/>
        <item x="1"/>
        <item x="4"/>
        <item x="7"/>
        <item x="13"/>
        <item x="18"/>
        <item x="17"/>
        <item x="9"/>
        <item x="16"/>
        <item x="19"/>
        <item x="15"/>
        <item x="3"/>
        <item m="1" x="20"/>
        <item x="12"/>
        <item m="1" x="23"/>
        <item x="10"/>
        <item x="6"/>
        <item h="1" m="1" x="21"/>
        <item x="8"/>
        <item x="11"/>
        <item t="default"/>
      </items>
    </pivotField>
  </pivotFields>
  <rowFields count="1">
    <field x="68"/>
  </rowFields>
  <rowItems count="20">
    <i>
      <x v="2"/>
    </i>
    <i>
      <x v="3"/>
    </i>
    <i>
      <x v="4"/>
    </i>
    <i>
      <x v="5"/>
    </i>
    <i>
      <x v="6"/>
    </i>
    <i>
      <x v="7"/>
    </i>
    <i>
      <x v="8"/>
    </i>
    <i>
      <x v="9"/>
    </i>
    <i>
      <x v="10"/>
    </i>
    <i>
      <x v="11"/>
    </i>
    <i>
      <x v="12"/>
    </i>
    <i>
      <x v="13"/>
    </i>
    <i>
      <x v="14"/>
    </i>
    <i>
      <x v="15"/>
    </i>
    <i>
      <x v="17"/>
    </i>
    <i>
      <x v="19"/>
    </i>
    <i>
      <x v="20"/>
    </i>
    <i>
      <x v="22"/>
    </i>
    <i>
      <x v="23"/>
    </i>
    <i t="grand">
      <x/>
    </i>
  </rowItems>
  <colItems count="1">
    <i/>
  </colItems>
  <dataFields count="1">
    <dataField name="Sum of Market Value (USD)" fld="27" baseField="0" baseItem="0" numFmtId="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848C24-7713-4784-AC82-23C2D008646B}" name="PivotTable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FC Country">
  <location ref="A2:B18" firstHeaderRow="1" firstDataRow="1" firstDataCol="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8">
        <item x="10"/>
        <item x="3"/>
        <item x="13"/>
        <item h="1" x="0"/>
        <item h="1" x="16"/>
        <item x="4"/>
        <item x="6"/>
        <item x="1"/>
        <item x="9"/>
        <item x="15"/>
        <item x="11"/>
        <item x="2"/>
        <item x="14"/>
        <item x="12"/>
        <item x="5"/>
        <item x="7"/>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47"/>
  </rowFields>
  <rowItems count="16">
    <i>
      <x v="5"/>
    </i>
    <i>
      <x v="7"/>
    </i>
    <i>
      <x v="1"/>
    </i>
    <i>
      <x v="11"/>
    </i>
    <i>
      <x v="8"/>
    </i>
    <i>
      <x v="15"/>
    </i>
    <i>
      <x v="16"/>
    </i>
    <i>
      <x v="2"/>
    </i>
    <i>
      <x v="14"/>
    </i>
    <i>
      <x/>
    </i>
    <i>
      <x v="13"/>
    </i>
    <i>
      <x v="6"/>
    </i>
    <i>
      <x v="12"/>
    </i>
    <i>
      <x v="9"/>
    </i>
    <i>
      <x v="10"/>
    </i>
    <i t="grand">
      <x/>
    </i>
  </rowItems>
  <colItems count="1">
    <i/>
  </colItems>
  <dataFields count="1">
    <dataField name="Sum of Market Value (USD)" fld="27" baseField="0" baseItem="0" numFmtId="4"/>
  </dataFields>
  <formats count="3">
    <format dxfId="10">
      <pivotArea outline="0" collapsedLevelsAreSubtotals="1" fieldPosition="0"/>
    </format>
    <format dxfId="9">
      <pivotArea collapsedLevelsAreSubtotals="1" fieldPosition="0">
        <references count="1">
          <reference field="47" count="0"/>
        </references>
      </pivotArea>
    </format>
    <format dxfId="8">
      <pivotArea dataOnly="0" labelOnly="1" fieldPosition="0">
        <references count="1">
          <reference field="4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1095AC-A548-41F6-A692-7EE5C174177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ector" colHeaderCaption="Sector">
  <location ref="A3:G18" firstHeaderRow="1" firstDataRow="2" firstDataCol="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axis="axisRow" showAll="0">
      <items count="14">
        <item x="9"/>
        <item x="0"/>
        <item x="12"/>
        <item x="2"/>
        <item x="8"/>
        <item x="7"/>
        <item x="1"/>
        <item x="4"/>
        <item x="5"/>
        <item x="3"/>
        <item x="11"/>
        <item x="6"/>
        <item x="10"/>
        <item t="default"/>
      </items>
    </pivotField>
    <pivotField showAll="0"/>
    <pivotField showAll="0"/>
    <pivotField showAll="0"/>
    <pivotField showAll="0"/>
    <pivotField showAll="0"/>
    <pivotField axis="axisCol" showAll="0">
      <items count="6">
        <item x="0"/>
        <item x="4"/>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8"/>
  </rowFields>
  <rowItems count="14">
    <i>
      <x/>
    </i>
    <i>
      <x v="1"/>
    </i>
    <i>
      <x v="2"/>
    </i>
    <i>
      <x v="3"/>
    </i>
    <i>
      <x v="4"/>
    </i>
    <i>
      <x v="5"/>
    </i>
    <i>
      <x v="6"/>
    </i>
    <i>
      <x v="7"/>
    </i>
    <i>
      <x v="8"/>
    </i>
    <i>
      <x v="9"/>
    </i>
    <i>
      <x v="10"/>
    </i>
    <i>
      <x v="11"/>
    </i>
    <i>
      <x v="12"/>
    </i>
    <i t="grand">
      <x/>
    </i>
  </rowItems>
  <colFields count="1">
    <field x="44"/>
  </colFields>
  <colItems count="6">
    <i>
      <x/>
    </i>
    <i>
      <x v="1"/>
    </i>
    <i>
      <x v="2"/>
    </i>
    <i>
      <x v="3"/>
    </i>
    <i>
      <x v="4"/>
    </i>
    <i t="grand">
      <x/>
    </i>
  </colItems>
  <dataFields count="1">
    <dataField name="Sum of Market Value (USD)" fld="27" baseField="0" baseItem="0" numFmtId="4"/>
  </dataFields>
  <formats count="3">
    <format dxfId="2">
      <pivotArea outline="0" collapsedLevelsAreSubtotals="1" fieldPosition="0"/>
    </format>
    <format dxfId="1">
      <pivotArea dataOnly="0" labelOnly="1" fieldPosition="0">
        <references count="1">
          <reference field="44"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D6CED9-4D8A-4021-86CE-B0148CEB02CB}"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rowHeaderCaption="Industry Group" colHeaderCaption="Sector">
  <location ref="A26:B48" firstHeaderRow="1" firstDataRow="1" firstDataCol="1" rowPageCount="2" colPageCount="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38">
        <item x="5"/>
        <item x="0"/>
        <item x="30"/>
        <item x="15"/>
        <item x="17"/>
        <item x="10"/>
        <item x="8"/>
        <item x="18"/>
        <item x="7"/>
        <item x="1"/>
        <item x="2"/>
        <item x="23"/>
        <item x="22"/>
        <item x="16"/>
        <item x="12"/>
        <item x="6"/>
        <item x="13"/>
        <item x="9"/>
        <item x="21"/>
        <item x="25"/>
        <item x="4"/>
        <item m="1" x="36"/>
        <item x="19"/>
        <item m="1" x="32"/>
        <item m="1" x="34"/>
        <item x="3"/>
        <item m="1" x="33"/>
        <item m="1" x="35"/>
        <item x="31"/>
        <item x="11"/>
        <item x="14"/>
        <item x="26"/>
        <item x="27"/>
        <item x="24"/>
        <item x="20"/>
        <item x="28"/>
        <item x="2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multipleItemSelectionAllowed="1" showAll="0">
      <items count="7">
        <item h="1" x="0"/>
        <item h="1" x="4"/>
        <item x="2"/>
        <item h="1" x="1"/>
        <item h="1" x="5"/>
        <item h="1" x="3"/>
        <item t="default"/>
      </items>
    </pivotField>
    <pivotField axis="axisPage"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9"/>
  </rowFields>
  <rowItems count="22">
    <i>
      <x v="13"/>
    </i>
    <i>
      <x/>
    </i>
    <i>
      <x v="5"/>
    </i>
    <i>
      <x v="8"/>
    </i>
    <i>
      <x v="9"/>
    </i>
    <i>
      <x v="34"/>
    </i>
    <i>
      <x v="15"/>
    </i>
    <i>
      <x v="22"/>
    </i>
    <i>
      <x v="10"/>
    </i>
    <i>
      <x v="12"/>
    </i>
    <i>
      <x v="4"/>
    </i>
    <i>
      <x v="19"/>
    </i>
    <i>
      <x v="18"/>
    </i>
    <i>
      <x v="3"/>
    </i>
    <i>
      <x v="31"/>
    </i>
    <i>
      <x v="32"/>
    </i>
    <i>
      <x v="7"/>
    </i>
    <i>
      <x v="36"/>
    </i>
    <i>
      <x v="11"/>
    </i>
    <i>
      <x v="6"/>
    </i>
    <i>
      <x v="35"/>
    </i>
    <i t="grand">
      <x/>
    </i>
  </rowItems>
  <colItems count="1">
    <i/>
  </colItems>
  <pageFields count="2">
    <pageField fld="44" hier="-1"/>
    <pageField fld="45" hier="-1"/>
  </pageFields>
  <dataFields count="1">
    <dataField name="Sum of Market Value (USD)" fld="27" showDataAs="percentOfTotal" baseField="36" baseItem="23" numFmtId="10"/>
  </dataFields>
  <formats count="3">
    <format dxfId="5">
      <pivotArea outline="0" collapsedLevelsAreSubtotals="1" fieldPosition="0"/>
    </format>
    <format dxfId="4">
      <pivotArea dataOnly="0" labelOnly="1" grandCol="1" outline="0" fieldPosition="0"/>
    </format>
    <format dxfId="3">
      <pivotArea outline="0" fieldPosition="0">
        <references count="1">
          <reference field="4294967294" count="1">
            <x v="0"/>
          </reference>
        </references>
      </pivotArea>
    </format>
  </formats>
  <chartFormats count="4">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6F37CF-C601-4CCF-B6C0-5584A5432F36}"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7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axis="axisRow" showAll="0">
      <items count="19">
        <item x="10"/>
        <item x="3"/>
        <item x="13"/>
        <item x="0"/>
        <item x="17"/>
        <item x="4"/>
        <item x="6"/>
        <item x="1"/>
        <item x="5"/>
        <item x="9"/>
        <item x="8"/>
        <item x="12"/>
        <item x="7"/>
        <item x="15"/>
        <item x="14"/>
        <item x="11"/>
        <item x="2"/>
        <item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 showAll="0"/>
    <pivotField showAll="0"/>
    <pivotField showAll="0"/>
  </pivotFields>
  <rowFields count="1">
    <field x="47"/>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Market Value (USD)" fld="2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B79C05-7039-4505-8F48-226A57B1D2D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5" firstHeaderRow="1" firstDataRow="1" firstDataCol="1"/>
  <pivotFields count="15">
    <pivotField showAll="0"/>
    <pivotField showAll="0"/>
    <pivotField numFmtId="3" showAll="0"/>
    <pivotField numFmtId="4" showAll="0"/>
    <pivotField showAll="0"/>
    <pivotField dataField="1" showAll="0"/>
    <pivotField showAll="0"/>
    <pivotField showAll="0"/>
    <pivotField showAll="0"/>
    <pivotField showAll="0"/>
    <pivotField showAll="0"/>
    <pivotField showAll="0"/>
    <pivotField showAll="0"/>
    <pivotField showAll="0"/>
    <pivotField axis="axisRow" showAll="0" sortType="descending">
      <items count="33">
        <item x="10"/>
        <item x="6"/>
        <item x="19"/>
        <item x="31"/>
        <item x="14"/>
        <item x="5"/>
        <item x="1"/>
        <item x="8"/>
        <item x="13"/>
        <item x="12"/>
        <item x="21"/>
        <item x="3"/>
        <item x="26"/>
        <item x="17"/>
        <item x="22"/>
        <item x="29"/>
        <item x="9"/>
        <item x="18"/>
        <item x="20"/>
        <item x="25"/>
        <item x="23"/>
        <item x="24"/>
        <item x="2"/>
        <item x="4"/>
        <item x="28"/>
        <item x="11"/>
        <item x="16"/>
        <item x="27"/>
        <item x="15"/>
        <item x="7"/>
        <item x="30"/>
        <item h="1" x="0"/>
        <item t="default"/>
      </items>
      <autoSortScope>
        <pivotArea dataOnly="0" outline="0" fieldPosition="0">
          <references count="1">
            <reference field="4294967294" count="1" selected="0">
              <x v="0"/>
            </reference>
          </references>
        </pivotArea>
      </autoSortScope>
    </pivotField>
  </pivotFields>
  <rowFields count="1">
    <field x="14"/>
  </rowFields>
  <rowItems count="32">
    <i>
      <x v="22"/>
    </i>
    <i>
      <x v="1"/>
    </i>
    <i>
      <x v="6"/>
    </i>
    <i>
      <x v="16"/>
    </i>
    <i>
      <x v="26"/>
    </i>
    <i>
      <x v="9"/>
    </i>
    <i>
      <x v="24"/>
    </i>
    <i>
      <x v="18"/>
    </i>
    <i>
      <x v="8"/>
    </i>
    <i>
      <x v="20"/>
    </i>
    <i>
      <x v="21"/>
    </i>
    <i>
      <x v="28"/>
    </i>
    <i>
      <x v="19"/>
    </i>
    <i>
      <x/>
    </i>
    <i>
      <x v="30"/>
    </i>
    <i>
      <x v="25"/>
    </i>
    <i>
      <x v="15"/>
    </i>
    <i>
      <x v="27"/>
    </i>
    <i>
      <x v="11"/>
    </i>
    <i>
      <x v="13"/>
    </i>
    <i>
      <x v="5"/>
    </i>
    <i>
      <x v="23"/>
    </i>
    <i>
      <x v="3"/>
    </i>
    <i>
      <x v="10"/>
    </i>
    <i>
      <x v="4"/>
    </i>
    <i>
      <x v="12"/>
    </i>
    <i>
      <x v="17"/>
    </i>
    <i>
      <x v="29"/>
    </i>
    <i>
      <x v="2"/>
    </i>
    <i>
      <x v="14"/>
    </i>
    <i>
      <x v="7"/>
    </i>
    <i t="grand">
      <x/>
    </i>
  </rowItems>
  <colItems count="1">
    <i/>
  </colItems>
  <dataFields count="1">
    <dataField name="Sum of VaR % Contrib (Hist2Y)"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AFC5-11BB-45DA-AA7D-C70EC50CD4B8}">
  <sheetPr codeName="Sheet1">
    <pageSetUpPr fitToPage="1"/>
  </sheetPr>
  <dimension ref="A1:W207"/>
  <sheetViews>
    <sheetView view="pageBreakPreview" topLeftCell="A40" zoomScale="85" zoomScaleNormal="100" zoomScaleSheetLayoutView="85" workbookViewId="0">
      <selection activeCell="B63" sqref="B63"/>
    </sheetView>
  </sheetViews>
  <sheetFormatPr defaultRowHeight="14.4" outlineLevelRow="1"/>
  <cols>
    <col min="1" max="1" width="32.109375" customWidth="1"/>
    <col min="2" max="2" width="22.6640625" customWidth="1"/>
    <col min="3" max="3" width="22.44140625" customWidth="1"/>
    <col min="4" max="4" width="20.44140625" customWidth="1"/>
    <col min="5" max="5" width="19.109375" customWidth="1"/>
    <col min="6" max="6" width="18" customWidth="1"/>
    <col min="7" max="7" width="19.109375" customWidth="1"/>
    <col min="8" max="8" width="22.5546875" customWidth="1"/>
    <col min="9" max="11" width="19.109375" customWidth="1"/>
    <col min="12" max="12" width="19.5546875" customWidth="1"/>
    <col min="13" max="13" width="18.6640625" customWidth="1"/>
    <col min="14" max="18" width="19.109375" customWidth="1"/>
    <col min="19" max="19" width="17.6640625" bestFit="1" customWidth="1"/>
    <col min="20" max="20" width="12.5546875" bestFit="1" customWidth="1"/>
  </cols>
  <sheetData>
    <row r="1" spans="1:19">
      <c r="A1" s="27"/>
      <c r="B1" s="27"/>
      <c r="C1" s="27"/>
      <c r="D1" s="27"/>
      <c r="E1" s="27"/>
      <c r="F1" s="27"/>
      <c r="G1" s="27"/>
      <c r="H1" s="27"/>
      <c r="I1" s="27"/>
      <c r="J1" s="27"/>
      <c r="K1" s="27"/>
      <c r="L1" s="27"/>
      <c r="M1" s="27"/>
      <c r="N1" s="27"/>
      <c r="O1" s="27"/>
      <c r="P1" s="27"/>
      <c r="Q1" s="27"/>
      <c r="R1" s="27"/>
      <c r="S1" s="27"/>
    </row>
    <row r="2" spans="1:19" ht="15.6">
      <c r="A2" s="40" t="s">
        <v>295</v>
      </c>
      <c r="B2" s="40" t="s">
        <v>296</v>
      </c>
      <c r="C2" s="27"/>
      <c r="D2" s="27"/>
      <c r="E2" s="27"/>
      <c r="F2" s="27"/>
      <c r="G2" s="27"/>
      <c r="H2" s="27"/>
      <c r="I2" s="27"/>
      <c r="J2" s="27"/>
      <c r="K2" s="27"/>
      <c r="L2" s="27"/>
      <c r="M2" s="27"/>
      <c r="N2" s="27"/>
      <c r="O2" s="27"/>
      <c r="P2" s="27"/>
      <c r="Q2" s="27"/>
      <c r="R2" s="27"/>
      <c r="S2" s="27"/>
    </row>
    <row r="3" spans="1:19" ht="15.6">
      <c r="A3" s="40" t="s">
        <v>297</v>
      </c>
      <c r="B3" s="145">
        <v>19437</v>
      </c>
      <c r="C3" s="27"/>
      <c r="D3" s="27"/>
      <c r="E3" s="27"/>
      <c r="F3" s="27"/>
      <c r="G3" s="27"/>
      <c r="H3" s="27"/>
      <c r="I3" s="27"/>
      <c r="J3" s="27"/>
      <c r="K3" s="27"/>
      <c r="L3" s="27"/>
      <c r="M3" s="27"/>
      <c r="N3" s="27"/>
      <c r="O3" s="27"/>
      <c r="P3" s="27"/>
      <c r="Q3" s="27"/>
      <c r="R3" s="27"/>
      <c r="S3" s="27"/>
    </row>
    <row r="4" spans="1:19" ht="15.6">
      <c r="A4" s="40" t="s">
        <v>921</v>
      </c>
      <c r="B4" s="146">
        <f>C29/1000000</f>
        <v>593.02957296955594</v>
      </c>
      <c r="C4" s="27"/>
      <c r="D4" s="27"/>
      <c r="E4" s="27"/>
      <c r="F4" s="27"/>
      <c r="G4" s="27"/>
      <c r="H4" s="27"/>
      <c r="I4" s="27"/>
      <c r="J4" s="27"/>
      <c r="K4" s="27"/>
      <c r="L4" s="27"/>
      <c r="M4" s="27"/>
      <c r="N4" s="27"/>
      <c r="O4" s="27"/>
      <c r="P4" s="27"/>
      <c r="Q4" s="27"/>
      <c r="R4" s="27"/>
      <c r="S4" s="27"/>
    </row>
    <row r="5" spans="1:19" ht="31.2">
      <c r="A5" s="147" t="s">
        <v>807</v>
      </c>
      <c r="B5" s="148" t="str">
        <f>VLOOKUP(ROUND(SUM('Geneva investment position repo'!BB:BB),0),'Rating Scale'!$B$3:$C$28,2,0)</f>
        <v>BB-</v>
      </c>
      <c r="C5" s="27"/>
      <c r="D5" s="27"/>
      <c r="E5" s="27"/>
      <c r="F5" s="27"/>
      <c r="G5" s="27"/>
      <c r="H5" s="27"/>
      <c r="I5" s="27"/>
      <c r="J5" s="27"/>
      <c r="K5" s="27"/>
      <c r="L5" s="27"/>
      <c r="M5" s="27"/>
      <c r="N5" s="27"/>
      <c r="O5" s="27"/>
      <c r="P5" s="27"/>
      <c r="Q5" s="27"/>
      <c r="R5" s="27"/>
      <c r="S5" s="27"/>
    </row>
    <row r="6" spans="1:19" ht="31.2">
      <c r="A6" s="149" t="s">
        <v>796</v>
      </c>
      <c r="B6" s="148" t="e">
        <f>SUM('Geneva investment position repo'!BJ:BJ)</f>
        <v>#VALUE!</v>
      </c>
      <c r="C6" s="27"/>
      <c r="D6" s="27"/>
      <c r="E6" s="27"/>
      <c r="F6" s="27"/>
      <c r="G6" s="27"/>
      <c r="H6" s="27"/>
      <c r="I6" s="27"/>
      <c r="J6" s="27"/>
      <c r="K6" s="27"/>
      <c r="L6" s="27"/>
      <c r="M6" s="27"/>
      <c r="N6" s="27"/>
      <c r="O6" s="27"/>
      <c r="P6" s="27"/>
      <c r="Q6" s="27"/>
      <c r="R6" s="27"/>
      <c r="S6" s="27"/>
    </row>
    <row r="7" spans="1:19" ht="31.2">
      <c r="A7" s="149" t="s">
        <v>956</v>
      </c>
      <c r="B7" s="148" t="e">
        <f>SUM('Geneva investment position repo'!BH:BH)</f>
        <v>#VALUE!</v>
      </c>
      <c r="C7" s="27"/>
      <c r="D7" s="27"/>
      <c r="E7" s="27"/>
      <c r="F7" s="27"/>
      <c r="G7" s="27"/>
      <c r="H7" s="27"/>
      <c r="I7" s="27"/>
      <c r="J7" s="27"/>
      <c r="K7" s="27"/>
      <c r="L7" s="27"/>
      <c r="M7" s="27"/>
      <c r="N7" s="27"/>
      <c r="O7" s="27"/>
      <c r="P7" s="27"/>
      <c r="Q7" s="27"/>
      <c r="R7" s="27"/>
      <c r="S7" s="27"/>
    </row>
    <row r="8" spans="1:19" ht="31.2" hidden="1" outlineLevel="1">
      <c r="A8" s="149" t="s">
        <v>797</v>
      </c>
      <c r="B8" s="148">
        <f ca="1">SUM('Geneva investment position repo'!BF:BF)</f>
        <v>31.79372115298807</v>
      </c>
      <c r="C8" s="27"/>
      <c r="D8" s="27"/>
      <c r="E8" s="27"/>
      <c r="F8" s="27"/>
      <c r="G8" s="27"/>
      <c r="H8" s="27"/>
      <c r="I8" s="27"/>
      <c r="J8" s="27"/>
      <c r="K8" s="27"/>
      <c r="L8" s="27"/>
      <c r="M8" s="27"/>
      <c r="N8" s="27"/>
      <c r="O8" s="27"/>
      <c r="P8" s="27"/>
      <c r="Q8" s="27"/>
      <c r="R8" s="27"/>
      <c r="S8" s="27"/>
    </row>
    <row r="9" spans="1:19" ht="15.6" collapsed="1">
      <c r="A9" s="149" t="s">
        <v>1173</v>
      </c>
      <c r="B9" s="256">
        <f>(C23+S69)/C29</f>
        <v>2.1101702501813403E-2</v>
      </c>
      <c r="C9" s="27"/>
      <c r="D9" s="27"/>
      <c r="E9" s="27"/>
      <c r="F9" s="27"/>
      <c r="G9" s="27"/>
      <c r="H9" s="27"/>
      <c r="I9" s="27"/>
      <c r="J9" s="27"/>
      <c r="K9" s="27"/>
      <c r="L9" s="27"/>
      <c r="M9" s="27"/>
      <c r="N9" s="27"/>
      <c r="O9" s="27"/>
      <c r="P9" s="27"/>
      <c r="Q9" s="27"/>
      <c r="R9" s="27"/>
      <c r="S9" s="27"/>
    </row>
    <row r="10" spans="1:19" ht="15.6">
      <c r="A10" s="149" t="s">
        <v>892</v>
      </c>
      <c r="B10" s="177">
        <f>'BBG - VaR Data (Sample, Indus )'!F16/100</f>
        <v>1.5800000000000002E-2</v>
      </c>
      <c r="C10" s="27"/>
      <c r="D10" s="27"/>
      <c r="E10" s="27"/>
      <c r="F10" s="27"/>
      <c r="G10" s="27"/>
      <c r="H10" s="27"/>
      <c r="I10" s="27"/>
      <c r="J10" s="27"/>
      <c r="K10" s="27"/>
      <c r="L10" s="27"/>
      <c r="M10" s="27"/>
      <c r="N10" s="27"/>
      <c r="O10" s="27"/>
      <c r="P10" s="27"/>
      <c r="Q10" s="27"/>
      <c r="R10" s="27"/>
      <c r="S10" s="27"/>
    </row>
    <row r="11" spans="1:19" ht="15.6">
      <c r="A11" s="149" t="s">
        <v>998</v>
      </c>
      <c r="B11" s="177">
        <f>'BBG - VaR Data (Sample, Indus )'!I16/100</f>
        <v>3.6000000000000004E-2</v>
      </c>
      <c r="C11" s="27"/>
      <c r="D11" s="27"/>
      <c r="E11" s="27"/>
      <c r="F11" s="27"/>
      <c r="G11" s="27"/>
      <c r="H11" s="27"/>
      <c r="I11" s="27"/>
      <c r="J11" s="27"/>
      <c r="K11" s="27"/>
      <c r="L11" s="27"/>
      <c r="M11" s="27"/>
      <c r="N11" s="27"/>
      <c r="O11" s="27"/>
      <c r="P11" s="27"/>
      <c r="Q11" s="27"/>
      <c r="R11" s="27"/>
      <c r="S11" s="27"/>
    </row>
    <row r="12" spans="1:19" ht="31.2" hidden="1" outlineLevel="1">
      <c r="A12" s="149" t="s">
        <v>893</v>
      </c>
      <c r="B12" s="177">
        <f>'BBG - Scenarios (Sample View)'!P11/100</f>
        <v>-4.3400000000000001E-2</v>
      </c>
      <c r="C12" s="27"/>
      <c r="D12" s="27"/>
      <c r="E12" s="27"/>
      <c r="F12" s="27"/>
      <c r="G12" s="27"/>
      <c r="H12" s="27"/>
      <c r="I12" s="27"/>
      <c r="J12" s="27"/>
      <c r="K12" s="27"/>
      <c r="L12" s="27"/>
      <c r="M12" s="27"/>
      <c r="N12" s="27"/>
      <c r="O12" s="27"/>
      <c r="P12" s="27"/>
      <c r="Q12" s="27"/>
      <c r="R12" s="27"/>
      <c r="S12" s="27"/>
    </row>
    <row r="13" spans="1:19" ht="15.6" collapsed="1">
      <c r="A13" s="40" t="s">
        <v>298</v>
      </c>
      <c r="B13" s="150">
        <f ca="1">EOMONTH(TODAY(),-1)</f>
        <v>43951</v>
      </c>
      <c r="C13" s="27"/>
      <c r="D13" s="27"/>
      <c r="E13" s="27"/>
      <c r="F13" s="27"/>
      <c r="G13" s="27"/>
      <c r="H13" s="27"/>
      <c r="I13" s="27"/>
      <c r="J13" s="27"/>
      <c r="K13" s="27"/>
      <c r="L13" s="27"/>
      <c r="M13" s="27"/>
      <c r="N13" s="27"/>
      <c r="O13" s="27"/>
      <c r="P13" s="27"/>
      <c r="Q13" s="27"/>
      <c r="R13" s="27"/>
      <c r="S13" s="27"/>
    </row>
    <row r="14" spans="1:19">
      <c r="A14" s="27"/>
      <c r="B14" s="27"/>
      <c r="C14" s="27"/>
      <c r="D14" s="27"/>
      <c r="E14" s="27"/>
      <c r="F14" s="27"/>
      <c r="G14" s="27"/>
      <c r="H14" s="27"/>
      <c r="I14" s="27"/>
      <c r="J14" s="27"/>
      <c r="K14" s="27"/>
      <c r="L14" s="27"/>
      <c r="M14" s="27"/>
      <c r="N14" s="27"/>
      <c r="O14" s="27"/>
      <c r="P14" s="27"/>
      <c r="Q14" s="27"/>
      <c r="R14" s="27"/>
      <c r="S14" s="27"/>
    </row>
    <row r="15" spans="1:19" ht="18">
      <c r="A15" s="73" t="s">
        <v>310</v>
      </c>
      <c r="B15" s="27"/>
      <c r="C15" s="27"/>
      <c r="D15" s="27"/>
      <c r="E15" s="27"/>
      <c r="F15" s="27"/>
      <c r="G15" s="27"/>
      <c r="H15" s="27"/>
      <c r="I15" s="27"/>
      <c r="J15" s="27"/>
      <c r="K15" s="27"/>
      <c r="L15" s="27"/>
      <c r="M15" s="27"/>
      <c r="N15" s="27"/>
      <c r="O15" s="27"/>
      <c r="P15" s="27"/>
      <c r="Q15" s="27"/>
      <c r="R15" s="27"/>
      <c r="S15" s="27"/>
    </row>
    <row r="16" spans="1:19">
      <c r="A16" s="26"/>
      <c r="B16" s="27"/>
      <c r="C16" s="27"/>
      <c r="D16" s="27"/>
      <c r="E16" s="27"/>
      <c r="F16" s="27"/>
      <c r="G16" s="27"/>
      <c r="H16" s="27"/>
      <c r="I16" s="27"/>
      <c r="J16" s="27"/>
      <c r="K16" s="27"/>
      <c r="L16" s="27"/>
      <c r="M16" s="27"/>
      <c r="N16" s="27"/>
      <c r="O16" s="27"/>
      <c r="P16" s="27"/>
      <c r="Q16" s="27"/>
      <c r="R16" s="27"/>
      <c r="S16" s="27"/>
    </row>
    <row r="17" spans="1:19">
      <c r="A17" s="23" t="s">
        <v>406</v>
      </c>
      <c r="B17" s="24" t="s">
        <v>284</v>
      </c>
      <c r="C17" s="24" t="s">
        <v>283</v>
      </c>
      <c r="D17" s="24" t="s">
        <v>286</v>
      </c>
      <c r="E17" s="27"/>
      <c r="F17" s="27"/>
      <c r="G17" s="27"/>
      <c r="H17" s="27"/>
      <c r="I17" s="27"/>
      <c r="J17" s="27"/>
      <c r="K17" s="27"/>
      <c r="L17" s="27"/>
      <c r="M17" s="27"/>
      <c r="N17" s="27"/>
      <c r="O17" s="27"/>
      <c r="P17" s="27"/>
      <c r="Q17" s="27"/>
      <c r="R17" s="27"/>
      <c r="S17" s="27"/>
    </row>
    <row r="18" spans="1:19">
      <c r="A18" s="27"/>
      <c r="B18" s="27"/>
      <c r="C18" s="27"/>
      <c r="D18" s="27"/>
      <c r="E18" s="27"/>
      <c r="F18" s="27"/>
      <c r="G18" s="27"/>
      <c r="H18" s="27"/>
      <c r="I18" s="27"/>
      <c r="J18" s="27"/>
      <c r="K18" s="27"/>
      <c r="L18" s="27"/>
      <c r="M18" s="27"/>
      <c r="N18" s="27"/>
      <c r="O18" s="27"/>
      <c r="P18" s="27"/>
      <c r="Q18" s="27"/>
      <c r="R18" s="27"/>
      <c r="S18" s="27"/>
    </row>
    <row r="19" spans="1:19">
      <c r="A19" s="28" t="s">
        <v>235</v>
      </c>
      <c r="B19" s="29">
        <f>SUMIF('Geneva investment position repo'!AS:AS,'SFC Report'!A19,'Geneva investment position repo'!N:N)+SUMIF('Geneva investment position repo'!AS:AS,'SFC Report'!A19,'Geneva investment position repo'!M:M)</f>
        <v>259891975.92000002</v>
      </c>
      <c r="C19" s="29">
        <f>SUMIF('Geneva investment position repo'!AS:AS,'SFC Report'!A19,'Geneva investment position repo'!AB:AB)</f>
        <v>33525796.687306501</v>
      </c>
      <c r="D19" s="30">
        <f>C19/$C$29</f>
        <v>5.653309415823618E-2</v>
      </c>
      <c r="E19" s="27"/>
      <c r="F19" s="27"/>
      <c r="G19" s="27"/>
      <c r="H19" s="27"/>
      <c r="I19" s="27"/>
      <c r="J19" s="27"/>
      <c r="K19" s="27"/>
      <c r="L19" s="27"/>
      <c r="M19" s="27"/>
      <c r="N19" s="27"/>
      <c r="O19" s="27"/>
      <c r="P19" s="27"/>
      <c r="Q19" s="27"/>
      <c r="R19" s="27"/>
      <c r="S19" s="27"/>
    </row>
    <row r="20" spans="1:19">
      <c r="A20" s="28" t="s">
        <v>404</v>
      </c>
      <c r="B20" s="29">
        <f>SUM(B21:B22:B23)</f>
        <v>4266936429.2800002</v>
      </c>
      <c r="C20" s="29">
        <f>SUM(C21:C22:C23)</f>
        <v>550430395.93395221</v>
      </c>
      <c r="D20" s="30">
        <f>C20/$C$29</f>
        <v>0.92816685882578975</v>
      </c>
      <c r="E20" s="27"/>
      <c r="F20" s="27"/>
      <c r="G20" s="27"/>
      <c r="H20" s="27"/>
      <c r="I20" s="27"/>
      <c r="J20" s="27"/>
      <c r="K20" s="27"/>
      <c r="L20" s="27"/>
      <c r="M20" s="27"/>
      <c r="N20" s="27"/>
      <c r="O20" s="27"/>
      <c r="P20" s="27"/>
      <c r="Q20" s="27"/>
      <c r="R20" s="27"/>
      <c r="S20" s="27"/>
    </row>
    <row r="21" spans="1:19">
      <c r="A21" s="31" t="s">
        <v>411</v>
      </c>
      <c r="B21" s="32">
        <f>SUMIF('Geneva investment position repo'!AS:AS,'SFC Report'!A21,'Geneva investment position repo'!N:N)+SUMIF('Geneva investment position repo'!AS:AS,'SFC Report'!A21,'Geneva investment position repo'!M:M)</f>
        <v>63674037.219999999</v>
      </c>
      <c r="C21" s="32">
        <f>SUMIF('Geneva investment position repo'!AS:AS,'SFC Report'!A21,'Geneva investment position repo'!AB:AB)</f>
        <v>8213885.0902992785</v>
      </c>
      <c r="D21" s="33">
        <f>C21/$C$29</f>
        <v>1.3850717510037143E-2</v>
      </c>
      <c r="E21" s="27"/>
      <c r="F21" s="27"/>
      <c r="G21" s="27"/>
      <c r="H21" s="27"/>
      <c r="I21" s="27"/>
      <c r="J21" s="27"/>
      <c r="K21" s="27"/>
      <c r="L21" s="27"/>
      <c r="M21" s="27"/>
      <c r="N21" s="27"/>
      <c r="O21" s="27"/>
      <c r="P21" s="27"/>
      <c r="Q21" s="27"/>
      <c r="R21" s="27"/>
      <c r="S21" s="27"/>
    </row>
    <row r="22" spans="1:19">
      <c r="A22" s="31" t="s">
        <v>438</v>
      </c>
      <c r="B22" s="32">
        <f>SUMIF('Geneva investment position repo'!AS:AS,'SFC Report'!A22,'Geneva investment position repo'!N:N)+SUMIF('Geneva investment position repo'!AS:AS,'SFC Report'!A22,'Geneva investment position repo'!M:M)</f>
        <v>4203262392.0600004</v>
      </c>
      <c r="C22" s="32">
        <f>SUMIF('Geneva investment position repo'!AS:AS,'SFC Report'!A22,'Geneva investment position repo'!AB:AB)</f>
        <v>542216510.84365296</v>
      </c>
      <c r="D22" s="33">
        <f>C22/$C$29</f>
        <v>0.91431614131575256</v>
      </c>
      <c r="E22" s="27"/>
      <c r="F22" s="27"/>
      <c r="G22" s="27"/>
      <c r="H22" s="27"/>
      <c r="I22" s="27"/>
      <c r="J22" s="27"/>
      <c r="K22" s="27"/>
      <c r="L22" s="27"/>
      <c r="M22" s="27"/>
      <c r="N22" s="27"/>
      <c r="O22" s="27"/>
      <c r="P22" s="27"/>
      <c r="Q22" s="27"/>
      <c r="R22" s="27"/>
      <c r="S22" s="27"/>
    </row>
    <row r="23" spans="1:19">
      <c r="A23" s="31" t="s">
        <v>281</v>
      </c>
      <c r="B23" s="32">
        <f>SUMIF('Geneva investment position repo'!AS:AS,'SFC Report'!A23,'Geneva investment position repo'!N:N)</f>
        <v>0</v>
      </c>
      <c r="C23" s="32">
        <f>SUMIF('Geneva investment position repo'!AS:AS,'SFC Report'!A23,'Geneva investment position repo'!AB:AB)</f>
        <v>0</v>
      </c>
      <c r="D23" s="33">
        <f>C23/$C$29</f>
        <v>0</v>
      </c>
      <c r="E23" s="27"/>
      <c r="F23" s="27"/>
      <c r="G23" s="27"/>
      <c r="H23" s="27"/>
      <c r="I23" s="27"/>
      <c r="J23" s="27"/>
      <c r="K23" s="27"/>
      <c r="L23" s="27"/>
      <c r="M23" s="27"/>
      <c r="N23" s="27"/>
      <c r="O23" s="27"/>
      <c r="P23" s="27"/>
      <c r="Q23" s="27"/>
      <c r="R23" s="27"/>
      <c r="S23" s="27"/>
    </row>
    <row r="24" spans="1:19">
      <c r="A24" s="28" t="s">
        <v>521</v>
      </c>
      <c r="B24" s="29">
        <f>SUM(B25:B27)</f>
        <v>70336844.459999993</v>
      </c>
      <c r="C24" s="29">
        <f>SUM(C25:C27)</f>
        <v>9073380.3482972179</v>
      </c>
      <c r="D24" s="30">
        <f>SUM(D25:D27)</f>
        <v>1.5300047015974046E-2</v>
      </c>
      <c r="E24" s="27"/>
      <c r="F24" s="27"/>
      <c r="G24" s="27"/>
      <c r="H24" s="27"/>
      <c r="I24" s="27"/>
      <c r="J24" s="27"/>
      <c r="K24" s="27"/>
      <c r="L24" s="27"/>
      <c r="M24" s="27"/>
      <c r="N24" s="27"/>
      <c r="O24" s="27"/>
      <c r="P24" s="27"/>
      <c r="Q24" s="27"/>
      <c r="R24" s="27"/>
      <c r="S24" s="27"/>
    </row>
    <row r="25" spans="1:19">
      <c r="A25" s="31" t="s">
        <v>405</v>
      </c>
      <c r="B25" s="32">
        <f>SUMIF('Geneva investment position repo'!AS:AS,'SFC Report'!A25,'Geneva investment position repo'!N:N)+SUMIF('Geneva investment position repo'!AS:AS,'SFC Report'!A25,'Geneva investment position repo'!M:M)</f>
        <v>78291566.379999995</v>
      </c>
      <c r="C25" s="32">
        <f>SUMIF('Geneva investment position repo'!AS:AS,'SFC Report'!A25,'Geneva investment position repo'!AB:AB)</f>
        <v>10099531.266769867</v>
      </c>
      <c r="D25" s="33">
        <f>C25/$C$29</f>
        <v>1.7030400720485388E-2</v>
      </c>
      <c r="E25" s="27"/>
      <c r="F25" s="27"/>
      <c r="G25" s="27"/>
      <c r="H25" s="27"/>
      <c r="I25" s="27"/>
      <c r="J25" s="27"/>
      <c r="K25" s="27"/>
      <c r="L25" s="27"/>
      <c r="M25" s="27"/>
      <c r="N25" s="27"/>
      <c r="O25" s="27"/>
      <c r="P25" s="27"/>
      <c r="Q25" s="27"/>
      <c r="R25" s="27"/>
      <c r="S25" s="27"/>
    </row>
    <row r="26" spans="1:19">
      <c r="A26" s="31" t="s">
        <v>414</v>
      </c>
      <c r="B26" s="32">
        <f>SUMIF('Geneva investment position repo'!AS:AS,'SFC Report'!A26,'Geneva investment position repo'!N:N)+SUMIF('Geneva investment position repo'!AS:AS,'SFC Report'!A26,'Geneva investment position repo'!M:M)</f>
        <v>-7954721.9200000027</v>
      </c>
      <c r="C26" s="32">
        <f>SUMIF('Geneva investment position repo'!AS:AS,'SFC Report'!A26,'Geneva investment position repo'!AB:AB)</f>
        <v>-1026150.9184726502</v>
      </c>
      <c r="D26" s="33">
        <f>C26/$C$29</f>
        <v>-1.7303537045113416E-3</v>
      </c>
      <c r="E26" s="27"/>
      <c r="F26" s="27"/>
      <c r="G26" s="27"/>
      <c r="H26" s="27"/>
      <c r="I26" s="27"/>
      <c r="J26" s="27"/>
      <c r="K26" s="27"/>
      <c r="L26" s="27"/>
      <c r="M26" s="27"/>
      <c r="N26" s="27"/>
      <c r="O26" s="27"/>
      <c r="P26" s="27"/>
      <c r="Q26" s="27"/>
      <c r="R26" s="27"/>
      <c r="S26" s="27"/>
    </row>
    <row r="27" spans="1:19">
      <c r="A27" s="31" t="s">
        <v>451</v>
      </c>
      <c r="B27" s="32">
        <f>SUMIF('Geneva investment position repo'!AS:AS,'SFC Report'!A27,'Geneva investment position repo'!N:N)</f>
        <v>0</v>
      </c>
      <c r="C27" s="32">
        <f>SUMIF('Geneva investment position repo'!AS:AS,'SFC Report'!A27,'Geneva investment position repo'!AB:AB)</f>
        <v>0</v>
      </c>
      <c r="D27" s="33">
        <f>C27/$C$29</f>
        <v>0</v>
      </c>
      <c r="E27" s="27"/>
      <c r="F27" s="27"/>
      <c r="G27" s="27"/>
      <c r="H27" s="27"/>
      <c r="I27" s="27"/>
      <c r="J27" s="27"/>
      <c r="K27" s="27"/>
      <c r="L27" s="27"/>
      <c r="M27" s="27"/>
      <c r="N27" s="27"/>
      <c r="O27" s="27"/>
      <c r="P27" s="27"/>
      <c r="Q27" s="27"/>
      <c r="R27" s="27"/>
      <c r="S27" s="27"/>
    </row>
    <row r="28" spans="1:19">
      <c r="A28" s="27"/>
      <c r="B28" s="34"/>
      <c r="C28" s="34"/>
      <c r="D28" s="35"/>
      <c r="E28" s="27"/>
      <c r="F28" s="27"/>
      <c r="G28" s="27"/>
      <c r="H28" s="27"/>
      <c r="I28" s="27"/>
      <c r="J28" s="27"/>
      <c r="K28" s="27"/>
      <c r="L28" s="27"/>
      <c r="M28" s="27"/>
      <c r="N28" s="27"/>
      <c r="O28" s="27"/>
      <c r="P28" s="27"/>
      <c r="Q28" s="27"/>
      <c r="R28" s="27"/>
      <c r="S28" s="27"/>
    </row>
    <row r="29" spans="1:19">
      <c r="A29" s="28" t="s">
        <v>285</v>
      </c>
      <c r="B29" s="29">
        <f>SUM(B24,B19:B20)</f>
        <v>4597165249.6599998</v>
      </c>
      <c r="C29" s="29">
        <f>SUM(C24,C19:C20)</f>
        <v>593029572.96955597</v>
      </c>
      <c r="D29" s="30">
        <f t="shared" ref="D29" si="0">SUM(D24,D19:D20)</f>
        <v>1</v>
      </c>
      <c r="E29" s="27"/>
      <c r="F29" s="27"/>
      <c r="G29" s="27"/>
      <c r="H29" s="27"/>
      <c r="I29" s="27"/>
      <c r="J29" s="27"/>
      <c r="K29" s="27"/>
      <c r="L29" s="27"/>
      <c r="M29" s="27"/>
      <c r="N29" s="27"/>
      <c r="O29" s="27"/>
      <c r="P29" s="27"/>
      <c r="Q29" s="27"/>
      <c r="R29" s="27"/>
      <c r="S29" s="27"/>
    </row>
    <row r="30" spans="1:19">
      <c r="A30" s="27"/>
      <c r="B30" s="27"/>
      <c r="C30" s="27"/>
      <c r="D30" s="27"/>
      <c r="E30" s="27"/>
      <c r="F30" s="27"/>
      <c r="G30" s="27"/>
      <c r="H30" s="27"/>
      <c r="I30" s="27"/>
      <c r="J30" s="27"/>
      <c r="K30" s="27"/>
      <c r="L30" s="27"/>
      <c r="M30" s="27"/>
      <c r="N30" s="27"/>
      <c r="O30" s="27"/>
      <c r="P30" s="27"/>
      <c r="Q30" s="27"/>
      <c r="R30" s="27"/>
      <c r="S30" s="27"/>
    </row>
    <row r="31" spans="1:19" hidden="1" outlineLevel="1">
      <c r="A31" s="27" t="s">
        <v>415</v>
      </c>
      <c r="B31" s="36">
        <f>B29-SUM('Geneva investment position repo'!N:N)-SUM('Geneva investment position repo'!M:M)</f>
        <v>3.8743019104003906E-7</v>
      </c>
      <c r="C31" s="36">
        <f>C29-SUM('Geneva investment position repo'!AB:AB)</f>
        <v>0</v>
      </c>
      <c r="D31" s="27"/>
      <c r="E31" s="27"/>
      <c r="F31" s="27"/>
      <c r="G31" s="27"/>
      <c r="H31" s="27"/>
      <c r="I31" s="27"/>
      <c r="J31" s="27"/>
      <c r="K31" s="27"/>
      <c r="L31" s="27"/>
      <c r="M31" s="27"/>
      <c r="N31" s="27"/>
      <c r="O31" s="27"/>
      <c r="P31" s="27"/>
      <c r="Q31" s="27"/>
      <c r="R31" s="27"/>
      <c r="S31" s="27"/>
    </row>
    <row r="32" spans="1:19" hidden="1" outlineLevel="1">
      <c r="A32" s="27" t="s">
        <v>415</v>
      </c>
      <c r="B32" s="27"/>
      <c r="C32" s="34">
        <f>C19-F40</f>
        <v>0</v>
      </c>
      <c r="D32" s="27"/>
      <c r="E32" s="27"/>
      <c r="F32" s="27"/>
      <c r="G32" s="27"/>
      <c r="H32" s="27"/>
      <c r="I32" s="27"/>
      <c r="J32" s="27"/>
      <c r="K32" s="27"/>
      <c r="L32" s="27"/>
      <c r="M32" s="27"/>
      <c r="N32" s="27"/>
      <c r="O32" s="27"/>
      <c r="P32" s="27"/>
      <c r="Q32" s="27"/>
      <c r="R32" s="27"/>
      <c r="S32" s="27"/>
    </row>
    <row r="33" spans="1:19" hidden="1" outlineLevel="1">
      <c r="A33" s="27" t="s">
        <v>415</v>
      </c>
      <c r="B33" s="27"/>
      <c r="C33" s="34">
        <f>C20-S81</f>
        <v>0</v>
      </c>
      <c r="D33" s="27"/>
      <c r="E33" s="27"/>
      <c r="F33" s="27"/>
      <c r="G33" s="27"/>
      <c r="H33" s="27"/>
      <c r="I33" s="27"/>
      <c r="J33" s="27"/>
      <c r="K33" s="27"/>
      <c r="L33" s="27"/>
      <c r="M33" s="27"/>
      <c r="N33" s="27"/>
      <c r="O33" s="27"/>
      <c r="P33" s="27"/>
      <c r="Q33" s="27"/>
      <c r="R33" s="27"/>
      <c r="S33" s="27"/>
    </row>
    <row r="34" spans="1:19" collapsed="1">
      <c r="A34" s="27"/>
      <c r="B34" s="27"/>
      <c r="C34" s="34"/>
      <c r="D34" s="27"/>
      <c r="E34" s="27"/>
      <c r="F34" s="27"/>
      <c r="G34" s="27"/>
      <c r="H34" s="27"/>
      <c r="I34" s="27"/>
      <c r="J34" s="27"/>
      <c r="K34" s="27"/>
      <c r="L34" s="27"/>
      <c r="M34" s="27"/>
      <c r="N34" s="27"/>
      <c r="O34" s="27"/>
      <c r="P34" s="27"/>
      <c r="Q34" s="27"/>
      <c r="R34" s="27"/>
      <c r="S34" s="27"/>
    </row>
    <row r="35" spans="1:19">
      <c r="A35" s="27"/>
      <c r="B35" s="27"/>
      <c r="C35" s="34"/>
      <c r="D35" s="27"/>
      <c r="E35" s="27"/>
      <c r="F35" s="27"/>
      <c r="G35" s="27"/>
      <c r="H35" s="27"/>
      <c r="I35" s="27"/>
      <c r="J35" s="27"/>
      <c r="K35" s="27"/>
      <c r="L35" s="27"/>
      <c r="M35" s="27"/>
      <c r="N35" s="27"/>
      <c r="O35" s="27"/>
      <c r="P35" s="27"/>
      <c r="Q35" s="27"/>
      <c r="R35" s="27"/>
      <c r="S35" s="27"/>
    </row>
    <row r="36" spans="1:19" ht="18">
      <c r="A36" s="73" t="s">
        <v>442</v>
      </c>
      <c r="B36" s="27"/>
      <c r="C36" s="27"/>
      <c r="D36" s="27"/>
      <c r="E36" s="27"/>
      <c r="F36" s="27"/>
      <c r="G36" s="27"/>
      <c r="H36" s="27"/>
      <c r="I36" s="27"/>
      <c r="J36" s="27"/>
      <c r="K36" s="27"/>
      <c r="L36" s="27"/>
      <c r="M36" s="27"/>
      <c r="N36" s="27"/>
      <c r="O36" s="27"/>
      <c r="P36" s="27"/>
      <c r="Q36" s="27"/>
      <c r="R36" s="27"/>
      <c r="S36" s="27"/>
    </row>
    <row r="37" spans="1:19">
      <c r="A37" s="26"/>
      <c r="B37" s="27"/>
      <c r="C37" s="27"/>
      <c r="D37" s="27"/>
      <c r="E37" s="27"/>
      <c r="F37" s="27"/>
      <c r="G37" s="27"/>
      <c r="H37" s="27"/>
      <c r="I37" s="27"/>
      <c r="J37" s="27"/>
      <c r="K37" s="27"/>
      <c r="L37" s="27"/>
      <c r="M37" s="27"/>
      <c r="N37" s="27"/>
      <c r="O37" s="27"/>
      <c r="P37" s="27"/>
      <c r="Q37" s="27"/>
      <c r="R37" s="27"/>
      <c r="S37" s="27"/>
    </row>
    <row r="38" spans="1:19" ht="31.2">
      <c r="A38" s="25" t="s">
        <v>440</v>
      </c>
      <c r="B38" s="49" t="s">
        <v>377</v>
      </c>
      <c r="C38" s="49" t="s">
        <v>383</v>
      </c>
      <c r="D38" s="49" t="s">
        <v>381</v>
      </c>
      <c r="E38" s="64" t="s">
        <v>400</v>
      </c>
      <c r="F38" s="66" t="s">
        <v>285</v>
      </c>
      <c r="G38" s="27"/>
      <c r="H38" s="27"/>
      <c r="I38" s="27"/>
      <c r="J38" s="27"/>
      <c r="K38" s="27"/>
      <c r="L38" s="27"/>
      <c r="M38" s="27"/>
      <c r="N38" s="27"/>
      <c r="O38" s="27"/>
      <c r="P38" s="27"/>
      <c r="Q38" s="27"/>
      <c r="R38" s="27"/>
      <c r="S38" s="27"/>
    </row>
    <row r="39" spans="1:19" ht="15.6">
      <c r="A39" s="37"/>
      <c r="B39" s="38"/>
      <c r="C39" s="38"/>
      <c r="D39" s="37"/>
      <c r="E39" s="39"/>
      <c r="F39" s="40"/>
      <c r="G39" s="27"/>
      <c r="H39" s="27"/>
      <c r="I39" s="27"/>
      <c r="J39" s="27"/>
      <c r="K39" s="27"/>
      <c r="L39" s="27"/>
      <c r="M39" s="27"/>
      <c r="N39" s="27"/>
      <c r="O39" s="27"/>
      <c r="P39" s="27"/>
      <c r="Q39" s="27"/>
      <c r="R39" s="27"/>
      <c r="S39" s="27"/>
    </row>
    <row r="40" spans="1:19">
      <c r="A40" s="58" t="s">
        <v>416</v>
      </c>
      <c r="B40" s="59">
        <f>SUM(B41:B42)</f>
        <v>8350682.5232198145</v>
      </c>
      <c r="C40" s="59">
        <f t="shared" ref="C40:E40" si="1">SUM(C41:C42)</f>
        <v>25175114.164086685</v>
      </c>
      <c r="D40" s="59">
        <f t="shared" si="1"/>
        <v>0</v>
      </c>
      <c r="E40" s="59">
        <f t="shared" si="1"/>
        <v>0</v>
      </c>
      <c r="F40" s="59">
        <f>SUM(B40:E40)</f>
        <v>33525796.687306501</v>
      </c>
      <c r="G40" s="57"/>
      <c r="H40" s="27"/>
      <c r="I40" s="27"/>
      <c r="J40" s="27"/>
      <c r="K40" s="27"/>
      <c r="L40" s="27"/>
      <c r="M40" s="27"/>
      <c r="N40" s="27"/>
      <c r="O40" s="27"/>
      <c r="P40" s="27"/>
      <c r="Q40" s="27"/>
      <c r="R40" s="27"/>
      <c r="S40" s="27"/>
    </row>
    <row r="41" spans="1:19">
      <c r="A41" s="41" t="s">
        <v>433</v>
      </c>
      <c r="B41" s="43">
        <f>SUMIFS('Geneva investment position repo'!AB:AB,'Geneva investment position repo'!AR:AR,"ACTV",'Geneva investment position repo'!AS:AS,"Equity",'Geneva investment position repo'!AT:AT,$A41,'Geneva investment position repo'!AV:AV, 'SFC Report'!$B$38)</f>
        <v>8350682.5232198145</v>
      </c>
      <c r="C41" s="43">
        <f>SUMIFS('Geneva investment position repo'!AB:AB,'Geneva investment position repo'!AR:AR,"ACTV",'Geneva investment position repo'!AS:AS,"Equity",'Geneva investment position repo'!AT:AT,$A41,'Geneva investment position repo'!AV:AV, 'SFC Report'!$C$38)</f>
        <v>7465652.734778122</v>
      </c>
      <c r="D41" s="43">
        <f>SUMIFS('Geneva investment position repo'!AB:AB,'Geneva investment position repo'!AR:AR,"ACTV",'Geneva investment position repo'!AS:AS,"Equity",'Geneva investment position repo'!AT:AT,$A41,'Geneva investment position repo'!AV:AV, 'SFC Report'!$D$38)</f>
        <v>0</v>
      </c>
      <c r="E41" s="43">
        <f>SUMIFS('Geneva investment position repo'!AB:AB,'Geneva investment position repo'!AR:AR,"ACTV",'Geneva investment position repo'!AS:AS,"Equity",'Geneva investment position repo'!AT:AT,$A41,'Geneva investment position repo'!AV:AV, 'SFC Report'!$E$38)</f>
        <v>0</v>
      </c>
      <c r="F41" s="43">
        <f t="shared" ref="F41" si="2">SUM(B41:E41)</f>
        <v>15816335.257997938</v>
      </c>
      <c r="G41" s="27"/>
      <c r="H41" s="27"/>
      <c r="I41" s="27"/>
      <c r="J41" s="27"/>
      <c r="K41" s="27"/>
      <c r="L41" s="27"/>
      <c r="M41" s="27"/>
      <c r="N41" s="27"/>
      <c r="O41" s="27"/>
      <c r="P41" s="27"/>
      <c r="Q41" s="27"/>
      <c r="R41" s="27"/>
      <c r="S41" s="27"/>
    </row>
    <row r="42" spans="1:19">
      <c r="A42" s="41" t="s">
        <v>434</v>
      </c>
      <c r="B42" s="43">
        <f>SUMIFS('Geneva investment position repo'!AB:AB,'Geneva investment position repo'!AR:AR,"ACTV",'Geneva investment position repo'!AS:AS,"Equity",'Geneva investment position repo'!AT:AT,$A42,'Geneva investment position repo'!AV:AV, 'SFC Report'!$B$38)</f>
        <v>0</v>
      </c>
      <c r="C42" s="43">
        <f>SUMIFS('Geneva investment position repo'!AB:AB,'Geneva investment position repo'!AR:AR,"ACTV",'Geneva investment position repo'!AS:AS,"Equity",'Geneva investment position repo'!AT:AT,$A42,'Geneva investment position repo'!AV:AV, 'SFC Report'!$C$38)</f>
        <v>17709461.429308563</v>
      </c>
      <c r="D42" s="43">
        <f>SUMIFS('Geneva investment position repo'!AB:AB,'Geneva investment position repo'!AR:AR,"ACTV",'Geneva investment position repo'!AS:AS,"Equity",'Geneva investment position repo'!AT:AT,$A42,'Geneva investment position repo'!AV:AV, 'SFC Report'!$D$38)</f>
        <v>0</v>
      </c>
      <c r="E42" s="43">
        <f>SUMIFS('Geneva investment position repo'!AB:AB,'Geneva investment position repo'!AR:AR,"ACTV",'Geneva investment position repo'!AS:AS,"Equity",'Geneva investment position repo'!AT:AT,$A42,'Geneva investment position repo'!AV:AV, 'SFC Report'!$E$38)</f>
        <v>0</v>
      </c>
      <c r="F42" s="43">
        <f>SUM(B42:E42)</f>
        <v>17709461.429308563</v>
      </c>
      <c r="G42" s="27"/>
      <c r="H42" s="27"/>
      <c r="I42" s="27"/>
      <c r="J42" s="27"/>
      <c r="K42" s="27"/>
      <c r="L42" s="27"/>
      <c r="M42" s="27"/>
      <c r="N42" s="27"/>
      <c r="O42" s="27"/>
      <c r="P42" s="27"/>
      <c r="Q42" s="27"/>
      <c r="R42" s="27"/>
      <c r="S42" s="27"/>
    </row>
    <row r="43" spans="1:19">
      <c r="A43" s="41"/>
      <c r="B43" s="43"/>
      <c r="C43" s="43"/>
      <c r="D43" s="43"/>
      <c r="E43" s="43"/>
      <c r="F43" s="43"/>
      <c r="G43" s="27"/>
      <c r="H43" s="27"/>
      <c r="I43" s="27"/>
      <c r="J43" s="27"/>
      <c r="K43" s="27"/>
      <c r="L43" s="27"/>
      <c r="M43" s="27"/>
      <c r="N43" s="27"/>
      <c r="O43" s="27"/>
      <c r="P43" s="27"/>
      <c r="Q43" s="27"/>
      <c r="R43" s="27"/>
      <c r="S43" s="27"/>
    </row>
    <row r="44" spans="1:19">
      <c r="A44" s="58" t="s">
        <v>417</v>
      </c>
      <c r="B44" s="59">
        <f>SUM(B45:B46)</f>
        <v>0</v>
      </c>
      <c r="C44" s="59">
        <f t="shared" ref="C44:E44" si="3">SUM(C45:C46)</f>
        <v>0</v>
      </c>
      <c r="D44" s="59">
        <f t="shared" si="3"/>
        <v>0</v>
      </c>
      <c r="E44" s="59">
        <f t="shared" si="3"/>
        <v>0</v>
      </c>
      <c r="F44" s="59">
        <f>SUM(B44:E44)</f>
        <v>0</v>
      </c>
      <c r="G44" s="27"/>
      <c r="H44" s="27"/>
      <c r="I44" s="27"/>
      <c r="J44" s="27"/>
      <c r="K44" s="27"/>
      <c r="L44" s="27"/>
      <c r="M44" s="27"/>
      <c r="N44" s="27"/>
      <c r="O44" s="27"/>
      <c r="P44" s="27"/>
      <c r="Q44" s="27"/>
      <c r="R44" s="27"/>
      <c r="S44" s="27"/>
    </row>
    <row r="45" spans="1:19">
      <c r="A45" s="41" t="s">
        <v>433</v>
      </c>
      <c r="B45" s="43">
        <f>SUMIFS('Geneva investment position repo'!AB:AB,'Geneva investment position repo'!AR:AR,"INACTV",'Geneva investment position repo'!AS:AS,"Equity",'Geneva investment position repo'!AT:AT,$A45,'Geneva investment position repo'!AV:AV, 'SFC Report'!$B$38)</f>
        <v>0</v>
      </c>
      <c r="C45" s="43">
        <f>SUMIFS('Geneva investment position repo'!AB:AB,'Geneva investment position repo'!AR:AR,"INACTV",'Geneva investment position repo'!AS:AS,"Equity",'Geneva investment position repo'!AT:AT,$A45,'Geneva investment position repo'!AV:AV, 'SFC Report'!$C$38)</f>
        <v>0</v>
      </c>
      <c r="D45" s="43">
        <f>SUMIFS('Geneva investment position repo'!AD:AD,'Geneva investment position repo'!AS:AS,"INACTV",'Geneva investment position repo'!AU:AU,"Equity",'Geneva investment position repo'!AV:AV,$A45,'Geneva investment position repo'!BC:BC, 'SFC Report'!$D$38)</f>
        <v>0</v>
      </c>
      <c r="E45" s="43">
        <f>SUMIFS('Geneva investment position repo'!AE:AE,'Geneva investment position repo'!AT:AT,"INACTV",'Geneva investment position repo'!AV:AV,"Equity",'Geneva investment position repo'!AY:AY,$A45,'Geneva investment position repo'!BD:BD, 'SFC Report'!$E$38)</f>
        <v>0</v>
      </c>
      <c r="F45" s="43">
        <f t="shared" ref="F45:F46" si="4">SUM(B45:E45)</f>
        <v>0</v>
      </c>
      <c r="G45" s="27"/>
      <c r="H45" s="27"/>
      <c r="I45" s="27"/>
      <c r="J45" s="27"/>
      <c r="K45" s="27"/>
      <c r="L45" s="27"/>
      <c r="M45" s="27"/>
      <c r="N45" s="27"/>
      <c r="O45" s="27"/>
      <c r="P45" s="27"/>
      <c r="Q45" s="27"/>
      <c r="R45" s="27"/>
      <c r="S45" s="27"/>
    </row>
    <row r="46" spans="1:19">
      <c r="A46" s="41" t="s">
        <v>434</v>
      </c>
      <c r="B46" s="43">
        <f>SUMIFS('Geneva investment position repo'!AB:AB,'Geneva investment position repo'!AR:AR,"INACTV",'Geneva investment position repo'!AS:AS,"Equity",'Geneva investment position repo'!AT:AT,$A46,'Geneva investment position repo'!AV:AV, 'SFC Report'!$B$38)</f>
        <v>0</v>
      </c>
      <c r="C46" s="43">
        <f>SUMIFS('Geneva investment position repo'!AB:AB,'Geneva investment position repo'!AR:AR,"INACTV",'Geneva investment position repo'!AS:AS,"Equity",'Geneva investment position repo'!AT:AT,$A46,'Geneva investment position repo'!AV:AV, 'SFC Report'!$C$38)</f>
        <v>0</v>
      </c>
      <c r="D46" s="43">
        <f>SUMIFS('Geneva investment position repo'!AD:AD,'Geneva investment position repo'!AS:AS,"INACTV",'Geneva investment position repo'!AU:AU,"Equity",'Geneva investment position repo'!AV:AV,$A46,'Geneva investment position repo'!BC:BC, 'SFC Report'!$D$38)</f>
        <v>0</v>
      </c>
      <c r="E46" s="43">
        <f>SUMIFS('Geneva investment position repo'!AE:AE,'Geneva investment position repo'!AT:AT,"INACTV",'Geneva investment position repo'!AV:AV,"Equity",'Geneva investment position repo'!AY:AY,$A46,'Geneva investment position repo'!BD:BD, 'SFC Report'!$E$38)</f>
        <v>0</v>
      </c>
      <c r="F46" s="43">
        <f t="shared" si="4"/>
        <v>0</v>
      </c>
      <c r="G46" s="27"/>
      <c r="H46" s="27"/>
      <c r="I46" s="27"/>
      <c r="J46" s="27"/>
      <c r="K46" s="27"/>
      <c r="L46" s="27"/>
      <c r="M46" s="27"/>
      <c r="N46" s="27"/>
      <c r="O46" s="27"/>
      <c r="P46" s="27"/>
      <c r="Q46" s="27"/>
      <c r="R46" s="27"/>
      <c r="S46" s="27"/>
    </row>
    <row r="47" spans="1:19">
      <c r="A47" s="41"/>
      <c r="B47" s="44"/>
      <c r="C47" s="44"/>
      <c r="D47" s="44"/>
      <c r="E47" s="44"/>
      <c r="F47" s="44"/>
      <c r="G47" s="27"/>
      <c r="H47" s="27"/>
      <c r="I47" s="27"/>
      <c r="J47" s="27"/>
      <c r="K47" s="27"/>
      <c r="L47" s="27"/>
      <c r="M47" s="27"/>
      <c r="N47" s="27"/>
      <c r="O47" s="27"/>
      <c r="P47" s="27"/>
      <c r="Q47" s="27"/>
      <c r="R47" s="27"/>
      <c r="S47" s="27"/>
    </row>
    <row r="48" spans="1:19">
      <c r="A48" s="65" t="s">
        <v>281</v>
      </c>
      <c r="B48" s="59">
        <f>SUM(B49:B50)</f>
        <v>0</v>
      </c>
      <c r="C48" s="59">
        <f t="shared" ref="C48:E48" si="5">SUM(C49:C50)</f>
        <v>0</v>
      </c>
      <c r="D48" s="59">
        <f t="shared" si="5"/>
        <v>0</v>
      </c>
      <c r="E48" s="59">
        <f t="shared" si="5"/>
        <v>0</v>
      </c>
      <c r="F48" s="59">
        <f>SUM(B48:E48)</f>
        <v>0</v>
      </c>
      <c r="G48" s="27"/>
      <c r="H48" s="27"/>
      <c r="I48" s="27"/>
      <c r="J48" s="27"/>
      <c r="K48" s="27"/>
      <c r="L48" s="27"/>
      <c r="M48" s="27"/>
      <c r="N48" s="27"/>
      <c r="O48" s="27"/>
      <c r="P48" s="27"/>
      <c r="Q48" s="27"/>
      <c r="R48" s="27"/>
      <c r="S48" s="27"/>
    </row>
    <row r="49" spans="1:23">
      <c r="A49" s="41" t="s">
        <v>433</v>
      </c>
      <c r="B49" s="43">
        <v>0</v>
      </c>
      <c r="C49" s="43">
        <v>0</v>
      </c>
      <c r="D49" s="43">
        <v>0</v>
      </c>
      <c r="E49" s="43">
        <v>0</v>
      </c>
      <c r="F49" s="43">
        <f t="shared" ref="F49:F50" si="6">SUM(B49:E49)</f>
        <v>0</v>
      </c>
      <c r="G49" s="27"/>
      <c r="H49" s="27"/>
      <c r="I49" s="27"/>
      <c r="J49" s="27"/>
      <c r="K49" s="27"/>
      <c r="L49" s="27"/>
      <c r="M49" s="27"/>
      <c r="N49" s="27"/>
      <c r="O49" s="27"/>
      <c r="P49" s="27"/>
      <c r="Q49" s="27"/>
      <c r="R49" s="27"/>
      <c r="S49" s="27"/>
    </row>
    <row r="50" spans="1:23">
      <c r="A50" s="41" t="s">
        <v>434</v>
      </c>
      <c r="B50" s="43">
        <v>0</v>
      </c>
      <c r="C50" s="43">
        <v>0</v>
      </c>
      <c r="D50" s="43">
        <v>0</v>
      </c>
      <c r="E50" s="43">
        <v>0</v>
      </c>
      <c r="F50" s="43">
        <f t="shared" si="6"/>
        <v>0</v>
      </c>
      <c r="G50" s="27"/>
      <c r="H50" s="27"/>
      <c r="I50" s="27"/>
      <c r="J50" s="27"/>
      <c r="K50" s="27"/>
      <c r="L50" s="27"/>
      <c r="M50" s="27"/>
      <c r="N50" s="27"/>
      <c r="O50" s="27"/>
      <c r="P50" s="27"/>
      <c r="Q50" s="27"/>
      <c r="R50" s="27"/>
      <c r="S50" s="27"/>
    </row>
    <row r="51" spans="1:23">
      <c r="A51" s="41"/>
      <c r="B51" s="43"/>
      <c r="C51" s="43"/>
      <c r="D51" s="43"/>
      <c r="E51" s="43"/>
      <c r="F51" s="43"/>
      <c r="G51" s="27"/>
      <c r="H51" s="27"/>
      <c r="I51" s="27"/>
      <c r="J51" s="27"/>
      <c r="K51" s="27"/>
      <c r="L51" s="27"/>
      <c r="M51" s="27"/>
      <c r="N51" s="27"/>
      <c r="O51" s="27"/>
      <c r="P51" s="27"/>
      <c r="Q51" s="27"/>
      <c r="R51" s="27"/>
      <c r="S51" s="27"/>
    </row>
    <row r="52" spans="1:23">
      <c r="A52" s="65" t="s">
        <v>285</v>
      </c>
      <c r="B52" s="59">
        <f>B48+B44+B40</f>
        <v>8350682.5232198145</v>
      </c>
      <c r="C52" s="59">
        <f t="shared" ref="C52:F52" si="7">C48+C44+C40</f>
        <v>25175114.164086685</v>
      </c>
      <c r="D52" s="59">
        <f t="shared" si="7"/>
        <v>0</v>
      </c>
      <c r="E52" s="59">
        <f t="shared" si="7"/>
        <v>0</v>
      </c>
      <c r="F52" s="59">
        <f t="shared" si="7"/>
        <v>33525796.687306501</v>
      </c>
      <c r="G52" s="27"/>
      <c r="H52" s="27"/>
      <c r="I52" s="27"/>
      <c r="J52" s="27"/>
      <c r="K52" s="27"/>
      <c r="L52" s="27"/>
      <c r="M52" s="27"/>
      <c r="N52" s="27"/>
      <c r="O52" s="27"/>
      <c r="P52" s="27"/>
      <c r="Q52" s="27"/>
      <c r="R52" s="27"/>
      <c r="S52" s="27"/>
    </row>
    <row r="53" spans="1:23" hidden="1" outlineLevel="1">
      <c r="A53" s="85"/>
      <c r="B53" s="86"/>
      <c r="C53" s="86"/>
      <c r="D53" s="86"/>
      <c r="E53" s="86" t="s">
        <v>481</v>
      </c>
      <c r="F53" s="86">
        <f>F52-C19</f>
        <v>0</v>
      </c>
      <c r="G53" s="27"/>
      <c r="H53" s="27"/>
      <c r="I53" s="27"/>
      <c r="J53" s="27"/>
      <c r="K53" s="27"/>
      <c r="L53" s="27"/>
      <c r="M53" s="27"/>
      <c r="N53" s="27"/>
      <c r="O53" s="27"/>
      <c r="P53" s="27"/>
      <c r="Q53" s="27"/>
      <c r="R53" s="27"/>
      <c r="S53" s="27"/>
    </row>
    <row r="54" spans="1:23" collapsed="1">
      <c r="A54" s="27"/>
      <c r="B54" s="27"/>
      <c r="C54" s="27"/>
      <c r="D54" s="27"/>
      <c r="E54" s="27"/>
      <c r="F54" s="27"/>
      <c r="G54" s="27"/>
      <c r="H54" s="27"/>
      <c r="I54" s="27"/>
      <c r="J54" s="27"/>
      <c r="K54" s="27"/>
      <c r="L54" s="27"/>
      <c r="M54" s="27"/>
      <c r="N54" s="27"/>
      <c r="O54" s="27"/>
      <c r="P54" s="27"/>
      <c r="Q54" s="27"/>
      <c r="R54" s="27"/>
      <c r="S54" s="27"/>
    </row>
    <row r="55" spans="1:23" ht="31.2">
      <c r="A55" s="25" t="s">
        <v>441</v>
      </c>
      <c r="B55" s="49" t="s">
        <v>377</v>
      </c>
      <c r="C55" s="49" t="s">
        <v>383</v>
      </c>
      <c r="D55" s="49" t="s">
        <v>429</v>
      </c>
      <c r="E55" s="49" t="s">
        <v>388</v>
      </c>
      <c r="F55" s="49" t="s">
        <v>396</v>
      </c>
      <c r="G55" s="49" t="s">
        <v>427</v>
      </c>
      <c r="H55" s="49" t="s">
        <v>386</v>
      </c>
      <c r="I55" s="50" t="s">
        <v>391</v>
      </c>
      <c r="J55" s="50" t="s">
        <v>426</v>
      </c>
      <c r="K55" s="50" t="s">
        <v>780</v>
      </c>
      <c r="L55" s="49" t="s">
        <v>424</v>
      </c>
      <c r="M55" s="50" t="s">
        <v>381</v>
      </c>
      <c r="N55" s="50" t="s">
        <v>379</v>
      </c>
      <c r="O55" s="50" t="s">
        <v>546</v>
      </c>
      <c r="P55" s="50" t="s">
        <v>400</v>
      </c>
      <c r="Q55" s="50" t="s">
        <v>545</v>
      </c>
      <c r="R55" s="50" t="s">
        <v>394</v>
      </c>
      <c r="S55" s="49" t="s">
        <v>285</v>
      </c>
    </row>
    <row r="56" spans="1:23" ht="15.6">
      <c r="A56" s="37"/>
      <c r="B56" s="46"/>
      <c r="C56" s="46"/>
      <c r="D56" s="46"/>
      <c r="E56" s="46"/>
      <c r="F56" s="46"/>
      <c r="G56" s="46"/>
      <c r="H56" s="46"/>
      <c r="I56" s="46"/>
      <c r="J56" s="46"/>
      <c r="K56" s="46"/>
      <c r="L56" s="46"/>
      <c r="M56" s="46"/>
      <c r="N56" s="46"/>
      <c r="O56" s="46"/>
      <c r="P56" s="47"/>
      <c r="Q56" s="47"/>
      <c r="R56" s="46"/>
      <c r="S56" s="34"/>
    </row>
    <row r="57" spans="1:23">
      <c r="A57" s="58" t="s">
        <v>435</v>
      </c>
      <c r="B57" s="59">
        <f>SUM(B58:B59)</f>
        <v>0</v>
      </c>
      <c r="C57" s="59">
        <f t="shared" ref="C57:R57" si="8">SUM(C58:C59)</f>
        <v>0</v>
      </c>
      <c r="D57" s="59">
        <f t="shared" si="8"/>
        <v>0</v>
      </c>
      <c r="E57" s="59">
        <f t="shared" si="8"/>
        <v>0</v>
      </c>
      <c r="F57" s="59">
        <f t="shared" si="8"/>
        <v>0</v>
      </c>
      <c r="G57" s="59">
        <f>SUM(G58:G59)</f>
        <v>0</v>
      </c>
      <c r="H57" s="59">
        <f t="shared" si="8"/>
        <v>2029888.5552115585</v>
      </c>
      <c r="I57" s="59">
        <f t="shared" si="8"/>
        <v>1153514.3163054697</v>
      </c>
      <c r="J57" s="59">
        <f t="shared" si="8"/>
        <v>1081657.116873065</v>
      </c>
      <c r="K57" s="59">
        <f t="shared" si="8"/>
        <v>3948825.1019091848</v>
      </c>
      <c r="L57" s="59">
        <f t="shared" si="8"/>
        <v>0</v>
      </c>
      <c r="M57" s="59">
        <f>SUM(M58:M59)</f>
        <v>0</v>
      </c>
      <c r="N57" s="59">
        <f>SUM(N58:N59)</f>
        <v>0</v>
      </c>
      <c r="O57" s="59">
        <f>SUM(O58:O59)</f>
        <v>0</v>
      </c>
      <c r="P57" s="59">
        <f t="shared" si="8"/>
        <v>0</v>
      </c>
      <c r="Q57" s="59">
        <f t="shared" si="8"/>
        <v>0</v>
      </c>
      <c r="R57" s="59">
        <f t="shared" si="8"/>
        <v>0</v>
      </c>
      <c r="S57" s="59">
        <f>SUM(B57:R57)</f>
        <v>8213885.0902992785</v>
      </c>
      <c r="T57" s="16">
        <f>S57-C21</f>
        <v>0</v>
      </c>
    </row>
    <row r="58" spans="1:23">
      <c r="A58" s="41" t="s">
        <v>436</v>
      </c>
      <c r="B58" s="43">
        <f>SUMIFS('Geneva investment position repo'!AB:AB,'Geneva investment position repo'!AV:AV,'SFC Report'!$B$55,'Geneva investment position repo'!AS:AS,"Government",'Geneva investment position repo'!AU:AU,'SFC Report'!$A58)+SUMIFS('Geneva investment position repo'!AB:AB,'Geneva investment position repo'!AV:AV,'SFC Report'!$B$55,'Geneva investment position repo'!AS:AS,"Municipal",'Geneva investment position repo'!AU:AU,'SFC Report'!$A58)</f>
        <v>0</v>
      </c>
      <c r="C58" s="43">
        <f>SUMIFS('Geneva investment position repo'!AB:AB,'Geneva investment position repo'!AV:AV,'SFC Report'!$C$55,'Geneva investment position repo'!AS:AS,"Government",'Geneva investment position repo'!AU:AU,'SFC Report'!$A58)+SUMIFS('Geneva investment position repo'!AB:AB,'Geneva investment position repo'!AV:AV,'SFC Report'!$C$55,'Geneva investment position repo'!AS:AS,"Municipal",'Geneva investment position repo'!AU:AU,'SFC Report'!$A58)</f>
        <v>0</v>
      </c>
      <c r="D58" s="43">
        <f>SUMIFS('Geneva investment position repo'!AB:AB,'Geneva investment position repo'!AV:AV,'SFC Report'!$D$55,'Geneva investment position repo'!AS:AS,"Government",'Geneva investment position repo'!AU:AU,'SFC Report'!$A58)+SUMIFS('Geneva investment position repo'!AB:AB,'Geneva investment position repo'!AV:AV,'SFC Report'!$D$55,'Geneva investment position repo'!AS:AS,"Municipal",'Geneva investment position repo'!AU:AU,'SFC Report'!$A58)</f>
        <v>0</v>
      </c>
      <c r="E58" s="43">
        <f>SUMIFS('Geneva investment position repo'!AB:AB,'Geneva investment position repo'!AV:AV,'SFC Report'!$E$55,'Geneva investment position repo'!AS:AS,"Government",'Geneva investment position repo'!AU:AU,'SFC Report'!$A58)+SUMIFS('Geneva investment position repo'!AB:AB,'Geneva investment position repo'!AV:AV,'SFC Report'!$E$55,'Geneva investment position repo'!AS:AS,"Municipal",'Geneva investment position repo'!AU:AU,'SFC Report'!$A58)</f>
        <v>0</v>
      </c>
      <c r="F58" s="43">
        <f>SUMIFS('Geneva investment position repo'!AB:AB,'Geneva investment position repo'!AV:AV,'SFC Report'!$F$55,'Geneva investment position repo'!AS:AS,"Government",'Geneva investment position repo'!AU:AU,'SFC Report'!$A58)+SUMIFS('Geneva investment position repo'!AB:AB,'Geneva investment position repo'!AV:AV,'SFC Report'!$F$55,'Geneva investment position repo'!AS:AS,"Municipal",'Geneva investment position repo'!AU:AU,'SFC Report'!$A58)</f>
        <v>0</v>
      </c>
      <c r="G58" s="43">
        <f>SUMIFS('Geneva investment position repo'!AB:AB,'Geneva investment position repo'!AV:AV,'SFC Report'!$G$55,'Geneva investment position repo'!AS:AS,"Government",'Geneva investment position repo'!AU:AU,'SFC Report'!$A58)+SUMIFS('Geneva investment position repo'!AB:AB,'Geneva investment position repo'!AV:AV,'SFC Report'!$G$55,'Geneva investment position repo'!AS:AS,"Municipal",'Geneva investment position repo'!AU:AU,'SFC Report'!$A58)</f>
        <v>0</v>
      </c>
      <c r="H58" s="43">
        <f>SUMIFS('Geneva investment position repo'!AB:AB,'Geneva investment position repo'!AV:AV,'SFC Report'!$H$55,'Geneva investment position repo'!AS:AS,"Government",'Geneva investment position repo'!AU:AU,'SFC Report'!$A58)+SUMIFS('Geneva investment position repo'!AB:AB,'Geneva investment position repo'!AV:AV,'SFC Report'!$H$55,'Geneva investment position repo'!AS:AS,"Municipal",'Geneva investment position repo'!AU:AU,'SFC Report'!$A58)</f>
        <v>2029888.5552115585</v>
      </c>
      <c r="I58" s="43">
        <f>SUMIFS('Geneva investment position repo'!AB:AB,'Geneva investment position repo'!AV:AV,'SFC Report'!$I$55,'Geneva investment position repo'!AS:AS,"Government",'Geneva investment position repo'!AU:AU,'SFC Report'!$A58)+SUMIFS('Geneva investment position repo'!AB:AB,'Geneva investment position repo'!AV:AV,'SFC Report'!$I$55,'Geneva investment position repo'!AS:AS,"Municipal",'Geneva investment position repo'!AU:AU,'SFC Report'!$A58)</f>
        <v>0</v>
      </c>
      <c r="J58" s="43">
        <f>SUMIFS('Geneva investment position repo'!AB:AB,'Geneva investment position repo'!AV:AV,'SFC Report'!$J$55,'Geneva investment position repo'!AS:AS,"Government",'Geneva investment position repo'!AU:AU,'SFC Report'!$A58)+SUMIFS('Geneva investment position repo'!AB:AB,'Geneva investment position repo'!AV:AV,'SFC Report'!$J$55,'Geneva investment position repo'!AS:AS,"Municipal",'Geneva investment position repo'!AU:AU,'SFC Report'!$A58)</f>
        <v>1081657.116873065</v>
      </c>
      <c r="K58" s="43">
        <f>SUMIFS('Geneva investment position repo'!AB:AB,'Geneva investment position repo'!AV:AV,'SFC Report'!$K$55,'Geneva investment position repo'!AS:AS,"Government",'Geneva investment position repo'!AU:AU,'SFC Report'!$A58)+SUMIFS('Geneva investment position repo'!AB:AB,'Geneva investment position repo'!AV:AV,'SFC Report'!$K$55,'Geneva investment position repo'!AS:AS,"Municipal",'Geneva investment position repo'!AU:AU,'SFC Report'!$A58)</f>
        <v>3948825.1019091848</v>
      </c>
      <c r="L58" s="43">
        <f>SUMIFS('Geneva investment position repo'!AB:AB,'Geneva investment position repo'!AV:AV,'SFC Report'!$L$55,'Geneva investment position repo'!AS:AS,"Government",'Geneva investment position repo'!AU:AU,'SFC Report'!$A58)+SUMIFS('Geneva investment position repo'!AB:AB,'Geneva investment position repo'!AV:AV,'SFC Report'!$L$55,'Geneva investment position repo'!AS:AS,"Municipal",'Geneva investment position repo'!AU:AU,'SFC Report'!$A58)</f>
        <v>0</v>
      </c>
      <c r="M58" s="43">
        <f>SUMIFS('Geneva investment position repo'!$AB:$AB,'Geneva investment position repo'!$AV:$AV,'SFC Report'!$M$55,'Geneva investment position repo'!$AS:$AS,"Government",'Geneva investment position repo'!$AU:$AU,'SFC Report'!$A58)+SUMIFS('Geneva investment position repo'!$AB:$AB,'Geneva investment position repo'!$AV:$AV,'SFC Report'!$M$55,'Geneva investment position repo'!$AS:$AS,"Municipal",'Geneva investment position repo'!$AU:$AU,'SFC Report'!$A58)</f>
        <v>0</v>
      </c>
      <c r="N58" s="43">
        <f>SUMIFS('Geneva investment position repo'!$AB:$AB,'Geneva investment position repo'!$AV:$AV,'SFC Report'!$N$55,'Geneva investment position repo'!$AS:$AS,"Government",'Geneva investment position repo'!$AU:$AU,'SFC Report'!$A58)+SUMIFS('Geneva investment position repo'!$AB:$AB,'Geneva investment position repo'!$AV:$AV,'SFC Report'!$N$55,'Geneva investment position repo'!$AS:$AS,"Municipal",'Geneva investment position repo'!$AU:$AU,'SFC Report'!$A58)</f>
        <v>0</v>
      </c>
      <c r="O58" s="43">
        <f>SUMIFS('Geneva investment position repo'!$AB:$AB,'Geneva investment position repo'!$AV:$AV,'SFC Report'!$O$55,'Geneva investment position repo'!$AS:$AS,"Government",'Geneva investment position repo'!$AU:$AU,'SFC Report'!$A58)+SUMIFS('Geneva investment position repo'!$AB:$AB,'Geneva investment position repo'!$AV:$AV,'SFC Report'!$O$55,'Geneva investment position repo'!$AS:$AS,"Municipal",'Geneva investment position repo'!$AU:$AU,'SFC Report'!$A58)</f>
        <v>0</v>
      </c>
      <c r="P58" s="43">
        <f>SUMIFS('Geneva investment position repo'!AB:AB,'Geneva investment position repo'!AV:AV,'SFC Report'!$P$55,'Geneva investment position repo'!AS:AS,"Government",'Geneva investment position repo'!AU:AU,'SFC Report'!$A58)+SUMIFS('Geneva investment position repo'!AB:AB,'Geneva investment position repo'!AV:AV,'SFC Report'!$P$55,'Geneva investment position repo'!AS:AS,"Municipal",'Geneva investment position repo'!AU:AU,'SFC Report'!$A58)</f>
        <v>0</v>
      </c>
      <c r="Q58" s="43">
        <f>SUMIFS('Geneva investment position repo'!AB:AB,'Geneva investment position repo'!AV:AV,'SFC Report'!$Q$55,'Geneva investment position repo'!AS:AS,"Government",'Geneva investment position repo'!AU:AU,'SFC Report'!$A58)+SUMIFS('Geneva investment position repo'!AB:AB,'Geneva investment position repo'!AV:AV,'SFC Report'!$Q$55,'Geneva investment position repo'!AS:AS,"Municipal",'Geneva investment position repo'!AU:AU,'SFC Report'!$A58)</f>
        <v>0</v>
      </c>
      <c r="R58" s="43">
        <f>SUMIFS('Geneva investment position repo'!AB:AB,'Geneva investment position repo'!AV:AV,'SFC Report'!$R$55,'Geneva investment position repo'!AS:AS,"Government",'Geneva investment position repo'!AU:AU,'SFC Report'!$A58)+SUMIFS('Geneva investment position repo'!AB:AB,'Geneva investment position repo'!AV:AV,'SFC Report'!$R$55,'Geneva investment position repo'!AS:AS,"Municipal",'Geneva investment position repo'!AU:AU,'SFC Report'!$A58)</f>
        <v>0</v>
      </c>
      <c r="S58" s="43">
        <f>SUM(B58:R58)</f>
        <v>7060370.7739938088</v>
      </c>
    </row>
    <row r="59" spans="1:23">
      <c r="A59" s="41" t="s">
        <v>437</v>
      </c>
      <c r="B59" s="43">
        <f>SUMIFS('Geneva investment position repo'!AB:AB,'Geneva investment position repo'!AV:AV,'SFC Report'!$B$55,'Geneva investment position repo'!AS:AS,"Government",'Geneva investment position repo'!AU:AU,'SFC Report'!$A59)+SUMIFS('Geneva investment position repo'!AB:AB,'Geneva investment position repo'!AV:AV,'SFC Report'!$B$55,'Geneva investment position repo'!AS:AS,"Municipal",'Geneva investment position repo'!AU:AU,'SFC Report'!$A59)</f>
        <v>0</v>
      </c>
      <c r="C59" s="43">
        <f>SUMIFS('Geneva investment position repo'!AB:AB,'Geneva investment position repo'!AV:AV,'SFC Report'!$C$55,'Geneva investment position repo'!AS:AS,"Government",'Geneva investment position repo'!AU:AU,'SFC Report'!$A59)+SUMIFS('Geneva investment position repo'!AB:AB,'Geneva investment position repo'!AV:AV,'SFC Report'!$C$55,'Geneva investment position repo'!AS:AS,"Municipal",'Geneva investment position repo'!AU:AU,'SFC Report'!$A59)</f>
        <v>0</v>
      </c>
      <c r="D59" s="43">
        <f>SUMIFS('Geneva investment position repo'!AB:AB,'Geneva investment position repo'!AV:AV,'SFC Report'!$D$55,'Geneva investment position repo'!AS:AS,"Government",'Geneva investment position repo'!AU:AU,'SFC Report'!$A59)+SUMIFS('Geneva investment position repo'!AB:AB,'Geneva investment position repo'!AV:AV,'SFC Report'!$D$55,'Geneva investment position repo'!AS:AS,"Municipal",'Geneva investment position repo'!AU:AU,'SFC Report'!$A59)</f>
        <v>0</v>
      </c>
      <c r="E59" s="43">
        <f>SUMIFS('Geneva investment position repo'!AB:AB,'Geneva investment position repo'!AV:AV,'SFC Report'!$E$55,'Geneva investment position repo'!AS:AS,"Government",'Geneva investment position repo'!AU:AU,'SFC Report'!$A59)+SUMIFS('Geneva investment position repo'!AB:AB,'Geneva investment position repo'!AV:AV,'SFC Report'!$E$55,'Geneva investment position repo'!AS:AS,"Municipal",'Geneva investment position repo'!AU:AU,'SFC Report'!$A59)</f>
        <v>0</v>
      </c>
      <c r="F59" s="43">
        <f>SUMIFS('Geneva investment position repo'!AB:AB,'Geneva investment position repo'!AV:AV,'SFC Report'!$F$55,'Geneva investment position repo'!AS:AS,"Government",'Geneva investment position repo'!AU:AU,'SFC Report'!$A59)+SUMIFS('Geneva investment position repo'!AB:AB,'Geneva investment position repo'!AV:AV,'SFC Report'!$F$55,'Geneva investment position repo'!AS:AS,"Municipal",'Geneva investment position repo'!AU:AU,'SFC Report'!$A59)</f>
        <v>0</v>
      </c>
      <c r="G59" s="43">
        <f>SUMIFS('Geneva investment position repo'!AB:AB,'Geneva investment position repo'!AV:AV,'SFC Report'!$G$55,'Geneva investment position repo'!AS:AS,"Government",'Geneva investment position repo'!AU:AU,'SFC Report'!$A59)+SUMIFS('Geneva investment position repo'!AB:AB,'Geneva investment position repo'!AV:AV,'SFC Report'!$G$55,'Geneva investment position repo'!AS:AS,"Municipal",'Geneva investment position repo'!AU:AU,'SFC Report'!$A59)</f>
        <v>0</v>
      </c>
      <c r="H59" s="43">
        <f>SUMIFS('Geneva investment position repo'!AB:AB,'Geneva investment position repo'!AV:AV,'SFC Report'!$H$55,'Geneva investment position repo'!AS:AS,"Government",'Geneva investment position repo'!AU:AU,'SFC Report'!$A59)+SUMIFS('Geneva investment position repo'!AB:AB,'Geneva investment position repo'!AV:AV,'SFC Report'!$H$55,'Geneva investment position repo'!AS:AS,"Municipal",'Geneva investment position repo'!AU:AU,'SFC Report'!$A59)</f>
        <v>0</v>
      </c>
      <c r="I59" s="43">
        <f>SUMIFS('Geneva investment position repo'!AB:AB,'Geneva investment position repo'!AV:AV,'SFC Report'!$I$55,'Geneva investment position repo'!AS:AS,"Government",'Geneva investment position repo'!AU:AU,'SFC Report'!$A59)+SUMIFS('Geneva investment position repo'!AB:AB,'Geneva investment position repo'!AV:AV,'SFC Report'!$I$55,'Geneva investment position repo'!AS:AS,"Municipal",'Geneva investment position repo'!AU:AU,'SFC Report'!$A59)</f>
        <v>1153514.3163054697</v>
      </c>
      <c r="J59" s="43">
        <f>SUMIFS('Geneva investment position repo'!AB:AB,'Geneva investment position repo'!AV:AV,'SFC Report'!$J$55,'Geneva investment position repo'!AS:AS,"Government",'Geneva investment position repo'!AU:AU,'SFC Report'!$A59)+SUMIFS('Geneva investment position repo'!AB:AB,'Geneva investment position repo'!AV:AV,'SFC Report'!$J$55,'Geneva investment position repo'!AS:AS,"Municipal",'Geneva investment position repo'!AU:AU,'SFC Report'!$A59)</f>
        <v>0</v>
      </c>
      <c r="K59" s="43">
        <f>SUMIFS('Geneva investment position repo'!AB:AB,'Geneva investment position repo'!AV:AV,'SFC Report'!$K$55,'Geneva investment position repo'!AS:AS,"Government",'Geneva investment position repo'!AU:AU,'SFC Report'!$A59)+SUMIFS('Geneva investment position repo'!AB:AB,'Geneva investment position repo'!AV:AV,'SFC Report'!$K$55,'Geneva investment position repo'!AS:AS,"Municipal",'Geneva investment position repo'!AU:AU,'SFC Report'!$A59)</f>
        <v>0</v>
      </c>
      <c r="L59" s="43">
        <f>SUMIFS('Geneva investment position repo'!AB:AB,'Geneva investment position repo'!AV:AV,'SFC Report'!$L$55,'Geneva investment position repo'!AS:AS,"Government",'Geneva investment position repo'!AU:AU,'SFC Report'!$A59)+SUMIFS('Geneva investment position repo'!AB:AB,'Geneva investment position repo'!AV:AV,'SFC Report'!$L$55,'Geneva investment position repo'!AS:AS,"Municipal",'Geneva investment position repo'!AU:AU,'SFC Report'!$A59)</f>
        <v>0</v>
      </c>
      <c r="M59" s="43">
        <f>SUMIFS('Geneva investment position repo'!$AB:$AB,'Geneva investment position repo'!$AV:$AV,'SFC Report'!$M$55,'Geneva investment position repo'!$AS:$AS,"Government",'Geneva investment position repo'!$AU:$AU,'SFC Report'!$A59)+SUMIFS('Geneva investment position repo'!$AB:$AB,'Geneva investment position repo'!$AV:$AV,'SFC Report'!$M$55,'Geneva investment position repo'!$AS:$AS,"Municipal",'Geneva investment position repo'!$AU:$AU,'SFC Report'!$A59)</f>
        <v>0</v>
      </c>
      <c r="N59" s="43">
        <f>SUMIFS('Geneva investment position repo'!$AB:$AB,'Geneva investment position repo'!$AV:$AV,'SFC Report'!$N$55,'Geneva investment position repo'!$AS:$AS,"Government",'Geneva investment position repo'!$AU:$AU,'SFC Report'!$A59)+SUMIFS('Geneva investment position repo'!$AB:$AB,'Geneva investment position repo'!$AV:$AV,'SFC Report'!$N$55,'Geneva investment position repo'!$AS:$AS,"Municipal",'Geneva investment position repo'!$AU:$AU,'SFC Report'!$A59)</f>
        <v>0</v>
      </c>
      <c r="O59" s="43">
        <f>SUMIFS('Geneva investment position repo'!$AB:$AB,'Geneva investment position repo'!$AV:$AV,'SFC Report'!$O$55,'Geneva investment position repo'!$AS:$AS,"Government",'Geneva investment position repo'!$AU:$AU,'SFC Report'!$A59)+SUMIFS('Geneva investment position repo'!$AB:$AB,'Geneva investment position repo'!$AV:$AV,'SFC Report'!$O$55,'Geneva investment position repo'!$AS:$AS,"Municipal",'Geneva investment position repo'!$AU:$AU,'SFC Report'!$A59)</f>
        <v>0</v>
      </c>
      <c r="P59" s="43">
        <f>SUMIFS('Geneva investment position repo'!AB:AB,'Geneva investment position repo'!AV:AV,'SFC Report'!$P$55,'Geneva investment position repo'!AS:AS,"Government",'Geneva investment position repo'!AU:AU,'SFC Report'!$A59)+SUMIFS('Geneva investment position repo'!AB:AB,'Geneva investment position repo'!AV:AV,'SFC Report'!$P$55,'Geneva investment position repo'!AS:AS,"Municipal",'Geneva investment position repo'!AU:AU,'SFC Report'!$A59)</f>
        <v>0</v>
      </c>
      <c r="Q59" s="43">
        <f>SUMIFS('Geneva investment position repo'!AB:AB,'Geneva investment position repo'!AV:AV,'SFC Report'!$Q$55,'Geneva investment position repo'!AS:AS,"Government",'Geneva investment position repo'!AU:AU,'SFC Report'!$A59)+SUMIFS('Geneva investment position repo'!AB:AB,'Geneva investment position repo'!AV:AV,'SFC Report'!$Q$55,'Geneva investment position repo'!AS:AS,"Municipal",'Geneva investment position repo'!AU:AU,'SFC Report'!$A59)</f>
        <v>0</v>
      </c>
      <c r="R59" s="43">
        <f>SUMIFS('Geneva investment position repo'!AB:AB,'Geneva investment position repo'!AV:AV,'SFC Report'!$R$55,'Geneva investment position repo'!AS:AS,"Government",'Geneva investment position repo'!AU:AU,'SFC Report'!$A59)+SUMIFS('Geneva investment position repo'!AB:AB,'Geneva investment position repo'!AV:AV,'SFC Report'!$R$55,'Geneva investment position repo'!AS:AS,"Municipal",'Geneva investment position repo'!AU:AU,'SFC Report'!$A59)</f>
        <v>0</v>
      </c>
      <c r="S59" s="43">
        <f>SUM(B59:R59)</f>
        <v>1153514.3163054697</v>
      </c>
    </row>
    <row r="60" spans="1:23">
      <c r="A60" s="27"/>
      <c r="B60" s="44"/>
      <c r="C60" s="44"/>
      <c r="D60" s="44"/>
      <c r="E60" s="44"/>
      <c r="F60" s="44"/>
      <c r="G60" s="44"/>
      <c r="H60" s="44"/>
      <c r="I60" s="44"/>
      <c r="J60" s="44"/>
      <c r="K60" s="44"/>
      <c r="L60" s="44"/>
      <c r="M60" s="44"/>
      <c r="N60" s="44"/>
      <c r="O60" s="44"/>
      <c r="P60" s="44"/>
      <c r="Q60" s="44"/>
      <c r="R60" s="44"/>
      <c r="S60" s="44"/>
    </row>
    <row r="61" spans="1:23">
      <c r="A61" s="58" t="s">
        <v>438</v>
      </c>
      <c r="B61" s="59">
        <f>B62+B65</f>
        <v>373301107.54256976</v>
      </c>
      <c r="C61" s="59">
        <f t="shared" ref="C61:R61" si="9">C62+C65</f>
        <v>21578865.914602686</v>
      </c>
      <c r="D61" s="59">
        <f t="shared" si="9"/>
        <v>10019205.48374613</v>
      </c>
      <c r="E61" s="59">
        <f t="shared" si="9"/>
        <v>11361748.799019611</v>
      </c>
      <c r="F61" s="59">
        <f t="shared" si="9"/>
        <v>15742145.411506709</v>
      </c>
      <c r="G61" s="59">
        <f>G62+G65</f>
        <v>6856963.8531991756</v>
      </c>
      <c r="H61" s="59">
        <f t="shared" si="9"/>
        <v>26308960.40247678</v>
      </c>
      <c r="I61" s="59">
        <f t="shared" si="9"/>
        <v>5225366.2603199175</v>
      </c>
      <c r="J61" s="59">
        <f t="shared" si="9"/>
        <v>0</v>
      </c>
      <c r="K61" s="59">
        <f t="shared" si="9"/>
        <v>4834231.4060887527</v>
      </c>
      <c r="L61" s="59">
        <f t="shared" si="9"/>
        <v>3024554.206656347</v>
      </c>
      <c r="M61" s="59">
        <f>M62+M65</f>
        <v>2075922.306501548</v>
      </c>
      <c r="N61" s="59">
        <f>N62+N65</f>
        <v>3325727.5928792572</v>
      </c>
      <c r="O61" s="59">
        <f>O62+O65</f>
        <v>0</v>
      </c>
      <c r="P61" s="59">
        <f t="shared" si="9"/>
        <v>39445070.006449953</v>
      </c>
      <c r="Q61" s="59">
        <f t="shared" si="9"/>
        <v>1419901.3351393191</v>
      </c>
      <c r="R61" s="59">
        <f t="shared" si="9"/>
        <v>5182806.6989164092</v>
      </c>
      <c r="S61" s="59">
        <f>S62+S65</f>
        <v>529702577.22007221</v>
      </c>
      <c r="T61" s="45">
        <f>S61+S69-C22</f>
        <v>0</v>
      </c>
    </row>
    <row r="62" spans="1:23">
      <c r="A62" s="60" t="s">
        <v>436</v>
      </c>
      <c r="B62" s="61">
        <f>SUM(B63:B64)</f>
        <v>85020686.453818366</v>
      </c>
      <c r="C62" s="61">
        <f t="shared" ref="C62:R62" si="10">SUM(C63:C64)</f>
        <v>17208645.906862747</v>
      </c>
      <c r="D62" s="61">
        <f t="shared" si="10"/>
        <v>0</v>
      </c>
      <c r="E62" s="61">
        <f t="shared" si="10"/>
        <v>11361748.799019611</v>
      </c>
      <c r="F62" s="61">
        <f>SUM(F63:F64)</f>
        <v>12343433.519091848</v>
      </c>
      <c r="G62" s="61">
        <f t="shared" si="10"/>
        <v>0</v>
      </c>
      <c r="H62" s="61">
        <f t="shared" si="10"/>
        <v>4546913.9834881313</v>
      </c>
      <c r="I62" s="61">
        <f t="shared" si="10"/>
        <v>5225366.2603199175</v>
      </c>
      <c r="J62" s="61">
        <f t="shared" si="10"/>
        <v>0</v>
      </c>
      <c r="K62" s="61">
        <f t="shared" si="10"/>
        <v>4834231.4060887527</v>
      </c>
      <c r="L62" s="61">
        <f t="shared" si="10"/>
        <v>0</v>
      </c>
      <c r="M62" s="61">
        <f>SUM(M63:M64)</f>
        <v>2075922.306501548</v>
      </c>
      <c r="N62" s="61">
        <f>SUM(N63:N64)</f>
        <v>3325727.5928792572</v>
      </c>
      <c r="O62" s="61">
        <f>SUM(O63:O64)</f>
        <v>0</v>
      </c>
      <c r="P62" s="61">
        <f t="shared" si="10"/>
        <v>11463674.75877193</v>
      </c>
      <c r="Q62" s="61">
        <f t="shared" si="10"/>
        <v>0</v>
      </c>
      <c r="R62" s="61">
        <f t="shared" si="10"/>
        <v>0</v>
      </c>
      <c r="S62" s="61">
        <f>SUM(S63:S64)</f>
        <v>157406350.9868421</v>
      </c>
      <c r="T62" s="45"/>
    </row>
    <row r="63" spans="1:23">
      <c r="A63" s="41" t="s">
        <v>433</v>
      </c>
      <c r="B63" s="43">
        <f>SUMIFS('Geneva investment position repo'!$AB:$AB,'Geneva investment position repo'!AV:AV,'SFC Report'!B$55,'Geneva investment position repo'!AS:AS,$A$61,'Geneva investment position repo'!AU:AU,'SFC Report'!$A62,'Geneva investment position repo'!$AT:$AT,'SFC Report'!$A$63,'Geneva investment position repo'!AP:AP,"N")</f>
        <v>43004359.169246644</v>
      </c>
      <c r="C63" s="77">
        <f>SUMIFS('Geneva investment position repo'!$AB:$AB,'Geneva investment position repo'!$AV:$AV,'SFC Report'!C$55,'Geneva investment position repo'!$AS:$AS,$A$61,'Geneva investment position repo'!$AU:$AU,'SFC Report'!$A62,'Geneva investment position repo'!$AT:$AT,'SFC Report'!$A$63,'Geneva investment position repo'!$AP:$AP,"N")</f>
        <v>17208645.906862747</v>
      </c>
      <c r="D63" s="77">
        <f>SUMIFS('Geneva investment position repo'!$AB:$AB,'Geneva investment position repo'!$AV:$AV,'SFC Report'!D$55,'Geneva investment position repo'!$AS:$AS,$A$61,'Geneva investment position repo'!$AU:$AU,'SFC Report'!$A62,'Geneva investment position repo'!$AT:$AT,'SFC Report'!$A$63,'Geneva investment position repo'!$AP:$AP,"N")</f>
        <v>0</v>
      </c>
      <c r="E63" s="77">
        <f>SUMIFS('Geneva investment position repo'!$AB:$AB,'Geneva investment position repo'!$AV:$AV,'SFC Report'!E$55,'Geneva investment position repo'!$AS:$AS,$A$61,'Geneva investment position repo'!$AU:$AU,'SFC Report'!$A62,'Geneva investment position repo'!$AT:$AT,'SFC Report'!$A$63,'Geneva investment position repo'!$AP:$AP,"N")</f>
        <v>11361748.799019611</v>
      </c>
      <c r="F63" s="77">
        <f>SUMIFS('Geneva investment position repo'!$AB:$AB,'Geneva investment position repo'!$AV:$AV,'SFC Report'!F$55,'Geneva investment position repo'!$AS:$AS,$A$61,'Geneva investment position repo'!$AU:$AU,'SFC Report'!$A62,'Geneva investment position repo'!$AT:$AT,'SFC Report'!$A$63,'Geneva investment position repo'!$AP:$AP,"N")</f>
        <v>12343350.205108359</v>
      </c>
      <c r="G63" s="77">
        <f>SUMIFS('Geneva investment position repo'!$AB:$AB,'Geneva investment position repo'!$AV:$AV,'SFC Report'!G$55,'Geneva investment position repo'!$AS:$AS,$A$61,'Geneva investment position repo'!$AU:$AU,'SFC Report'!$A62,'Geneva investment position repo'!$AT:$AT,'SFC Report'!$A$63,'Geneva investment position repo'!$AP:$AP,"N")</f>
        <v>0</v>
      </c>
      <c r="H63" s="77">
        <f>SUMIFS('Geneva investment position repo'!$AB:$AB,'Geneva investment position repo'!$AV:$AV,'SFC Report'!H$55,'Geneva investment position repo'!$AS:$AS,$A$61,'Geneva investment position repo'!$AU:$AU,'SFC Report'!$A62,'Geneva investment position repo'!$AT:$AT,'SFC Report'!$A$63,'Geneva investment position repo'!$AP:$AP,"N")</f>
        <v>1302867.4200206399</v>
      </c>
      <c r="I63" s="77">
        <f>SUMIFS('Geneva investment position repo'!$AB:$AB,'Geneva investment position repo'!$AV:$AV,'SFC Report'!I$55,'Geneva investment position repo'!$AS:$AS,$A$61,'Geneva investment position repo'!$AU:$AU,'SFC Report'!$A62,'Geneva investment position repo'!$AT:$AT,'SFC Report'!$A$63,'Geneva investment position repo'!$AP:$AP,"N")</f>
        <v>5225366.2603199175</v>
      </c>
      <c r="J63" s="77">
        <f>SUMIFS('Geneva investment position repo'!$AB:$AB,'Geneva investment position repo'!$AV:$AV,'SFC Report'!J$55,'Geneva investment position repo'!$AS:$AS,$A$61,'Geneva investment position repo'!$AU:$AU,'SFC Report'!$A62,'Geneva investment position repo'!$AT:$AT,'SFC Report'!$A$63,'Geneva investment position repo'!$AP:$AP,"N")</f>
        <v>0</v>
      </c>
      <c r="K63" s="77">
        <f>SUMIFS('Geneva investment position repo'!$AB:$AB,'Geneva investment position repo'!$AV:$AV,'SFC Report'!K$55,'Geneva investment position repo'!$AS:$AS,$A$61,'Geneva investment position repo'!$AU:$AU,'SFC Report'!$A62,'Geneva investment position repo'!$AT:$AT,'SFC Report'!$A$63,'Geneva investment position repo'!$AP:$AP,"N")</f>
        <v>4834231.4060887527</v>
      </c>
      <c r="L63" s="77">
        <f>SUMIFS('Geneva investment position repo'!$AB:$AB,'Geneva investment position repo'!$AV:$AV,'SFC Report'!L$55,'Geneva investment position repo'!$AS:$AS,$A$61,'Geneva investment position repo'!$AU:$AU,'SFC Report'!$A62,'Geneva investment position repo'!$AT:$AT,'SFC Report'!$A$63,'Geneva investment position repo'!$AP:$AP,"N")</f>
        <v>0</v>
      </c>
      <c r="M63" s="77">
        <f>SUMIFS('Geneva investment position repo'!$AB:$AB,'Geneva investment position repo'!$AV:$AV,'SFC Report'!M$55,'Geneva investment position repo'!$AS:$AS,$A$61,'Geneva investment position repo'!$AU:$AU,'SFC Report'!$A62,'Geneva investment position repo'!$AT:$AT,'SFC Report'!$A$63,'Geneva investment position repo'!$AP:$AP,"N")</f>
        <v>2075922.306501548</v>
      </c>
      <c r="N63" s="77">
        <f>SUMIFS('Geneva investment position repo'!$AB:$AB,'Geneva investment position repo'!$AV:$AV,'SFC Report'!N$55,'Geneva investment position repo'!$AS:$AS,$A$61,'Geneva investment position repo'!$AU:$AU,'SFC Report'!$A62,'Geneva investment position repo'!$AT:$AT,'SFC Report'!$A$63,'Geneva investment position repo'!$AP:$AP,"N")</f>
        <v>3325727.5928792572</v>
      </c>
      <c r="O63" s="77">
        <f>SUMIFS('Geneva investment position repo'!$AB:$AB,'Geneva investment position repo'!$AV:$AV,'SFC Report'!O$55,'Geneva investment position repo'!$AS:$AS,$A$61,'Geneva investment position repo'!$AU:$AU,'SFC Report'!$A62,'Geneva investment position repo'!$AT:$AT,'SFC Report'!$A$63,'Geneva investment position repo'!$AP:$AP,"N")</f>
        <v>0</v>
      </c>
      <c r="P63" s="77">
        <f>SUMIFS('Geneva investment position repo'!$AB:$AB,'Geneva investment position repo'!$AV:$AV,'SFC Report'!P$55,'Geneva investment position repo'!$AS:$AS,$A$61,'Geneva investment position repo'!$AU:$AU,'SFC Report'!$A62,'Geneva investment position repo'!$AT:$AT,'SFC Report'!$A$63,'Geneva investment position repo'!$AP:$AP,"N")</f>
        <v>7243079.4453044385</v>
      </c>
      <c r="Q63" s="77">
        <f>SUMIFS('Geneva investment position repo'!$AB:$AB,'Geneva investment position repo'!$AV:$AV,'SFC Report'!Q$55,'Geneva investment position repo'!$AS:$AS,$A$61,'Geneva investment position repo'!$AU:$AU,'SFC Report'!$A62,'Geneva investment position repo'!$AT:$AT,'SFC Report'!$A$63,'Geneva investment position repo'!$AP:$AP,"N")</f>
        <v>0</v>
      </c>
      <c r="R63" s="77">
        <f>SUMIFS('Geneva investment position repo'!$AB:$AB,'Geneva investment position repo'!$AV:$AV,'SFC Report'!R$55,'Geneva investment position repo'!$AS:$AS,$A$61,'Geneva investment position repo'!$AU:$AU,'SFC Report'!$A62,'Geneva investment position repo'!$AT:$AT,'SFC Report'!$A$63,'Geneva investment position repo'!$AP:$AP,"N")</f>
        <v>0</v>
      </c>
      <c r="S63" s="43">
        <f>SUM(B63:R63)</f>
        <v>107925298.51135191</v>
      </c>
      <c r="W63" s="175"/>
    </row>
    <row r="64" spans="1:23">
      <c r="A64" s="41" t="s">
        <v>434</v>
      </c>
      <c r="B64" s="43">
        <f>SUMIFS('Geneva investment position repo'!$AB:$AB,'Geneva investment position repo'!AV:AV,'SFC Report'!B$55,'Geneva investment position repo'!AS:AS,$A$61,'Geneva investment position repo'!AU:AU,'SFC Report'!$A62,'Geneva investment position repo'!$AT:$AT,'SFC Report'!$A$64,'Geneva investment position repo'!AP:AP,"N")</f>
        <v>42016327.284571722</v>
      </c>
      <c r="C64" s="43">
        <f>SUMIFS('Geneva investment position repo'!$AB:$AB,'Geneva investment position repo'!$AV:$AV,'SFC Report'!C$55,'Geneva investment position repo'!$AS:$AS,$A$61,'Geneva investment position repo'!$AU:$AU,'SFC Report'!$A62,'Geneva investment position repo'!$AT:$AT,'SFC Report'!$A$64,'Geneva investment position repo'!$AP:$AP,"N")</f>
        <v>0</v>
      </c>
      <c r="D64" s="43">
        <f>SUMIFS('Geneva investment position repo'!$AB:$AB,'Geneva investment position repo'!$AV:$AV,'SFC Report'!D$55,'Geneva investment position repo'!$AS:$AS,$A$61,'Geneva investment position repo'!$AU:$AU,'SFC Report'!$A62,'Geneva investment position repo'!$AT:$AT,'SFC Report'!$A$64,'Geneva investment position repo'!$AP:$AP,"N")</f>
        <v>0</v>
      </c>
      <c r="E64" s="43">
        <f>SUMIFS('Geneva investment position repo'!$AB:$AB,'Geneva investment position repo'!$AV:$AV,'SFC Report'!E$55,'Geneva investment position repo'!$AS:$AS,$A$61,'Geneva investment position repo'!$AU:$AU,'SFC Report'!$A62,'Geneva investment position repo'!$AT:$AT,'SFC Report'!$A$64,'Geneva investment position repo'!$AP:$AP,"N")</f>
        <v>0</v>
      </c>
      <c r="F64" s="43">
        <f>SUMIFS('Geneva investment position repo'!$AB:$AB,'Geneva investment position repo'!$AV:$AV,'SFC Report'!F$55,'Geneva investment position repo'!$AS:$AS,$A$61,'Geneva investment position repo'!$AU:$AU,'SFC Report'!$A62,'Geneva investment position repo'!$AT:$AT,'SFC Report'!$A$64,'Geneva investment position repo'!$AP:$AP,"N")</f>
        <v>83.313983488132095</v>
      </c>
      <c r="G64" s="77">
        <f>SUMIFS('Geneva investment position repo'!$AB:$AB,'Geneva investment position repo'!$AV:$AV,'SFC Report'!G$55,'Geneva investment position repo'!$AS:$AS,$A$61,'Geneva investment position repo'!$AU:$AU,'SFC Report'!$A62,'Geneva investment position repo'!$AT:$AT,'SFC Report'!$A$64,'Geneva investment position repo'!$AP:$AP,"N")</f>
        <v>0</v>
      </c>
      <c r="H64" s="43">
        <f>SUMIFS('Geneva investment position repo'!$AB:$AB,'Geneva investment position repo'!$AV:$AV,'SFC Report'!H$55,'Geneva investment position repo'!$AS:$AS,$A$61,'Geneva investment position repo'!$AU:$AU,'SFC Report'!$A62,'Geneva investment position repo'!$AT:$AT,'SFC Report'!$A$64,'Geneva investment position repo'!$AP:$AP,"N")</f>
        <v>3244046.5634674919</v>
      </c>
      <c r="I64" s="43">
        <f>SUMIFS('Geneva investment position repo'!$AB:$AB,'Geneva investment position repo'!$AV:$AV,'SFC Report'!I$55,'Geneva investment position repo'!$AS:$AS,$A$61,'Geneva investment position repo'!$AU:$AU,'SFC Report'!$A62,'Geneva investment position repo'!$AT:$AT,'SFC Report'!$A$64,'Geneva investment position repo'!$AP:$AP,"N")</f>
        <v>0</v>
      </c>
      <c r="J64" s="43">
        <f>SUMIFS('Geneva investment position repo'!$AB:$AB,'Geneva investment position repo'!$AV:$AV,'SFC Report'!J$55,'Geneva investment position repo'!$AS:$AS,$A$61,'Geneva investment position repo'!$AU:$AU,'SFC Report'!$A62,'Geneva investment position repo'!$AT:$AT,'SFC Report'!$A$64,'Geneva investment position repo'!$AP:$AP,"N")</f>
        <v>0</v>
      </c>
      <c r="K64" s="43">
        <f>SUMIFS('Geneva investment position repo'!$AB:$AB,'Geneva investment position repo'!$AV:$AV,'SFC Report'!K$55,'Geneva investment position repo'!$AS:$AS,$A$61,'Geneva investment position repo'!$AU:$AU,'SFC Report'!$A62,'Geneva investment position repo'!$AT:$AT,'SFC Report'!$A$64,'Geneva investment position repo'!$AP:$AP,"N")</f>
        <v>0</v>
      </c>
      <c r="L64" s="43">
        <f>SUMIFS('Geneva investment position repo'!$AB:$AB,'Geneva investment position repo'!$AV:$AV,'SFC Report'!L$55,'Geneva investment position repo'!$AS:$AS,$A$61,'Geneva investment position repo'!$AU:$AU,'SFC Report'!$A62,'Geneva investment position repo'!$AT:$AT,'SFC Report'!$A$64,'Geneva investment position repo'!$AP:$AP,"N")</f>
        <v>0</v>
      </c>
      <c r="M64" s="43">
        <f>SUMIFS('Geneva investment position repo'!$AB:$AB,'Geneva investment position repo'!$AV:$AV,'SFC Report'!M$55,'Geneva investment position repo'!$AS:$AS,$A$61,'Geneva investment position repo'!$AU:$AU,'SFC Report'!$A62,'Geneva investment position repo'!$AT:$AT,'SFC Report'!$A$64,'Geneva investment position repo'!$AP:$AP,"N")</f>
        <v>0</v>
      </c>
      <c r="N64" s="77">
        <f>SUMIFS('Geneva investment position repo'!$AB:$AB,'Geneva investment position repo'!$AV:$AV,'SFC Report'!N$55,'Geneva investment position repo'!$AS:$AS,$A$61,'Geneva investment position repo'!$AU:$AU,'SFC Report'!$A62,'Geneva investment position repo'!$AT:$AT,'SFC Report'!$A$64,'Geneva investment position repo'!$AP:$AP,"N")</f>
        <v>0</v>
      </c>
      <c r="O64" s="43">
        <f>SUMIFS('Geneva investment position repo'!$AB:$AB,'Geneva investment position repo'!$AV:$AV,'SFC Report'!O$55,'Geneva investment position repo'!$AS:$AS,$A$61,'Geneva investment position repo'!$AU:$AU,'SFC Report'!$A62,'Geneva investment position repo'!$AT:$AT,'SFC Report'!$A$64,'Geneva investment position repo'!$AP:$AP,"N")</f>
        <v>0</v>
      </c>
      <c r="P64" s="43">
        <f>SUMIFS('Geneva investment position repo'!$AB:$AB,'Geneva investment position repo'!$AV:$AV,'SFC Report'!P$55,'Geneva investment position repo'!$AS:$AS,$A$61,'Geneva investment position repo'!$AU:$AU,'SFC Report'!$A62,'Geneva investment position repo'!$AT:$AT,'SFC Report'!$A$64,'Geneva investment position repo'!$AP:$AP,"N")</f>
        <v>4220595.3134674923</v>
      </c>
      <c r="Q64" s="43">
        <f>SUMIFS('Geneva investment position repo'!$AB:$AB,'Geneva investment position repo'!$AV:$AV,'SFC Report'!Q$55,'Geneva investment position repo'!$AS:$AS,$A$61,'Geneva investment position repo'!$AU:$AU,'SFC Report'!$A62,'Geneva investment position repo'!$AT:$AT,'SFC Report'!$A$64,'Geneva investment position repo'!$AP:$AP,"N")</f>
        <v>0</v>
      </c>
      <c r="R64" s="43">
        <f>SUMIFS('Geneva investment position repo'!$AB:$AB,'Geneva investment position repo'!$AV:$AV,'SFC Report'!R$55,'Geneva investment position repo'!$AS:$AS,$A$61,'Geneva investment position repo'!$AU:$AU,'SFC Report'!$A62,'Geneva investment position repo'!$AT:$AT,'SFC Report'!$A$64,'Geneva investment position repo'!$AP:$AP,"N")</f>
        <v>0</v>
      </c>
      <c r="S64" s="43">
        <f>SUM(B64:R64)</f>
        <v>49481052.475490198</v>
      </c>
    </row>
    <row r="65" spans="1:20">
      <c r="A65" s="60" t="s">
        <v>437</v>
      </c>
      <c r="B65" s="61">
        <f>SUM(B66:B67)</f>
        <v>288280421.08875138</v>
      </c>
      <c r="C65" s="61">
        <f t="shared" ref="C65:S65" si="11">SUM(C66:C67)</f>
        <v>4370220.0077399379</v>
      </c>
      <c r="D65" s="61">
        <f t="shared" si="11"/>
        <v>10019205.48374613</v>
      </c>
      <c r="E65" s="61">
        <f t="shared" si="11"/>
        <v>0</v>
      </c>
      <c r="F65" s="61">
        <f t="shared" si="11"/>
        <v>3398711.8924148614</v>
      </c>
      <c r="G65" s="61">
        <f>SUM(G66:G67)</f>
        <v>6856963.8531991756</v>
      </c>
      <c r="H65" s="61">
        <f t="shared" si="11"/>
        <v>21762046.418988649</v>
      </c>
      <c r="I65" s="61">
        <f t="shared" si="11"/>
        <v>0</v>
      </c>
      <c r="J65" s="61">
        <f t="shared" si="11"/>
        <v>0</v>
      </c>
      <c r="K65" s="61">
        <f t="shared" si="11"/>
        <v>0</v>
      </c>
      <c r="L65" s="61">
        <f t="shared" si="11"/>
        <v>3024554.206656347</v>
      </c>
      <c r="M65" s="61">
        <f>SUM(M66:M67)</f>
        <v>0</v>
      </c>
      <c r="N65" s="61">
        <f>SUM(N66:N67)</f>
        <v>0</v>
      </c>
      <c r="O65" s="61">
        <f>SUM(O66:O67)</f>
        <v>0</v>
      </c>
      <c r="P65" s="61">
        <f t="shared" si="11"/>
        <v>27981395.247678019</v>
      </c>
      <c r="Q65" s="61">
        <f t="shared" si="11"/>
        <v>1419901.3351393191</v>
      </c>
      <c r="R65" s="61">
        <f t="shared" si="11"/>
        <v>5182806.6989164092</v>
      </c>
      <c r="S65" s="61">
        <f t="shared" si="11"/>
        <v>372296226.23323011</v>
      </c>
      <c r="T65" s="45"/>
    </row>
    <row r="66" spans="1:20">
      <c r="A66" s="41" t="s">
        <v>433</v>
      </c>
      <c r="B66" s="43">
        <f>SUMIFS('Geneva investment position repo'!$AB:$AB,'Geneva investment position repo'!AV:AV,'SFC Report'!B$55,'Geneva investment position repo'!AS:AS,$A$61,'Geneva investment position repo'!AU:AU,'SFC Report'!$A65,'Geneva investment position repo'!$AT:$AT,'SFC Report'!$A$66,'Geneva investment position repo'!AP:AP,"N")</f>
        <v>256352585.53534579</v>
      </c>
      <c r="C66" s="43">
        <f>SUMIFS('Geneva investment position repo'!$AB:$AB,'Geneva investment position repo'!$AV:$AV,'SFC Report'!C$55,'Geneva investment position repo'!$AS:$AS,$A$61,'Geneva investment position repo'!$AU:$AU,'SFC Report'!$A65,'Geneva investment position repo'!$AT:$AT,'SFC Report'!$A$66,'Geneva investment position repo'!$AP:$AP,"N")</f>
        <v>4370220.0077399379</v>
      </c>
      <c r="D66" s="43">
        <f>SUMIFS('Geneva investment position repo'!$AB:$AB,'Geneva investment position repo'!$AV:$AV,'SFC Report'!D$55,'Geneva investment position repo'!$AS:$AS,$A$61,'Geneva investment position repo'!$AU:$AU,'SFC Report'!$A65,'Geneva investment position repo'!$AT:$AT,'SFC Report'!$A$66,'Geneva investment position repo'!$AP:$AP,"N")</f>
        <v>4998286.1880804952</v>
      </c>
      <c r="E66" s="43">
        <f>SUMIFS('Geneva investment position repo'!$AB:$AB,'Geneva investment position repo'!$AV:$AV,'SFC Report'!E$55,'Geneva investment position repo'!$AS:$AS,$A$61,'Geneva investment position repo'!$AU:$AU,'SFC Report'!$A65,'Geneva investment position repo'!$AT:$AT,'SFC Report'!$A$66,'Geneva investment position repo'!$AP:$AP,"N")</f>
        <v>0</v>
      </c>
      <c r="F66" s="43">
        <f>SUMIFS('Geneva investment position repo'!$AB:$AB,'Geneva investment position repo'!$AV:$AV,'SFC Report'!F$55,'Geneva investment position repo'!$AS:$AS,$A$61,'Geneva investment position repo'!$AU:$AU,'SFC Report'!$A65,'Geneva investment position repo'!$AT:$AT,'SFC Report'!$A$66,'Geneva investment position repo'!$AP:$AP,"N")</f>
        <v>3398711.8924148614</v>
      </c>
      <c r="G66" s="43">
        <f>SUMIFS('Geneva investment position repo'!$AB:$AB,'Geneva investment position repo'!$AV:$AV,'SFC Report'!G$55,'Geneva investment position repo'!$AS:$AS,$A$61,'Geneva investment position repo'!$AU:$AU,'SFC Report'!$A65,'Geneva investment position repo'!$AT:$AT,'SFC Report'!$A$66,'Geneva investment position repo'!$AP:$AP,"N")</f>
        <v>0</v>
      </c>
      <c r="H66" s="43">
        <f>SUMIFS('Geneva investment position repo'!$AB:$AB,'Geneva investment position repo'!$AV:$AV,'SFC Report'!H$55,'Geneva investment position repo'!$AS:$AS,$A$61,'Geneva investment position repo'!$AU:$AU,'SFC Report'!$A65,'Geneva investment position repo'!$AT:$AT,'SFC Report'!$A$66,'Geneva investment position repo'!$AP:$AP,"N")</f>
        <v>13607814.133126935</v>
      </c>
      <c r="I66" s="43">
        <f>SUMIFS('Geneva investment position repo'!$AB:$AB,'Geneva investment position repo'!$AV:$AV,'SFC Report'!I$55,'Geneva investment position repo'!$AS:$AS,$A$61,'Geneva investment position repo'!$AU:$AU,'SFC Report'!$A65,'Geneva investment position repo'!$AT:$AT,'SFC Report'!$A$66,'Geneva investment position repo'!$AP:$AP,"N")</f>
        <v>0</v>
      </c>
      <c r="J66" s="43">
        <f>SUMIFS('Geneva investment position repo'!$AB:$AB,'Geneva investment position repo'!$AV:$AV,'SFC Report'!J$55,'Geneva investment position repo'!$AS:$AS,$A$61,'Geneva investment position repo'!$AU:$AU,'SFC Report'!$A65,'Geneva investment position repo'!$AT:$AT,'SFC Report'!$A$66,'Geneva investment position repo'!$AP:$AP,"N")</f>
        <v>0</v>
      </c>
      <c r="K66" s="43">
        <f>SUMIFS('Geneva investment position repo'!$AB:$AB,'Geneva investment position repo'!$AV:$AV,'SFC Report'!K$55,'Geneva investment position repo'!$AS:$AS,$A$61,'Geneva investment position repo'!$AU:$AU,'SFC Report'!$A65,'Geneva investment position repo'!$AT:$AT,'SFC Report'!$A$66,'Geneva investment position repo'!$AP:$AP,"N")</f>
        <v>0</v>
      </c>
      <c r="L66" s="43">
        <f>SUMIFS('Geneva investment position repo'!$AB:$AB,'Geneva investment position repo'!$AV:$AV,'SFC Report'!L$55,'Geneva investment position repo'!$AS:$AS,$A$61,'Geneva investment position repo'!$AU:$AU,'SFC Report'!$A65,'Geneva investment position repo'!$AT:$AT,'SFC Report'!$A$66,'Geneva investment position repo'!$AP:$AP,"N")</f>
        <v>3024554.206656347</v>
      </c>
      <c r="M66" s="43">
        <f>SUMIFS('Geneva investment position repo'!$AB:$AB,'Geneva investment position repo'!$AV:$AV,'SFC Report'!M$55,'Geneva investment position repo'!$AS:$AS,$A$61,'Geneva investment position repo'!$AU:$AU,'SFC Report'!$A65,'Geneva investment position repo'!$AT:$AT,'SFC Report'!$A$66,'Geneva investment position repo'!$AP:$AP,"N")</f>
        <v>0</v>
      </c>
      <c r="N66" s="43">
        <f>SUMIFS('Geneva investment position repo'!$AB:$AB,'Geneva investment position repo'!$AV:$AV,'SFC Report'!N$55,'Geneva investment position repo'!$AS:$AS,$A$61,'Geneva investment position repo'!$AU:$AU,'SFC Report'!$A65,'Geneva investment position repo'!$AT:$AT,'SFC Report'!$A$66,'Geneva investment position repo'!$AP:$AP,"N")</f>
        <v>0</v>
      </c>
      <c r="O66" s="43">
        <f>SUMIFS('Geneva investment position repo'!$AB:$AB,'Geneva investment position repo'!$AV:$AV,'SFC Report'!O$55,'Geneva investment position repo'!$AS:$AS,$A$61,'Geneva investment position repo'!$AU:$AU,'SFC Report'!$A65,'Geneva investment position repo'!$AT:$AT,'SFC Report'!$A$66,'Geneva investment position repo'!$AP:$AP,"N")</f>
        <v>0</v>
      </c>
      <c r="P66" s="43">
        <f>SUMIFS('Geneva investment position repo'!$AB:$AB,'Geneva investment position repo'!$AV:$AV,'SFC Report'!P$55,'Geneva investment position repo'!$AS:$AS,$A$61,'Geneva investment position repo'!$AU:$AU,'SFC Report'!$A65,'Geneva investment position repo'!$AT:$AT,'SFC Report'!$A$66,'Geneva investment position repo'!$AP:$AP,"N")</f>
        <v>0</v>
      </c>
      <c r="Q66" s="43">
        <f>SUMIFS('Geneva investment position repo'!$AB:$AB,'Geneva investment position repo'!$AV:$AV,'SFC Report'!Q$55,'Geneva investment position repo'!$AS:$AS,$A$61,'Geneva investment position repo'!$AU:$AU,'SFC Report'!$A65,'Geneva investment position repo'!$AT:$AT,'SFC Report'!$A$66,'Geneva investment position repo'!$AP:$AP,"N")</f>
        <v>0</v>
      </c>
      <c r="R66" s="43">
        <f>SUMIFS('Geneva investment position repo'!$AB:$AB,'Geneva investment position repo'!$AV:$AV,'SFC Report'!R$55,'Geneva investment position repo'!$AS:$AS,$A$61,'Geneva investment position repo'!$AU:$AU,'SFC Report'!$A65,'Geneva investment position repo'!$AT:$AT,'SFC Report'!$A$66,'Geneva investment position repo'!$AP:$AP,"N")</f>
        <v>0</v>
      </c>
      <c r="S66" s="43">
        <f>SUM(B66:R66)</f>
        <v>285752171.9633643</v>
      </c>
    </row>
    <row r="67" spans="1:20">
      <c r="A67" s="41" t="s">
        <v>434</v>
      </c>
      <c r="B67" s="43">
        <f>SUMIFS('Geneva investment position repo'!$AB:$AB,'Geneva investment position repo'!AV:AV,'SFC Report'!B$55,'Geneva investment position repo'!AS:AS,$A$61,'Geneva investment position repo'!AU:AU,'SFC Report'!$A65,'Geneva investment position repo'!$AT:$AT,'SFC Report'!$A$67,'Geneva investment position repo'!AP:AP,"N")</f>
        <v>31927835.553405572</v>
      </c>
      <c r="C67" s="43">
        <f>SUMIFS('Geneva investment position repo'!$AB:$AB,'Geneva investment position repo'!$AV:$AV,'SFC Report'!C$55,'Geneva investment position repo'!$AS:$AS,$A$61,'Geneva investment position repo'!$AU:$AU,'SFC Report'!$A65,'Geneva investment position repo'!$AT:$AT,'SFC Report'!$A$67,'Geneva investment position repo'!$AP:$AP,"N")</f>
        <v>0</v>
      </c>
      <c r="D67" s="43">
        <f>SUMIFS('Geneva investment position repo'!$AB:$AB,'Geneva investment position repo'!$AV:$AV,'SFC Report'!D$55,'Geneva investment position repo'!$AS:$AS,$A$61,'Geneva investment position repo'!$AU:$AU,'SFC Report'!$A65,'Geneva investment position repo'!$AT:$AT,'SFC Report'!$A$67,'Geneva investment position repo'!$AP:$AP,"N")</f>
        <v>5020919.2956656339</v>
      </c>
      <c r="E67" s="43">
        <f>SUMIFS('Geneva investment position repo'!$AB:$AB,'Geneva investment position repo'!$AV:$AV,'SFC Report'!E$55,'Geneva investment position repo'!$AS:$AS,$A$61,'Geneva investment position repo'!$AU:$AU,'SFC Report'!$A65,'Geneva investment position repo'!$AT:$AT,'SFC Report'!$A$67,'Geneva investment position repo'!$AP:$AP,"N")</f>
        <v>0</v>
      </c>
      <c r="F67" s="43">
        <f>SUMIFS('Geneva investment position repo'!$AB:$AB,'Geneva investment position repo'!$AV:$AV,'SFC Report'!F$55,'Geneva investment position repo'!$AS:$AS,$A$61,'Geneva investment position repo'!$AU:$AU,'SFC Report'!$A65,'Geneva investment position repo'!$AT:$AT,'SFC Report'!$A$67,'Geneva investment position repo'!$AP:$AP,"N")</f>
        <v>0</v>
      </c>
      <c r="G67" s="43">
        <f>SUMIFS('Geneva investment position repo'!$AB:$AB,'Geneva investment position repo'!$AV:$AV,'SFC Report'!G$55,'Geneva investment position repo'!$AS:$AS,$A$61,'Geneva investment position repo'!$AU:$AU,'SFC Report'!$A65,'Geneva investment position repo'!$AT:$AT,'SFC Report'!$A$67,'Geneva investment position repo'!$AP:$AP,"N")</f>
        <v>6856963.8531991756</v>
      </c>
      <c r="H67" s="43">
        <f>SUMIFS('Geneva investment position repo'!$AB:$AB,'Geneva investment position repo'!$AV:$AV,'SFC Report'!H$55,'Geneva investment position repo'!$AS:$AS,$A$61,'Geneva investment position repo'!$AU:$AU,'SFC Report'!$A65,'Geneva investment position repo'!$AT:$AT,'SFC Report'!$A$67,'Geneva investment position repo'!$AP:$AP,"N")</f>
        <v>8154232.2858617129</v>
      </c>
      <c r="I67" s="43">
        <f>SUMIFS('Geneva investment position repo'!$AB:$AB,'Geneva investment position repo'!$AV:$AV,'SFC Report'!I$55,'Geneva investment position repo'!$AS:$AS,$A$61,'Geneva investment position repo'!$AU:$AU,'SFC Report'!$A65,'Geneva investment position repo'!$AT:$AT,'SFC Report'!$A$67,'Geneva investment position repo'!$AP:$AP,"N")</f>
        <v>0</v>
      </c>
      <c r="J67" s="43">
        <f>SUMIFS('Geneva investment position repo'!$AB:$AB,'Geneva investment position repo'!$AV:$AV,'SFC Report'!J$55,'Geneva investment position repo'!$AS:$AS,$A$61,'Geneva investment position repo'!$AU:$AU,'SFC Report'!$A65,'Geneva investment position repo'!$AT:$AT,'SFC Report'!$A$67,'Geneva investment position repo'!$AP:$AP,"N")</f>
        <v>0</v>
      </c>
      <c r="K67" s="43">
        <f>SUMIFS('Geneva investment position repo'!$AB:$AB,'Geneva investment position repo'!$AV:$AV,'SFC Report'!K$55,'Geneva investment position repo'!$AS:$AS,$A$61,'Geneva investment position repo'!$AU:$AU,'SFC Report'!$A65,'Geneva investment position repo'!$AT:$AT,'SFC Report'!$A$67,'Geneva investment position repo'!$AP:$AP,"N")</f>
        <v>0</v>
      </c>
      <c r="L67" s="43">
        <f>SUMIFS('Geneva investment position repo'!$AB:$AB,'Geneva investment position repo'!$AV:$AV,'SFC Report'!L$55,'Geneva investment position repo'!$AS:$AS,$A$61,'Geneva investment position repo'!$AU:$AU,'SFC Report'!$A65,'Geneva investment position repo'!$AT:$AT,'SFC Report'!$A$67,'Geneva investment position repo'!$AP:$AP,"N")</f>
        <v>0</v>
      </c>
      <c r="M67" s="43">
        <f>SUMIFS('Geneva investment position repo'!$AB:$AB,'Geneva investment position repo'!$AV:$AV,'SFC Report'!M$55,'Geneva investment position repo'!$AS:$AS,$A$61,'Geneva investment position repo'!$AU:$AU,'SFC Report'!$A65,'Geneva investment position repo'!$AT:$AT,'SFC Report'!$A$67,'Geneva investment position repo'!$AP:$AP,"N")</f>
        <v>0</v>
      </c>
      <c r="N67" s="43">
        <f>SUMIFS('Geneva investment position repo'!$AB:$AB,'Geneva investment position repo'!$AV:$AV,'SFC Report'!N$55,'Geneva investment position repo'!$AS:$AS,$A$61,'Geneva investment position repo'!$AU:$AU,'SFC Report'!$A65,'Geneva investment position repo'!$AT:$AT,'SFC Report'!$A$67,'Geneva investment position repo'!$AP:$AP,"N")</f>
        <v>0</v>
      </c>
      <c r="O67" s="43">
        <f>SUMIFS('Geneva investment position repo'!$AB:$AB,'Geneva investment position repo'!$AV:$AV,'SFC Report'!O$55,'Geneva investment position repo'!$AS:$AS,$A$61,'Geneva investment position repo'!$AU:$AU,'SFC Report'!$A65,'Geneva investment position repo'!$AT:$AT,'SFC Report'!$A$67,'Geneva investment position repo'!$AP:$AP,"N")</f>
        <v>0</v>
      </c>
      <c r="P67" s="43">
        <f>SUMIFS('Geneva investment position repo'!$AB:$AB,'Geneva investment position repo'!$AV:$AV,'SFC Report'!P$55,'Geneva investment position repo'!$AS:$AS,$A$61,'Geneva investment position repo'!$AU:$AU,'SFC Report'!$A65,'Geneva investment position repo'!$AT:$AT,'SFC Report'!$A$67,'Geneva investment position repo'!$AP:$AP,"N")</f>
        <v>27981395.247678019</v>
      </c>
      <c r="Q67" s="43">
        <f>SUMIFS('Geneva investment position repo'!$AB:$AB,'Geneva investment position repo'!$AV:$AV,'SFC Report'!Q$55,'Geneva investment position repo'!$AS:$AS,$A$61,'Geneva investment position repo'!$AU:$AU,'SFC Report'!$A65,'Geneva investment position repo'!$AT:$AT,'SFC Report'!$A$67,'Geneva investment position repo'!$AP:$AP,"N")</f>
        <v>1419901.3351393191</v>
      </c>
      <c r="R67" s="43">
        <f>SUMIFS('Geneva investment position repo'!$AB:$AB,'Geneva investment position repo'!$AV:$AV,'SFC Report'!R$55,'Geneva investment position repo'!$AS:$AS,$A$61,'Geneva investment position repo'!$AU:$AU,'SFC Report'!$A65,'Geneva investment position repo'!$AT:$AT,'SFC Report'!$A$67,'Geneva investment position repo'!$AP:$AP,"N")</f>
        <v>5182806.6989164092</v>
      </c>
      <c r="S67" s="43">
        <f>SUM(B67:R67)</f>
        <v>86544054.269865841</v>
      </c>
    </row>
    <row r="68" spans="1:20">
      <c r="A68" s="27"/>
      <c r="B68" s="44"/>
      <c r="C68" s="44"/>
      <c r="D68" s="44"/>
      <c r="E68" s="44"/>
      <c r="F68" s="44"/>
      <c r="G68" s="44"/>
      <c r="H68" s="44"/>
      <c r="I68" s="44"/>
      <c r="J68" s="44"/>
      <c r="K68" s="44"/>
      <c r="L68" s="44"/>
      <c r="M68" s="44"/>
      <c r="N68" s="44"/>
      <c r="O68" s="44"/>
      <c r="P68" s="44"/>
      <c r="Q68" s="44"/>
      <c r="R68" s="44"/>
      <c r="S68" s="44"/>
    </row>
    <row r="69" spans="1:20" ht="43.2">
      <c r="A69" s="62" t="s">
        <v>439</v>
      </c>
      <c r="B69" s="59">
        <f>B70+B73</f>
        <v>12513933.623581013</v>
      </c>
      <c r="C69" s="59">
        <f t="shared" ref="C69:R69" si="12">C70+C73</f>
        <v>0</v>
      </c>
      <c r="D69" s="59">
        <f t="shared" si="12"/>
        <v>0</v>
      </c>
      <c r="E69" s="59">
        <f t="shared" si="12"/>
        <v>0</v>
      </c>
      <c r="F69" s="59">
        <f t="shared" si="12"/>
        <v>0</v>
      </c>
      <c r="G69" s="59">
        <f>G70+G73</f>
        <v>0</v>
      </c>
      <c r="H69" s="59">
        <f t="shared" si="12"/>
        <v>0</v>
      </c>
      <c r="I69" s="59">
        <f t="shared" si="12"/>
        <v>0</v>
      </c>
      <c r="J69" s="59">
        <f t="shared" si="12"/>
        <v>0</v>
      </c>
      <c r="K69" s="59">
        <f t="shared" si="12"/>
        <v>0</v>
      </c>
      <c r="L69" s="59">
        <f t="shared" si="12"/>
        <v>0</v>
      </c>
      <c r="M69" s="59">
        <f t="shared" si="12"/>
        <v>0</v>
      </c>
      <c r="N69" s="59">
        <f>N70+N73</f>
        <v>0</v>
      </c>
      <c r="O69" s="59">
        <f t="shared" si="12"/>
        <v>0</v>
      </c>
      <c r="P69" s="59">
        <f t="shared" si="12"/>
        <v>0</v>
      </c>
      <c r="Q69" s="59">
        <f t="shared" si="12"/>
        <v>0</v>
      </c>
      <c r="R69" s="59">
        <f t="shared" si="12"/>
        <v>0</v>
      </c>
      <c r="S69" s="59">
        <f t="shared" ref="S69:S75" si="13">SUM(B69:R69)</f>
        <v>12513933.623581013</v>
      </c>
      <c r="T69" s="59"/>
    </row>
    <row r="70" spans="1:20">
      <c r="A70" s="60" t="s">
        <v>436</v>
      </c>
      <c r="B70" s="61">
        <f>SUM(B71:B72)</f>
        <v>0</v>
      </c>
      <c r="C70" s="61">
        <f t="shared" ref="C70:R70" si="14">SUM(C71:C72)</f>
        <v>0</v>
      </c>
      <c r="D70" s="61">
        <f t="shared" si="14"/>
        <v>0</v>
      </c>
      <c r="E70" s="61">
        <f t="shared" si="14"/>
        <v>0</v>
      </c>
      <c r="F70" s="61">
        <f t="shared" si="14"/>
        <v>0</v>
      </c>
      <c r="G70" s="61">
        <f>SUM(G71:G72)</f>
        <v>0</v>
      </c>
      <c r="H70" s="61">
        <f t="shared" si="14"/>
        <v>0</v>
      </c>
      <c r="I70" s="61">
        <f t="shared" si="14"/>
        <v>0</v>
      </c>
      <c r="J70" s="61">
        <f t="shared" si="14"/>
        <v>0</v>
      </c>
      <c r="K70" s="61">
        <f t="shared" si="14"/>
        <v>0</v>
      </c>
      <c r="L70" s="61">
        <f t="shared" si="14"/>
        <v>0</v>
      </c>
      <c r="M70" s="61">
        <f t="shared" si="14"/>
        <v>0</v>
      </c>
      <c r="N70" s="61">
        <f t="shared" si="14"/>
        <v>0</v>
      </c>
      <c r="O70" s="61">
        <f t="shared" si="14"/>
        <v>0</v>
      </c>
      <c r="P70" s="61">
        <f t="shared" si="14"/>
        <v>0</v>
      </c>
      <c r="Q70" s="61">
        <f t="shared" si="14"/>
        <v>0</v>
      </c>
      <c r="R70" s="61">
        <f t="shared" si="14"/>
        <v>0</v>
      </c>
      <c r="S70" s="61">
        <f t="shared" si="13"/>
        <v>0</v>
      </c>
    </row>
    <row r="71" spans="1:20">
      <c r="A71" s="41" t="s">
        <v>433</v>
      </c>
      <c r="B71" s="43">
        <f>SUMIFS('Geneva investment position repo'!$AB:$AB,'Geneva investment position repo'!$AV:$AV,'SFC Report'!B$55,'Geneva investment position repo'!$AU:$AU,'SFC Report'!$A70,'Geneva investment position repo'!$AT:$AT,'SFC Report'!$A$71,'Geneva investment position repo'!$AP:$AP,"Y")</f>
        <v>0</v>
      </c>
      <c r="C71" s="43">
        <f>SUMIFS('Geneva investment position repo'!$AB:$AB,'Geneva investment position repo'!$AV:$AV,'SFC Report'!C$55,'Geneva investment position repo'!$AU:$AU,'SFC Report'!$A70,'Geneva investment position repo'!$AT:$AT,'SFC Report'!$A$71,'Geneva investment position repo'!$AP:$AP,"Y")</f>
        <v>0</v>
      </c>
      <c r="D71" s="43">
        <f>SUMIFS('Geneva investment position repo'!$AB:$AB,'Geneva investment position repo'!$AV:$AV,'SFC Report'!D$55,'Geneva investment position repo'!$AU:$AU,'SFC Report'!$A70,'Geneva investment position repo'!$AT:$AT,'SFC Report'!$A$71,'Geneva investment position repo'!$AP:$AP,"Y")</f>
        <v>0</v>
      </c>
      <c r="E71" s="43">
        <f>SUMIFS('Geneva investment position repo'!$AB:$AB,'Geneva investment position repo'!$AV:$AV,'SFC Report'!E$55,'Geneva investment position repo'!$AU:$AU,'SFC Report'!$A70,'Geneva investment position repo'!$AT:$AT,'SFC Report'!$A$71,'Geneva investment position repo'!$AP:$AP,"Y")</f>
        <v>0</v>
      </c>
      <c r="F71" s="43">
        <f>SUMIFS('Geneva investment position repo'!$AB:$AB,'Geneva investment position repo'!$AV:$AV,'SFC Report'!F$55,'Geneva investment position repo'!$AU:$AU,'SFC Report'!$A70,'Geneva investment position repo'!$AT:$AT,'SFC Report'!$A$71,'Geneva investment position repo'!$AP:$AP,"Y")</f>
        <v>0</v>
      </c>
      <c r="G71" s="43">
        <f>SUMIFS('Geneva investment position repo'!$AB:$AB,'Geneva investment position repo'!$AV:$AV,'SFC Report'!G$55,'Geneva investment position repo'!$AU:$AU,'SFC Report'!$A70,'Geneva investment position repo'!$AT:$AT,'SFC Report'!$A$71,'Geneva investment position repo'!$AP:$AP,"Y")</f>
        <v>0</v>
      </c>
      <c r="H71" s="43">
        <f>SUMIFS('Geneva investment position repo'!$AB:$AB,'Geneva investment position repo'!$AV:$AV,'SFC Report'!H$55,'Geneva investment position repo'!$AU:$AU,'SFC Report'!$A70,'Geneva investment position repo'!$AT:$AT,'SFC Report'!$A$71,'Geneva investment position repo'!$AP:$AP,"Y")</f>
        <v>0</v>
      </c>
      <c r="I71" s="43">
        <f>SUMIFS('Geneva investment position repo'!$AB:$AB,'Geneva investment position repo'!$AV:$AV,'SFC Report'!I$55,'Geneva investment position repo'!$AU:$AU,'SFC Report'!$A70,'Geneva investment position repo'!$AT:$AT,'SFC Report'!$A$71,'Geneva investment position repo'!$AP:$AP,"Y")</f>
        <v>0</v>
      </c>
      <c r="J71" s="43">
        <f>SUMIFS('Geneva investment position repo'!$AB:$AB,'Geneva investment position repo'!$AV:$AV,'SFC Report'!J$55,'Geneva investment position repo'!$AU:$AU,'SFC Report'!$A70,'Geneva investment position repo'!$AT:$AT,'SFC Report'!$A$71,'Geneva investment position repo'!$AP:$AP,"Y")</f>
        <v>0</v>
      </c>
      <c r="K71" s="43">
        <f>SUMIFS('Geneva investment position repo'!$AB:$AB,'Geneva investment position repo'!$AV:$AV,'SFC Report'!K$55,'Geneva investment position repo'!$AU:$AU,'SFC Report'!$A70,'Geneva investment position repo'!$AT:$AT,'SFC Report'!$A$71,'Geneva investment position repo'!$AP:$AP,"Y")</f>
        <v>0</v>
      </c>
      <c r="L71" s="43">
        <f>SUMIFS('Geneva investment position repo'!$AB:$AB,'Geneva investment position repo'!$AV:$AV,'SFC Report'!L$55,'Geneva investment position repo'!$AU:$AU,'SFC Report'!$A70,'Geneva investment position repo'!$AT:$AT,'SFC Report'!$A$71,'Geneva investment position repo'!$AP:$AP,"Y")</f>
        <v>0</v>
      </c>
      <c r="M71" s="43">
        <f>SUMIFS('Geneva investment position repo'!$AB:$AB,'Geneva investment position repo'!$AV:$AV,'SFC Report'!M$55,'Geneva investment position repo'!$AU:$AU,'SFC Report'!$A70,'Geneva investment position repo'!$AT:$AT,'SFC Report'!$A$71,'Geneva investment position repo'!$AP:$AP,"Y")</f>
        <v>0</v>
      </c>
      <c r="N71" s="43">
        <f>SUMIFS('Geneva investment position repo'!$AB:$AB,'Geneva investment position repo'!$AV:$AV,'SFC Report'!N$55,'Geneva investment position repo'!$AU:$AU,'SFC Report'!$A70,'Geneva investment position repo'!$AT:$AT,'SFC Report'!$A$71,'Geneva investment position repo'!$AP:$AP,"Y")</f>
        <v>0</v>
      </c>
      <c r="O71" s="43">
        <f>SUMIFS('Geneva investment position repo'!$AB:$AB,'Geneva investment position repo'!$AV:$AV,'SFC Report'!O$55,'Geneva investment position repo'!$AU:$AU,'SFC Report'!$A70,'Geneva investment position repo'!$AT:$AT,'SFC Report'!$A$71,'Geneva investment position repo'!$AP:$AP,"Y")</f>
        <v>0</v>
      </c>
      <c r="P71" s="43">
        <f>SUMIFS('Geneva investment position repo'!$AB:$AB,'Geneva investment position repo'!$AV:$AV,'SFC Report'!P$55,'Geneva investment position repo'!$AU:$AU,'SFC Report'!$A70,'Geneva investment position repo'!$AT:$AT,'SFC Report'!$A$71,'Geneva investment position repo'!$AP:$AP,"Y")</f>
        <v>0</v>
      </c>
      <c r="Q71" s="43">
        <f>SUMIFS('Geneva investment position repo'!$AB:$AB,'Geneva investment position repo'!$AV:$AV,'SFC Report'!Q$55,'Geneva investment position repo'!$AU:$AU,'SFC Report'!$A70,'Geneva investment position repo'!$AT:$AT,'SFC Report'!$A$71,'Geneva investment position repo'!$AP:$AP,"Y")</f>
        <v>0</v>
      </c>
      <c r="R71" s="43">
        <f>SUMIFS('Geneva investment position repo'!$AB:$AB,'Geneva investment position repo'!$AV:$AV,'SFC Report'!R$55,'Geneva investment position repo'!$AU:$AU,'SFC Report'!$A70,'Geneva investment position repo'!$AT:$AT,'SFC Report'!$A$71,'Geneva investment position repo'!$AP:$AP,"Y")</f>
        <v>0</v>
      </c>
      <c r="S71" s="43">
        <f t="shared" si="13"/>
        <v>0</v>
      </c>
    </row>
    <row r="72" spans="1:20">
      <c r="A72" s="41" t="s">
        <v>434</v>
      </c>
      <c r="B72" s="43">
        <f>SUMIFS('Geneva investment position repo'!$AB:$AB,'Geneva investment position repo'!$AV:$AV,'SFC Report'!B$55,'Geneva investment position repo'!$AU:$AU,'SFC Report'!$A70,'Geneva investment position repo'!$AT:$AT,'SFC Report'!$A$72,'Geneva investment position repo'!$AP:$AP,"Y")</f>
        <v>0</v>
      </c>
      <c r="C72" s="43">
        <f>SUMIFS('Geneva investment position repo'!$AB:$AB,'Geneva investment position repo'!$AV:$AV,'SFC Report'!C$55,'Geneva investment position repo'!$AU:$AU,'SFC Report'!$A70,'Geneva investment position repo'!$AT:$AT,'SFC Report'!$A$72,'Geneva investment position repo'!$AP:$AP,"Y")</f>
        <v>0</v>
      </c>
      <c r="D72" s="43">
        <f>SUMIFS('Geneva investment position repo'!$AB:$AB,'Geneva investment position repo'!$AV:$AV,'SFC Report'!D$55,'Geneva investment position repo'!$AU:$AU,'SFC Report'!$A70,'Geneva investment position repo'!$AT:$AT,'SFC Report'!$A$72,'Geneva investment position repo'!$AP:$AP,"Y")</f>
        <v>0</v>
      </c>
      <c r="E72" s="43">
        <f>SUMIFS('Geneva investment position repo'!$AB:$AB,'Geneva investment position repo'!$AV:$AV,'SFC Report'!E$55,'Geneva investment position repo'!$AU:$AU,'SFC Report'!$A70,'Geneva investment position repo'!$AT:$AT,'SFC Report'!$A$72,'Geneva investment position repo'!$AP:$AP,"Y")</f>
        <v>0</v>
      </c>
      <c r="F72" s="43">
        <f>SUMIFS('Geneva investment position repo'!$AB:$AB,'Geneva investment position repo'!$AV:$AV,'SFC Report'!F$55,'Geneva investment position repo'!$AU:$AU,'SFC Report'!$A70,'Geneva investment position repo'!$AT:$AT,'SFC Report'!$A$72,'Geneva investment position repo'!$AP:$AP,"Y")</f>
        <v>0</v>
      </c>
      <c r="G72" s="43">
        <f>SUMIFS('Geneva investment position repo'!$AB:$AB,'Geneva investment position repo'!$AV:$AV,'SFC Report'!G$55,'Geneva investment position repo'!$AU:$AU,'SFC Report'!$A70,'Geneva investment position repo'!$AT:$AT,'SFC Report'!$A$72,'Geneva investment position repo'!$AP:$AP,"Y")</f>
        <v>0</v>
      </c>
      <c r="H72" s="43">
        <f>SUMIFS('Geneva investment position repo'!$AB:$AB,'Geneva investment position repo'!$AV:$AV,'SFC Report'!H$55,'Geneva investment position repo'!$AU:$AU,'SFC Report'!$A70,'Geneva investment position repo'!$AT:$AT,'SFC Report'!$A$72,'Geneva investment position repo'!$AP:$AP,"Y")</f>
        <v>0</v>
      </c>
      <c r="I72" s="43">
        <f>SUMIFS('Geneva investment position repo'!$AB:$AB,'Geneva investment position repo'!$AV:$AV,'SFC Report'!I$55,'Geneva investment position repo'!$AU:$AU,'SFC Report'!$A70,'Geneva investment position repo'!$AT:$AT,'SFC Report'!$A$72,'Geneva investment position repo'!$AP:$AP,"Y")</f>
        <v>0</v>
      </c>
      <c r="J72" s="43">
        <f>SUMIFS('Geneva investment position repo'!$AB:$AB,'Geneva investment position repo'!$AV:$AV,'SFC Report'!J$55,'Geneva investment position repo'!$AU:$AU,'SFC Report'!$A70,'Geneva investment position repo'!$AT:$AT,'SFC Report'!$A$72,'Geneva investment position repo'!$AP:$AP,"Y")</f>
        <v>0</v>
      </c>
      <c r="K72" s="43">
        <f>SUMIFS('Geneva investment position repo'!$AB:$AB,'Geneva investment position repo'!$AV:$AV,'SFC Report'!K$55,'Geneva investment position repo'!$AU:$AU,'SFC Report'!$A70,'Geneva investment position repo'!$AT:$AT,'SFC Report'!$A$72,'Geneva investment position repo'!$AP:$AP,"Y")</f>
        <v>0</v>
      </c>
      <c r="L72" s="43">
        <f>SUMIFS('Geneva investment position repo'!$AB:$AB,'Geneva investment position repo'!$AV:$AV,'SFC Report'!L$55,'Geneva investment position repo'!$AU:$AU,'SFC Report'!$A70,'Geneva investment position repo'!$AT:$AT,'SFC Report'!$A$72,'Geneva investment position repo'!$AP:$AP,"Y")</f>
        <v>0</v>
      </c>
      <c r="M72" s="43">
        <f>SUMIFS('Geneva investment position repo'!$AB:$AB,'Geneva investment position repo'!$AV:$AV,'SFC Report'!M$55,'Geneva investment position repo'!$AU:$AU,'SFC Report'!$A70,'Geneva investment position repo'!$AT:$AT,'SFC Report'!$A$72,'Geneva investment position repo'!$AP:$AP,"Y")</f>
        <v>0</v>
      </c>
      <c r="N72" s="43">
        <f>SUMIFS('Geneva investment position repo'!$AB:$AB,'Geneva investment position repo'!$AV:$AV,'SFC Report'!N$55,'Geneva investment position repo'!$AU:$AU,'SFC Report'!$A70,'Geneva investment position repo'!$AT:$AT,'SFC Report'!$A$72,'Geneva investment position repo'!$AP:$AP,"Y")</f>
        <v>0</v>
      </c>
      <c r="O72" s="43">
        <f>SUMIFS('Geneva investment position repo'!$AB:$AB,'Geneva investment position repo'!$AV:$AV,'SFC Report'!O$55,'Geneva investment position repo'!$AU:$AU,'SFC Report'!$A70,'Geneva investment position repo'!$AT:$AT,'SFC Report'!$A$72,'Geneva investment position repo'!$AP:$AP,"Y")</f>
        <v>0</v>
      </c>
      <c r="P72" s="43">
        <f>SUMIFS('Geneva investment position repo'!$AB:$AB,'Geneva investment position repo'!$AV:$AV,'SFC Report'!P$55,'Geneva investment position repo'!$AU:$AU,'SFC Report'!$A70,'Geneva investment position repo'!$AT:$AT,'SFC Report'!$A$72,'Geneva investment position repo'!$AP:$AP,"Y")</f>
        <v>0</v>
      </c>
      <c r="Q72" s="43">
        <f>SUMIFS('Geneva investment position repo'!$AB:$AB,'Geneva investment position repo'!$AV:$AV,'SFC Report'!Q$55,'Geneva investment position repo'!$AU:$AU,'SFC Report'!$A70,'Geneva investment position repo'!$AT:$AT,'SFC Report'!$A$72,'Geneva investment position repo'!$AP:$AP,"Y")</f>
        <v>0</v>
      </c>
      <c r="R72" s="43">
        <f>SUMIFS('Geneva investment position repo'!$AB:$AB,'Geneva investment position repo'!$AV:$AV,'SFC Report'!R$55,'Geneva investment position repo'!$AU:$AU,'SFC Report'!$A70,'Geneva investment position repo'!$AT:$AT,'SFC Report'!$A$72,'Geneva investment position repo'!$AP:$AP,"Y")</f>
        <v>0</v>
      </c>
      <c r="S72" s="43">
        <f t="shared" si="13"/>
        <v>0</v>
      </c>
    </row>
    <row r="73" spans="1:20">
      <c r="A73" s="60" t="s">
        <v>437</v>
      </c>
      <c r="B73" s="61">
        <f>SUM(B74:B75)</f>
        <v>12513933.623581013</v>
      </c>
      <c r="C73" s="61">
        <f t="shared" ref="C73:R73" si="15">SUM(C74:C75)</f>
        <v>0</v>
      </c>
      <c r="D73" s="61">
        <f t="shared" si="15"/>
        <v>0</v>
      </c>
      <c r="E73" s="61">
        <f t="shared" si="15"/>
        <v>0</v>
      </c>
      <c r="F73" s="61">
        <f t="shared" si="15"/>
        <v>0</v>
      </c>
      <c r="G73" s="61">
        <f>SUM(G74:G75)</f>
        <v>0</v>
      </c>
      <c r="H73" s="61">
        <f t="shared" si="15"/>
        <v>0</v>
      </c>
      <c r="I73" s="61">
        <f t="shared" si="15"/>
        <v>0</v>
      </c>
      <c r="J73" s="61">
        <f t="shared" si="15"/>
        <v>0</v>
      </c>
      <c r="K73" s="61">
        <f t="shared" si="15"/>
        <v>0</v>
      </c>
      <c r="L73" s="61">
        <f t="shared" si="15"/>
        <v>0</v>
      </c>
      <c r="M73" s="61">
        <f t="shared" si="15"/>
        <v>0</v>
      </c>
      <c r="N73" s="61">
        <f t="shared" si="15"/>
        <v>0</v>
      </c>
      <c r="O73" s="61">
        <f t="shared" si="15"/>
        <v>0</v>
      </c>
      <c r="P73" s="61">
        <f t="shared" si="15"/>
        <v>0</v>
      </c>
      <c r="Q73" s="61">
        <f t="shared" si="15"/>
        <v>0</v>
      </c>
      <c r="R73" s="61">
        <f t="shared" si="15"/>
        <v>0</v>
      </c>
      <c r="S73" s="61">
        <f t="shared" si="13"/>
        <v>12513933.623581013</v>
      </c>
    </row>
    <row r="74" spans="1:20">
      <c r="A74" s="41" t="s">
        <v>433</v>
      </c>
      <c r="B74" s="43">
        <f>SUMIFS('Geneva investment position repo'!$AB:$AB,'Geneva investment position repo'!$AV:$AV,'SFC Report'!B$55,'Geneva investment position repo'!$AU:$AU,'SFC Report'!$A73,'Geneva investment position repo'!$AT:$AT,'SFC Report'!$A$74,'Geneva investment position repo'!$AP:$AP,"Y")</f>
        <v>12513933.623581013</v>
      </c>
      <c r="C74" s="43">
        <f>SUMIFS('Geneva investment position repo'!$AB:$AB,'Geneva investment position repo'!$AV:$AV,'SFC Report'!C$55,'Geneva investment position repo'!$AU:$AU,'SFC Report'!$A73,'Geneva investment position repo'!$AT:$AT,'SFC Report'!$A$74,'Geneva investment position repo'!$AP:$AP,"Y")</f>
        <v>0</v>
      </c>
      <c r="D74" s="43">
        <f>SUMIFS('Geneva investment position repo'!$AB:$AB,'Geneva investment position repo'!$AV:$AV,'SFC Report'!D$55,'Geneva investment position repo'!$AU:$AU,'SFC Report'!$A73,'Geneva investment position repo'!$AT:$AT,'SFC Report'!$A$74,'Geneva investment position repo'!$AP:$AP,"Y")</f>
        <v>0</v>
      </c>
      <c r="E74" s="43">
        <f>SUMIFS('Geneva investment position repo'!$AB:$AB,'Geneva investment position repo'!$AV:$AV,'SFC Report'!E$55,'Geneva investment position repo'!$AU:$AU,'SFC Report'!$A73,'Geneva investment position repo'!$AT:$AT,'SFC Report'!$A$74,'Geneva investment position repo'!$AP:$AP,"Y")</f>
        <v>0</v>
      </c>
      <c r="F74" s="43">
        <f>SUMIFS('Geneva investment position repo'!$AB:$AB,'Geneva investment position repo'!$AV:$AV,'SFC Report'!F$55,'Geneva investment position repo'!$AU:$AU,'SFC Report'!$A73,'Geneva investment position repo'!$AT:$AT,'SFC Report'!$A$74,'Geneva investment position repo'!$AP:$AP,"Y")</f>
        <v>0</v>
      </c>
      <c r="G74" s="43">
        <f>SUMIFS('Geneva investment position repo'!$AB:$AB,'Geneva investment position repo'!$AV:$AV,'SFC Report'!G$55,'Geneva investment position repo'!$AU:$AU,'SFC Report'!$A73,'Geneva investment position repo'!$AT:$AT,'SFC Report'!$A$74,'Geneva investment position repo'!$AP:$AP,"Y")</f>
        <v>0</v>
      </c>
      <c r="H74" s="43">
        <f>SUMIFS('Geneva investment position repo'!$AB:$AB,'Geneva investment position repo'!$AV:$AV,'SFC Report'!H$55,'Geneva investment position repo'!$AU:$AU,'SFC Report'!$A73,'Geneva investment position repo'!$AT:$AT,'SFC Report'!$A$74,'Geneva investment position repo'!$AP:$AP,"Y")</f>
        <v>0</v>
      </c>
      <c r="I74" s="43">
        <f>SUMIFS('Geneva investment position repo'!$AB:$AB,'Geneva investment position repo'!$AV:$AV,'SFC Report'!I$55,'Geneva investment position repo'!$AU:$AU,'SFC Report'!$A73,'Geneva investment position repo'!$AT:$AT,'SFC Report'!$A$74,'Geneva investment position repo'!$AP:$AP,"Y")</f>
        <v>0</v>
      </c>
      <c r="J74" s="43">
        <f>SUMIFS('Geneva investment position repo'!$AB:$AB,'Geneva investment position repo'!$AV:$AV,'SFC Report'!J$55,'Geneva investment position repo'!$AU:$AU,'SFC Report'!$A73,'Geneva investment position repo'!$AT:$AT,'SFC Report'!$A$74,'Geneva investment position repo'!$AP:$AP,"Y")</f>
        <v>0</v>
      </c>
      <c r="K74" s="43">
        <f>SUMIFS('Geneva investment position repo'!$AB:$AB,'Geneva investment position repo'!$AV:$AV,'SFC Report'!K$55,'Geneva investment position repo'!$AU:$AU,'SFC Report'!$A73,'Geneva investment position repo'!$AT:$AT,'SFC Report'!$A$74,'Geneva investment position repo'!$AP:$AP,"Y")</f>
        <v>0</v>
      </c>
      <c r="L74" s="43">
        <f>SUMIFS('Geneva investment position repo'!$AB:$AB,'Geneva investment position repo'!$AV:$AV,'SFC Report'!L$55,'Geneva investment position repo'!$AU:$AU,'SFC Report'!$A73,'Geneva investment position repo'!$AT:$AT,'SFC Report'!$A$74,'Geneva investment position repo'!$AP:$AP,"Y")</f>
        <v>0</v>
      </c>
      <c r="M74" s="43">
        <f>SUMIFS('Geneva investment position repo'!$AB:$AB,'Geneva investment position repo'!$AV:$AV,'SFC Report'!M$55,'Geneva investment position repo'!$AU:$AU,'SFC Report'!$A73,'Geneva investment position repo'!$AT:$AT,'SFC Report'!$A$74,'Geneva investment position repo'!$AP:$AP,"Y")</f>
        <v>0</v>
      </c>
      <c r="N74" s="43">
        <f>SUMIFS('Geneva investment position repo'!$AB:$AB,'Geneva investment position repo'!$AV:$AV,'SFC Report'!N$55,'Geneva investment position repo'!$AU:$AU,'SFC Report'!$A73,'Geneva investment position repo'!$AT:$AT,'SFC Report'!$A$74,'Geneva investment position repo'!$AP:$AP,"Y")</f>
        <v>0</v>
      </c>
      <c r="O74" s="43">
        <f>SUMIFS('Geneva investment position repo'!$AB:$AB,'Geneva investment position repo'!$AV:$AV,'SFC Report'!O$55,'Geneva investment position repo'!$AU:$AU,'SFC Report'!$A73,'Geneva investment position repo'!$AT:$AT,'SFC Report'!$A$74,'Geneva investment position repo'!$AP:$AP,"Y")</f>
        <v>0</v>
      </c>
      <c r="P74" s="43">
        <f>SUMIFS('Geneva investment position repo'!$AB:$AB,'Geneva investment position repo'!$AV:$AV,'SFC Report'!P$55,'Geneva investment position repo'!$AU:$AU,'SFC Report'!$A73,'Geneva investment position repo'!$AT:$AT,'SFC Report'!$A$74,'Geneva investment position repo'!$AP:$AP,"Y")</f>
        <v>0</v>
      </c>
      <c r="Q74" s="43">
        <f>SUMIFS('Geneva investment position repo'!$AB:$AB,'Geneva investment position repo'!$AV:$AV,'SFC Report'!Q$55,'Geneva investment position repo'!$AU:$AU,'SFC Report'!$A73,'Geneva investment position repo'!$AT:$AT,'SFC Report'!$A$74,'Geneva investment position repo'!$AP:$AP,"Y")</f>
        <v>0</v>
      </c>
      <c r="R74" s="43">
        <f>SUMIFS('Geneva investment position repo'!$AB:$AB,'Geneva investment position repo'!$AV:$AV,'SFC Report'!R$55,'Geneva investment position repo'!$AU:$AU,'SFC Report'!$A73,'Geneva investment position repo'!$AT:$AT,'SFC Report'!$A$74,'Geneva investment position repo'!$AP:$AP,"Y")</f>
        <v>0</v>
      </c>
      <c r="S74" s="43">
        <f t="shared" si="13"/>
        <v>12513933.623581013</v>
      </c>
    </row>
    <row r="75" spans="1:20">
      <c r="A75" s="41" t="s">
        <v>434</v>
      </c>
      <c r="B75" s="43">
        <f>SUMIFS('Geneva investment position repo'!$AB:$AB,'Geneva investment position repo'!$AV:$AV,'SFC Report'!B$55,'Geneva investment position repo'!$AU:$AU,'SFC Report'!$A73,'Geneva investment position repo'!$AT:$AT,'SFC Report'!$A$75,'Geneva investment position repo'!$AP:$AP,"Y")</f>
        <v>0</v>
      </c>
      <c r="C75" s="43">
        <f>SUMIFS('Geneva investment position repo'!$AB:$AB,'Geneva investment position repo'!$AV:$AV,'SFC Report'!C$55,'Geneva investment position repo'!$AU:$AU,'SFC Report'!$A73,'Geneva investment position repo'!$AT:$AT,'SFC Report'!$A$75,'Geneva investment position repo'!$AP:$AP,"Y")</f>
        <v>0</v>
      </c>
      <c r="D75" s="43">
        <f>SUMIFS('Geneva investment position repo'!$AB:$AB,'Geneva investment position repo'!$AV:$AV,'SFC Report'!D$55,'Geneva investment position repo'!$AU:$AU,'SFC Report'!$A73,'Geneva investment position repo'!$AT:$AT,'SFC Report'!$A$75,'Geneva investment position repo'!$AP:$AP,"Y")</f>
        <v>0</v>
      </c>
      <c r="E75" s="43">
        <f>SUMIFS('Geneva investment position repo'!$AB:$AB,'Geneva investment position repo'!$AV:$AV,'SFC Report'!E$55,'Geneva investment position repo'!$AU:$AU,'SFC Report'!$A73,'Geneva investment position repo'!$AT:$AT,'SFC Report'!$A$75,'Geneva investment position repo'!$AP:$AP,"Y")</f>
        <v>0</v>
      </c>
      <c r="F75" s="43">
        <f>SUMIFS('Geneva investment position repo'!$AB:$AB,'Geneva investment position repo'!$AV:$AV,'SFC Report'!F$55,'Geneva investment position repo'!$AU:$AU,'SFC Report'!$A73,'Geneva investment position repo'!$AT:$AT,'SFC Report'!$A$75,'Geneva investment position repo'!$AP:$AP,"Y")</f>
        <v>0</v>
      </c>
      <c r="G75" s="43">
        <f>SUMIFS('Geneva investment position repo'!$AB:$AB,'Geneva investment position repo'!$AV:$AV,'SFC Report'!G$55,'Geneva investment position repo'!$AU:$AU,'SFC Report'!$A73,'Geneva investment position repo'!$AT:$AT,'SFC Report'!$A$75,'Geneva investment position repo'!$AP:$AP,"Y")</f>
        <v>0</v>
      </c>
      <c r="H75" s="43">
        <f>SUMIFS('Geneva investment position repo'!$AB:$AB,'Geneva investment position repo'!$AV:$AV,'SFC Report'!H$55,'Geneva investment position repo'!$AU:$AU,'SFC Report'!$A73,'Geneva investment position repo'!$AT:$AT,'SFC Report'!$A$75,'Geneva investment position repo'!$AP:$AP,"Y")</f>
        <v>0</v>
      </c>
      <c r="I75" s="43">
        <f>SUMIFS('Geneva investment position repo'!$AB:$AB,'Geneva investment position repo'!$AV:$AV,'SFC Report'!I$55,'Geneva investment position repo'!$AU:$AU,'SFC Report'!$A73,'Geneva investment position repo'!$AT:$AT,'SFC Report'!$A$75,'Geneva investment position repo'!$AP:$AP,"Y")</f>
        <v>0</v>
      </c>
      <c r="J75" s="43">
        <f>SUMIFS('Geneva investment position repo'!$AB:$AB,'Geneva investment position repo'!$AV:$AV,'SFC Report'!J$55,'Geneva investment position repo'!$AU:$AU,'SFC Report'!$A73,'Geneva investment position repo'!$AT:$AT,'SFC Report'!$A$75,'Geneva investment position repo'!$AP:$AP,"Y")</f>
        <v>0</v>
      </c>
      <c r="K75" s="43">
        <f>SUMIFS('Geneva investment position repo'!$AB:$AB,'Geneva investment position repo'!$AV:$AV,'SFC Report'!K$55,'Geneva investment position repo'!$AU:$AU,'SFC Report'!$A73,'Geneva investment position repo'!$AT:$AT,'SFC Report'!$A$75,'Geneva investment position repo'!$AP:$AP,"Y")</f>
        <v>0</v>
      </c>
      <c r="L75" s="43">
        <f>SUMIFS('Geneva investment position repo'!$AB:$AB,'Geneva investment position repo'!$AV:$AV,'SFC Report'!L$55,'Geneva investment position repo'!$AU:$AU,'SFC Report'!$A73,'Geneva investment position repo'!$AT:$AT,'SFC Report'!$A$75,'Geneva investment position repo'!$AP:$AP,"Y")</f>
        <v>0</v>
      </c>
      <c r="M75" s="43">
        <f>SUMIFS('Geneva investment position repo'!$AB:$AB,'Geneva investment position repo'!$AV:$AV,'SFC Report'!M$55,'Geneva investment position repo'!$AU:$AU,'SFC Report'!$A73,'Geneva investment position repo'!$AT:$AT,'SFC Report'!$A$75,'Geneva investment position repo'!$AP:$AP,"Y")</f>
        <v>0</v>
      </c>
      <c r="N75" s="43">
        <f>SUMIFS('Geneva investment position repo'!$AB:$AB,'Geneva investment position repo'!$AV:$AV,'SFC Report'!N$55,'Geneva investment position repo'!$AU:$AU,'SFC Report'!$A73,'Geneva investment position repo'!$AT:$AT,'SFC Report'!$A$75,'Geneva investment position repo'!$AP:$AP,"Y")</f>
        <v>0</v>
      </c>
      <c r="O75" s="43">
        <f>SUMIFS('Geneva investment position repo'!$AB:$AB,'Geneva investment position repo'!$AV:$AV,'SFC Report'!O$55,'Geneva investment position repo'!$AU:$AU,'SFC Report'!$A73,'Geneva investment position repo'!$AT:$AT,'SFC Report'!$A$75,'Geneva investment position repo'!$AP:$AP,"Y")</f>
        <v>0</v>
      </c>
      <c r="P75" s="43">
        <f>SUMIFS('Geneva investment position repo'!$AB:$AB,'Geneva investment position repo'!$AV:$AV,'SFC Report'!P$55,'Geneva investment position repo'!$AU:$AU,'SFC Report'!$A73,'Geneva investment position repo'!$AT:$AT,'SFC Report'!$A$75,'Geneva investment position repo'!$AP:$AP,"Y")</f>
        <v>0</v>
      </c>
      <c r="Q75" s="43">
        <f>SUMIFS('Geneva investment position repo'!$AB:$AB,'Geneva investment position repo'!$AV:$AV,'SFC Report'!Q$55,'Geneva investment position repo'!$AU:$AU,'SFC Report'!$A73,'Geneva investment position repo'!$AT:$AT,'SFC Report'!$A$75,'Geneva investment position repo'!$AP:$AP,"Y")</f>
        <v>0</v>
      </c>
      <c r="R75" s="43">
        <f>SUMIFS('Geneva investment position repo'!$AB:$AB,'Geneva investment position repo'!$AV:$AV,'SFC Report'!R$55,'Geneva investment position repo'!$AU:$AU,'SFC Report'!$A73,'Geneva investment position repo'!$AT:$AT,'SFC Report'!$A$75,'Geneva investment position repo'!$AP:$AP,"Y")</f>
        <v>0</v>
      </c>
      <c r="S75" s="43">
        <f t="shared" si="13"/>
        <v>0</v>
      </c>
    </row>
    <row r="76" spans="1:20">
      <c r="A76" s="41"/>
      <c r="B76" s="44"/>
      <c r="C76" s="44"/>
      <c r="D76" s="44"/>
      <c r="E76" s="44"/>
      <c r="F76" s="44"/>
      <c r="G76" s="44"/>
      <c r="H76" s="44"/>
      <c r="I76" s="44"/>
      <c r="J76" s="44"/>
      <c r="K76" s="44"/>
      <c r="L76" s="44"/>
      <c r="M76" s="44"/>
      <c r="N76" s="44"/>
      <c r="O76" s="44"/>
      <c r="P76" s="44"/>
      <c r="Q76" s="44"/>
      <c r="R76" s="44"/>
      <c r="S76" s="44"/>
    </row>
    <row r="77" spans="1:20">
      <c r="A77" s="63" t="s">
        <v>281</v>
      </c>
      <c r="B77" s="59">
        <f>SUMIFS('Geneva investment position repo'!$AB:$AB,'Geneva investment position repo'!$AV:$AV,'SFC Report'!B$55,'Geneva investment position repo'!$AS:$AS,$A$77)</f>
        <v>0</v>
      </c>
      <c r="C77" s="59">
        <f>SUMIFS('Geneva investment position repo'!$AB:$AB,'Geneva investment position repo'!$AV:$AV,'SFC Report'!C$55,'Geneva investment position repo'!$AS:$AS,$A$77)</f>
        <v>0</v>
      </c>
      <c r="D77" s="59">
        <f>SUMIFS('Geneva investment position repo'!$AB:$AB,'Geneva investment position repo'!$AV:$AV,'SFC Report'!D$55,'Geneva investment position repo'!$AS:$AS,$A$77)</f>
        <v>0</v>
      </c>
      <c r="E77" s="59">
        <f>SUMIFS('Geneva investment position repo'!$AB:$AB,'Geneva investment position repo'!$AV:$AV,'SFC Report'!E$55,'Geneva investment position repo'!$AS:$AS,$A$77)</f>
        <v>0</v>
      </c>
      <c r="F77" s="59">
        <f>SUMIFS('Geneva investment position repo'!$AB:$AB,'Geneva investment position repo'!$AV:$AV,'SFC Report'!F$55,'Geneva investment position repo'!$AS:$AS,$A$77)</f>
        <v>0</v>
      </c>
      <c r="G77" s="59">
        <f>SUMIFS('Geneva investment position repo'!$AB:$AB,'Geneva investment position repo'!$AV:$AV,'SFC Report'!G$55,'Geneva investment position repo'!$AS:$AS,$A$77)</f>
        <v>0</v>
      </c>
      <c r="H77" s="59">
        <f>SUMIFS('Geneva investment position repo'!$AB:$AB,'Geneva investment position repo'!$AV:$AV,'SFC Report'!H$55,'Geneva investment position repo'!$AS:$AS,$A$77)</f>
        <v>0</v>
      </c>
      <c r="I77" s="59">
        <f>SUMIFS('Geneva investment position repo'!$AB:$AB,'Geneva investment position repo'!$AV:$AV,'SFC Report'!I$55,'Geneva investment position repo'!$AS:$AS,$A$77)</f>
        <v>0</v>
      </c>
      <c r="J77" s="59">
        <f>SUMIFS('Geneva investment position repo'!$AB:$AB,'Geneva investment position repo'!$AV:$AV,'SFC Report'!J$55,'Geneva investment position repo'!$AS:$AS,$A$77)</f>
        <v>0</v>
      </c>
      <c r="K77" s="59">
        <f>SUMIFS('Geneva investment position repo'!$AB:$AB,'Geneva investment position repo'!$AV:$AV,'SFC Report'!K$55,'Geneva investment position repo'!$AS:$AS,$A$77)</f>
        <v>0</v>
      </c>
      <c r="L77" s="59">
        <f>SUMIFS('Geneva investment position repo'!$AB:$AB,'Geneva investment position repo'!$AV:$AV,'SFC Report'!L$55,'Geneva investment position repo'!$AS:$AS,$A$77)</f>
        <v>0</v>
      </c>
      <c r="M77" s="59">
        <f>SUMIFS('Geneva investment position repo'!$AB:$AB,'Geneva investment position repo'!$AV:$AV,'SFC Report'!M$55,'Geneva investment position repo'!$AS:$AS,$A$77)</f>
        <v>0</v>
      </c>
      <c r="N77" s="59">
        <f>SUMIFS('Geneva investment position repo'!$AB:$AB,'Geneva investment position repo'!$AV:$AV,'SFC Report'!N$55,'Geneva investment position repo'!$AS:$AS,$A$77)</f>
        <v>0</v>
      </c>
      <c r="O77" s="59">
        <f>SUMIFS('Geneva investment position repo'!$AB:$AB,'Geneva investment position repo'!$AV:$AV,'SFC Report'!O$55,'Geneva investment position repo'!$AS:$AS,$A$77)</f>
        <v>0</v>
      </c>
      <c r="P77" s="59">
        <f>SUMIFS('Geneva investment position repo'!$AB:$AB,'Geneva investment position repo'!$AV:$AV,'SFC Report'!P$55,'Geneva investment position repo'!$AS:$AS,$A$77)</f>
        <v>0</v>
      </c>
      <c r="Q77" s="59">
        <f>SUMIFS('Geneva investment position repo'!$AB:$AB,'Geneva investment position repo'!$AV:$AV,'SFC Report'!Q$55,'Geneva investment position repo'!$AS:$AS,$A$77)</f>
        <v>0</v>
      </c>
      <c r="R77" s="59">
        <f>SUMIFS('Geneva investment position repo'!$AB:$AB,'Geneva investment position repo'!$AV:$AV,'SFC Report'!R$55,'Geneva investment position repo'!$AS:$AS,$A$77)</f>
        <v>0</v>
      </c>
      <c r="S77" s="59">
        <f>SUM(B77:R77)</f>
        <v>0</v>
      </c>
    </row>
    <row r="78" spans="1:20">
      <c r="A78" s="41"/>
      <c r="B78" s="44"/>
      <c r="C78" s="44"/>
      <c r="D78" s="44"/>
      <c r="E78" s="44"/>
      <c r="F78" s="44"/>
      <c r="G78" s="44"/>
      <c r="H78" s="44"/>
      <c r="I78" s="44"/>
      <c r="J78" s="44"/>
      <c r="K78" s="44"/>
      <c r="L78" s="44"/>
      <c r="M78" s="44"/>
      <c r="N78" s="44"/>
      <c r="O78" s="44"/>
      <c r="P78" s="44"/>
      <c r="Q78" s="44"/>
      <c r="R78" s="44"/>
      <c r="S78" s="44"/>
    </row>
    <row r="79" spans="1:20">
      <c r="A79" s="62" t="s">
        <v>451</v>
      </c>
      <c r="B79" s="59">
        <f>SUMIFS('Geneva investment position repo'!$AB:$AB,'Geneva investment position repo'!$AV:$AV,'SFC Report'!B$55,'Geneva investment position repo'!$AS:$AS,$A$79)</f>
        <v>0</v>
      </c>
      <c r="C79" s="59">
        <f>SUMIFS('Geneva investment position repo'!$AB:$AB,'Geneva investment position repo'!$AV:$AV,'SFC Report'!C$55,'Geneva investment position repo'!$AS:$AS,$A$79)</f>
        <v>0</v>
      </c>
      <c r="D79" s="59">
        <f>SUMIFS('Geneva investment position repo'!$AB:$AB,'Geneva investment position repo'!$AV:$AV,'SFC Report'!D$55,'Geneva investment position repo'!$AS:$AS,$A$79)</f>
        <v>0</v>
      </c>
      <c r="E79" s="59">
        <f>SUMIFS('Geneva investment position repo'!$AB:$AB,'Geneva investment position repo'!$AV:$AV,'SFC Report'!E$55,'Geneva investment position repo'!$AS:$AS,$A$79)</f>
        <v>0</v>
      </c>
      <c r="F79" s="59">
        <f>SUMIFS('Geneva investment position repo'!$AB:$AB,'Geneva investment position repo'!$AV:$AV,'SFC Report'!F$55,'Geneva investment position repo'!$AS:$AS,$A$79)</f>
        <v>0</v>
      </c>
      <c r="G79" s="59">
        <f>SUMIFS('Geneva investment position repo'!$AB:$AB,'Geneva investment position repo'!$AV:$AV,'SFC Report'!G$55,'Geneva investment position repo'!$AS:$AS,$A$79)</f>
        <v>0</v>
      </c>
      <c r="H79" s="59">
        <f>SUMIFS('Geneva investment position repo'!$AB:$AB,'Geneva investment position repo'!$AV:$AV,'SFC Report'!H$55,'Geneva investment position repo'!$AS:$AS,$A$79)</f>
        <v>0</v>
      </c>
      <c r="I79" s="59">
        <f>SUMIFS('Geneva investment position repo'!$AB:$AB,'Geneva investment position repo'!$AV:$AV,'SFC Report'!I$55,'Geneva investment position repo'!$AS:$AS,$A$79)</f>
        <v>0</v>
      </c>
      <c r="J79" s="59">
        <f>SUMIFS('Geneva investment position repo'!$AB:$AB,'Geneva investment position repo'!$AV:$AV,'SFC Report'!J$55,'Geneva investment position repo'!$AS:$AS,$A$79)</f>
        <v>0</v>
      </c>
      <c r="K79" s="59">
        <f>SUMIFS('Geneva investment position repo'!$AB:$AB,'Geneva investment position repo'!$AV:$AV,'SFC Report'!K$55,'Geneva investment position repo'!$AS:$AS,$A$79)</f>
        <v>0</v>
      </c>
      <c r="L79" s="59">
        <f>SUMIFS('Geneva investment position repo'!$AB:$AB,'Geneva investment position repo'!$AV:$AV,'SFC Report'!L$55,'Geneva investment position repo'!$AS:$AS,$A$79)</f>
        <v>0</v>
      </c>
      <c r="M79" s="59">
        <f>SUMIFS('Geneva investment position repo'!$AB:$AB,'Geneva investment position repo'!$AV:$AV,'SFC Report'!M$55,'Geneva investment position repo'!$AS:$AS,$A$79)</f>
        <v>0</v>
      </c>
      <c r="N79" s="59">
        <f>SUMIFS('Geneva investment position repo'!$AB:$AB,'Geneva investment position repo'!$AV:$AV,'SFC Report'!N$55,'Geneva investment position repo'!$AS:$AS,$A$79)</f>
        <v>0</v>
      </c>
      <c r="O79" s="59">
        <f>SUMIFS('Geneva investment position repo'!$AB:$AB,'Geneva investment position repo'!$AV:$AV,'SFC Report'!O$55,'Geneva investment position repo'!$AS:$AS,$A$79)</f>
        <v>0</v>
      </c>
      <c r="P79" s="59">
        <f>SUMIFS('Geneva investment position repo'!$AB:$AB,'Geneva investment position repo'!$AV:$AV,'SFC Report'!P$55,'Geneva investment position repo'!$AS:$AS,$A$79)</f>
        <v>0</v>
      </c>
      <c r="Q79" s="59">
        <f>SUMIFS('Geneva investment position repo'!$AB:$AB,'Geneva investment position repo'!$AV:$AV,'SFC Report'!Q$55,'Geneva investment position repo'!$AS:$AS,$A$79)</f>
        <v>0</v>
      </c>
      <c r="R79" s="59">
        <f>SUMIFS('Geneva investment position repo'!$AB:$AB,'Geneva investment position repo'!$AV:$AV,'SFC Report'!R$55,'Geneva investment position repo'!$AS:$AS,$A$79)</f>
        <v>0</v>
      </c>
      <c r="S79" s="59">
        <f>SUM(B79:R79)</f>
        <v>0</v>
      </c>
    </row>
    <row r="80" spans="1:20" ht="28.8">
      <c r="A80" s="48" t="s">
        <v>454</v>
      </c>
      <c r="B80" s="44"/>
      <c r="C80" s="44"/>
      <c r="D80" s="44"/>
      <c r="E80" s="44"/>
      <c r="F80" s="44"/>
      <c r="G80" s="44"/>
      <c r="H80" s="44"/>
      <c r="I80" s="44"/>
      <c r="J80" s="44"/>
      <c r="K80" s="44"/>
      <c r="L80" s="44"/>
      <c r="M80" s="44"/>
      <c r="N80" s="44"/>
      <c r="O80" s="44"/>
      <c r="P80" s="44"/>
      <c r="Q80" s="44"/>
      <c r="R80" s="44"/>
      <c r="S80" s="44"/>
    </row>
    <row r="81" spans="1:19">
      <c r="A81" s="67" t="s">
        <v>285</v>
      </c>
      <c r="B81" s="59">
        <f>B79+B69+B61+B57+B77</f>
        <v>385815041.16615075</v>
      </c>
      <c r="C81" s="59">
        <f t="shared" ref="C81:R81" si="16">C79+C69+C61+C57+C77</f>
        <v>21578865.914602686</v>
      </c>
      <c r="D81" s="59">
        <f t="shared" si="16"/>
        <v>10019205.48374613</v>
      </c>
      <c r="E81" s="59">
        <f t="shared" si="16"/>
        <v>11361748.799019611</v>
      </c>
      <c r="F81" s="59">
        <f t="shared" si="16"/>
        <v>15742145.411506709</v>
      </c>
      <c r="G81" s="59">
        <f>G79+G69+G61+G57+G77</f>
        <v>6856963.8531991756</v>
      </c>
      <c r="H81" s="59">
        <f t="shared" si="16"/>
        <v>28338848.957688339</v>
      </c>
      <c r="I81" s="59">
        <f t="shared" si="16"/>
        <v>6378880.5766253872</v>
      </c>
      <c r="J81" s="59">
        <f t="shared" si="16"/>
        <v>1081657.116873065</v>
      </c>
      <c r="K81" s="59">
        <f>K79+K69+K61+K57+K77</f>
        <v>8783056.5079979375</v>
      </c>
      <c r="L81" s="59">
        <f t="shared" si="16"/>
        <v>3024554.206656347</v>
      </c>
      <c r="M81" s="59">
        <f t="shared" si="16"/>
        <v>2075922.306501548</v>
      </c>
      <c r="N81" s="59">
        <f>N79+N69+N61+N57+N77</f>
        <v>3325727.5928792572</v>
      </c>
      <c r="O81" s="59">
        <f t="shared" si="16"/>
        <v>0</v>
      </c>
      <c r="P81" s="59">
        <f t="shared" si="16"/>
        <v>39445070.006449953</v>
      </c>
      <c r="Q81" s="59">
        <f t="shared" si="16"/>
        <v>1419901.3351393191</v>
      </c>
      <c r="R81" s="59">
        <f t="shared" si="16"/>
        <v>5182806.6989164092</v>
      </c>
      <c r="S81" s="59">
        <f>S79+S69+S61+S57+S77</f>
        <v>550430395.93395245</v>
      </c>
    </row>
    <row r="82" spans="1:19">
      <c r="A82" s="170"/>
      <c r="B82" s="86"/>
      <c r="C82" s="86"/>
      <c r="D82" s="86"/>
      <c r="E82" s="86"/>
      <c r="F82" s="86"/>
      <c r="G82" s="86"/>
      <c r="H82" s="86"/>
      <c r="I82" s="86"/>
      <c r="J82" s="86"/>
      <c r="K82" s="86"/>
      <c r="L82" s="86"/>
      <c r="M82" s="86"/>
      <c r="N82" s="86"/>
      <c r="O82" s="86"/>
      <c r="P82" s="86"/>
      <c r="Q82" s="86"/>
      <c r="R82" s="86"/>
      <c r="S82" s="86"/>
    </row>
    <row r="83" spans="1:19" ht="18" hidden="1" outlineLevel="1">
      <c r="A83" s="53"/>
      <c r="B83" s="29"/>
      <c r="C83" s="29"/>
      <c r="D83" s="29"/>
      <c r="E83" s="29"/>
      <c r="F83" s="29"/>
      <c r="G83" s="29"/>
      <c r="H83" s="29"/>
      <c r="I83" s="29"/>
      <c r="J83" s="29"/>
      <c r="K83" s="29"/>
      <c r="L83" s="29"/>
      <c r="M83" s="29"/>
      <c r="N83" s="29"/>
      <c r="O83" s="29"/>
      <c r="P83" s="44">
        <f>S81-SUM(B81:R81)</f>
        <v>0</v>
      </c>
      <c r="Q83" s="29"/>
      <c r="R83" s="27"/>
      <c r="S83" s="51">
        <f>S81-C20-C27</f>
        <v>2.384185791015625E-7</v>
      </c>
    </row>
    <row r="84" spans="1:19" collapsed="1">
      <c r="A84" s="27"/>
      <c r="B84" s="27"/>
      <c r="C84" s="27"/>
      <c r="D84" s="27"/>
      <c r="E84" s="27"/>
      <c r="F84" s="27"/>
      <c r="G84" s="27"/>
      <c r="H84" s="27"/>
      <c r="I84" s="27"/>
      <c r="J84" s="27"/>
      <c r="K84" s="27"/>
      <c r="L84" s="27"/>
      <c r="M84" s="27"/>
      <c r="N84" s="27"/>
      <c r="O84" s="27"/>
      <c r="P84" s="27"/>
      <c r="Q84" s="34"/>
      <c r="R84" s="27"/>
    </row>
    <row r="85" spans="1:19" ht="21">
      <c r="A85" s="169" t="s">
        <v>919</v>
      </c>
      <c r="B85" s="27"/>
      <c r="C85" s="27"/>
      <c r="D85" s="27"/>
      <c r="E85" s="27"/>
      <c r="F85" s="27"/>
      <c r="G85" s="27"/>
      <c r="H85" s="27"/>
      <c r="I85" s="27"/>
      <c r="J85" s="27"/>
      <c r="K85" s="27"/>
      <c r="L85" s="27"/>
      <c r="M85" s="27"/>
      <c r="N85" s="27"/>
      <c r="O85" s="27"/>
      <c r="P85" s="27"/>
      <c r="Q85" s="34"/>
      <c r="R85" s="27"/>
      <c r="S85" s="44"/>
    </row>
    <row r="86" spans="1:19" ht="18">
      <c r="A86" s="73" t="s">
        <v>401</v>
      </c>
      <c r="B86" s="27"/>
      <c r="C86" s="27"/>
      <c r="D86" s="27"/>
      <c r="E86" s="27"/>
      <c r="F86" s="27"/>
      <c r="G86" s="27"/>
      <c r="H86" s="27"/>
      <c r="I86" s="27"/>
      <c r="J86" s="27"/>
      <c r="K86" s="27"/>
      <c r="L86" s="27"/>
      <c r="M86" s="27"/>
      <c r="N86" s="27"/>
      <c r="O86" s="27"/>
      <c r="P86" s="27"/>
      <c r="Q86" s="34"/>
      <c r="R86" s="27"/>
      <c r="S86" s="27"/>
    </row>
    <row r="87" spans="1:19">
      <c r="A87" s="74" t="s">
        <v>283</v>
      </c>
      <c r="B87" s="27"/>
      <c r="C87" s="27"/>
      <c r="D87" s="27"/>
      <c r="E87" s="27"/>
      <c r="F87" s="27"/>
      <c r="G87" s="27"/>
      <c r="H87" s="27"/>
      <c r="I87" s="27"/>
      <c r="J87" s="27"/>
      <c r="K87" s="27"/>
      <c r="L87" s="27"/>
      <c r="M87" s="27"/>
      <c r="N87" s="27"/>
      <c r="O87" s="27"/>
      <c r="P87" s="27"/>
      <c r="Q87" s="34"/>
      <c r="R87" s="27"/>
      <c r="S87" s="27"/>
    </row>
    <row r="88" spans="1:19">
      <c r="A88" s="54" t="s">
        <v>280</v>
      </c>
      <c r="B88" s="56" t="s">
        <v>287</v>
      </c>
      <c r="C88" s="55" t="s">
        <v>235</v>
      </c>
      <c r="D88" s="55" t="s">
        <v>404</v>
      </c>
      <c r="E88" s="55" t="s">
        <v>456</v>
      </c>
      <c r="F88" s="55" t="s">
        <v>285</v>
      </c>
      <c r="G88" s="27"/>
      <c r="H88" s="27"/>
      <c r="I88" s="27"/>
      <c r="J88" s="27"/>
      <c r="K88" s="27"/>
      <c r="L88" s="27"/>
      <c r="M88" s="27"/>
      <c r="N88" s="27"/>
      <c r="O88" s="27"/>
      <c r="P88" s="27"/>
      <c r="Q88" s="34"/>
      <c r="R88" s="27"/>
      <c r="S88" s="27"/>
    </row>
    <row r="89" spans="1:19">
      <c r="A89" s="27"/>
      <c r="B89" s="27"/>
      <c r="C89" s="27"/>
      <c r="D89" s="27"/>
      <c r="E89" s="27"/>
      <c r="F89" s="27"/>
      <c r="G89" s="27"/>
      <c r="H89" s="27"/>
      <c r="I89" s="27"/>
      <c r="J89" s="27"/>
      <c r="K89" s="27"/>
      <c r="L89" s="27"/>
      <c r="M89" s="27"/>
      <c r="N89" s="27"/>
      <c r="O89" s="27"/>
      <c r="P89" s="27"/>
      <c r="Q89" s="34"/>
      <c r="R89" s="27"/>
      <c r="S89" s="27"/>
    </row>
    <row r="90" spans="1:19">
      <c r="A90" s="27" t="s">
        <v>272</v>
      </c>
      <c r="B90" s="27" t="s">
        <v>431</v>
      </c>
      <c r="C90" s="44">
        <f>SUMIFS('Geneva investment position repo'!$AB:$AB,'Geneva investment position repo'!$AS:$AS,'SFC Report'!$C$88,'Geneva investment position repo'!$AW:$AW,'SFC Report'!$A90)</f>
        <v>32439625.376676984</v>
      </c>
      <c r="D90" s="44">
        <f>SUMIFS('Geneva investment position repo'!$AB:$AB,'Geneva investment position repo'!$AS:$AS,"Corporate",'Geneva investment position repo'!$AW:$AW,'SFC Report'!$A90)+SUMIFS('Geneva investment position repo'!$AB:$AB,'Geneva investment position repo'!$AS:$AS,"Government",'Geneva investment position repo'!$AW:$AW,'SFC Report'!$A90)</f>
        <v>507452252.27683157</v>
      </c>
      <c r="E90" s="44">
        <f>SUMIFS('Geneva investment position repo'!$AB:$AB,'Geneva investment position repo'!$AS:$AS,"Cash",'Geneva investment position repo'!$AW:$AW,'SFC Report'!$A90)+SUMIFS('Geneva investment position repo'!$AB:$AB,'Geneva investment position repo'!$AS:$AS,"Cash Adjustments",'Geneva investment position repo'!$AW:$AW,'SFC Report'!$A90)+SUMIFS('Geneva investment position repo'!$AB:$AB,'Geneva investment position repo'!$AS:$AS,"Derivatives",'Geneva investment position repo'!$AW:$AW,'SFC Report'!$A90)+SUMIFS('Geneva investment position repo'!$AB:$AB,'Geneva investment position repo'!$AS:$AS,"Cash Equivalents",'Geneva investment position repo'!$AW:$AW,'SFC Report'!$A90)</f>
        <v>9073380.3482972179</v>
      </c>
      <c r="F90" s="44">
        <f>SUM(C90:E90)</f>
        <v>548965258.00180578</v>
      </c>
      <c r="G90" s="27"/>
      <c r="H90" s="27"/>
      <c r="I90" s="27"/>
      <c r="J90" s="27"/>
      <c r="K90" s="27"/>
      <c r="L90" s="27"/>
      <c r="M90" s="27"/>
      <c r="N90" s="27"/>
      <c r="O90" s="27"/>
      <c r="P90" s="27"/>
      <c r="Q90" s="34"/>
      <c r="R90" s="27"/>
      <c r="S90" s="27"/>
    </row>
    <row r="91" spans="1:19">
      <c r="A91" s="27" t="s">
        <v>273</v>
      </c>
      <c r="B91" s="27" t="s">
        <v>402</v>
      </c>
      <c r="C91" s="44">
        <f>SUMIFS('Geneva investment position repo'!$AB:$AB,'Geneva investment position repo'!$AS:$AS,'SFC Report'!$C$88,'Geneva investment position repo'!$AW:$AW,'SFC Report'!$A91)</f>
        <v>1086171.310629515</v>
      </c>
      <c r="D91" s="44">
        <f>SUMIFS('Geneva investment position repo'!$AB:$AB,'Geneva investment position repo'!$AS:$AS,"Corporate",'Geneva investment position repo'!$AW:$AW,'SFC Report'!$A91)+SUMIFS('Geneva investment position repo'!$AB:$AB,'Geneva investment position repo'!$AS:$AS,"Government",'Geneva investment position repo'!$AW:$AW,'SFC Report'!$A91)</f>
        <v>31845940.24509804</v>
      </c>
      <c r="E91" s="44">
        <f>SUMIFS('Geneva investment position repo'!$AB:$AB,'Geneva investment position repo'!$AS:$AS,"Cash",'Geneva investment position repo'!$AW:$AW,'SFC Report'!$A91)+SUMIFS('Geneva investment position repo'!$AB:$AB,'Geneva investment position repo'!$AS:$AS,"Cash Adjustments",'Geneva investment position repo'!$AW:$AW,'SFC Report'!$A91)+SUMIFS('Geneva investment position repo'!$AB:$AB,'Geneva investment position repo'!$AS:$AS,"Derivatives",'Geneva investment position repo'!$AW:$AW,'SFC Report'!$A91)+SUMIFS('Geneva investment position repo'!$AB:$AB,'Geneva investment position repo'!$AS:$AS,"Cash Equivalents",'Geneva investment position repo'!$AW:$AW,'SFC Report'!$A91)</f>
        <v>0</v>
      </c>
      <c r="F91" s="44">
        <f t="shared" ref="F91:F93" si="17">SUM(C91:E91)</f>
        <v>32932111.555727556</v>
      </c>
      <c r="G91" s="27"/>
      <c r="H91" s="27"/>
      <c r="I91" s="27"/>
      <c r="J91" s="27"/>
      <c r="K91" s="27"/>
      <c r="L91" s="27"/>
      <c r="M91" s="27"/>
      <c r="N91" s="27"/>
      <c r="O91" s="27"/>
      <c r="P91" s="27"/>
      <c r="Q91" s="34"/>
      <c r="R91" s="27"/>
      <c r="S91" s="27"/>
    </row>
    <row r="92" spans="1:19">
      <c r="A92" s="27" t="s">
        <v>274</v>
      </c>
      <c r="B92" s="27" t="s">
        <v>403</v>
      </c>
      <c r="C92" s="44">
        <f>SUMIFS('Geneva investment position repo'!$AB:$AB,'Geneva investment position repo'!$AS:$AS,'SFC Report'!$C$88,'Geneva investment position repo'!$AW:$AW,'SFC Report'!$A92)</f>
        <v>0</v>
      </c>
      <c r="D92" s="44">
        <f>SUMIFS('Geneva investment position repo'!$AB:$AB,'Geneva investment position repo'!$AS:$AS,"Corporate",'Geneva investment position repo'!$AW:$AW,'SFC Report'!$A92)+SUMIFS('Geneva investment position repo'!$AB:$AB,'Geneva investment position repo'!$AS:$AS,"Government",'Geneva investment position repo'!$AW:$AW,'SFC Report'!$A92)</f>
        <v>0</v>
      </c>
      <c r="E92" s="44">
        <f>SUMIFS('Geneva investment position repo'!$AB:$AB,'Geneva investment position repo'!$AS:$AS,"Cash",'Geneva investment position repo'!$AW:$AW,'SFC Report'!$A92)+SUMIFS('Geneva investment position repo'!$AB:$AB,'Geneva investment position repo'!$AS:$AS,"Cash Adjustments",'Geneva investment position repo'!$AW:$AW,'SFC Report'!$A92)+SUMIFS('Geneva investment position repo'!$AB:$AB,'Geneva investment position repo'!$AS:$AS,"Derivatives",'Geneva investment position repo'!$AW:$AW,'SFC Report'!$A92)+SUMIFS('Geneva investment position repo'!$AB:$AB,'Geneva investment position repo'!$AS:$AS,"Cash Equivalents",'Geneva investment position repo'!$AW:$AW,'SFC Report'!$A92)</f>
        <v>0</v>
      </c>
      <c r="F92" s="44">
        <f t="shared" si="17"/>
        <v>0</v>
      </c>
      <c r="G92" s="27"/>
      <c r="H92" s="27"/>
      <c r="I92" s="27"/>
      <c r="J92" s="27"/>
      <c r="K92" s="27"/>
      <c r="L92" s="27"/>
      <c r="M92" s="27"/>
      <c r="N92" s="27"/>
      <c r="O92" s="27"/>
      <c r="P92" s="27"/>
      <c r="Q92" s="34"/>
      <c r="R92" s="27"/>
      <c r="S92" s="27"/>
    </row>
    <row r="93" spans="1:19">
      <c r="A93" s="27" t="s">
        <v>275</v>
      </c>
      <c r="B93" s="27" t="s">
        <v>432</v>
      </c>
      <c r="C93" s="44">
        <f>SUMIFS('Geneva investment position repo'!$AB:$AB,'Geneva investment position repo'!$AS:$AS,'SFC Report'!$C$88,'Geneva investment position repo'!$AW:$AW,'SFC Report'!$A93)</f>
        <v>0</v>
      </c>
      <c r="D93" s="44">
        <f>SUMIFS('Geneva investment position repo'!$AB:$AB,'Geneva investment position repo'!$AS:$AS,"Corporate",'Geneva investment position repo'!$AW:$AW,'SFC Report'!$A93)+SUMIFS('Geneva investment position repo'!$AB:$AB,'Geneva investment position repo'!$AS:$AS,"Government",'Geneva investment position repo'!$AW:$AW,'SFC Report'!$A93)</f>
        <v>11132203.412022704</v>
      </c>
      <c r="E93" s="44">
        <f>SUMIFS('Geneva investment position repo'!$AB:$AB,'Geneva investment position repo'!$AS:$AS,"Cash",'Geneva investment position repo'!$AW:$AW,'SFC Report'!$A93)+SUMIFS('Geneva investment position repo'!$AB:$AB,'Geneva investment position repo'!$AS:$AS,"Cash Adjustments",'Geneva investment position repo'!$AW:$AW,'SFC Report'!$A93)+SUMIFS('Geneva investment position repo'!$AB:$AB,'Geneva investment position repo'!$AS:$AS,"Derivatives",'Geneva investment position repo'!$AW:$AW,'SFC Report'!$A93)+SUMIFS('Geneva investment position repo'!$AB:$AB,'Geneva investment position repo'!$AS:$AS,"Cash Equivalents",'Geneva investment position repo'!$AW:$AW,'SFC Report'!$A93)</f>
        <v>0</v>
      </c>
      <c r="F93" s="44">
        <f t="shared" si="17"/>
        <v>11132203.412022704</v>
      </c>
      <c r="G93" s="27"/>
      <c r="H93" s="27"/>
      <c r="I93" s="27"/>
      <c r="J93" s="27"/>
      <c r="K93" s="27"/>
      <c r="L93" s="27"/>
      <c r="M93" s="27"/>
      <c r="N93" s="27"/>
      <c r="O93" s="27"/>
      <c r="P93" s="27"/>
      <c r="Q93" s="34"/>
      <c r="R93" s="27"/>
      <c r="S93" s="27"/>
    </row>
    <row r="94" spans="1:19">
      <c r="A94" s="27"/>
      <c r="B94" s="27"/>
      <c r="C94" s="27"/>
      <c r="D94" s="27"/>
      <c r="E94" s="27"/>
      <c r="F94" s="27"/>
      <c r="G94" s="27"/>
      <c r="H94" s="27"/>
      <c r="I94" s="27"/>
      <c r="J94" s="27"/>
      <c r="K94" s="27"/>
      <c r="L94" s="27"/>
      <c r="M94" s="27"/>
      <c r="N94" s="27"/>
      <c r="O94" s="27"/>
      <c r="P94" s="27"/>
      <c r="Q94" s="27"/>
      <c r="R94" s="27"/>
      <c r="S94" s="27"/>
    </row>
    <row r="95" spans="1:19">
      <c r="A95" s="27" t="s">
        <v>285</v>
      </c>
      <c r="B95" s="27"/>
      <c r="C95" s="44">
        <f>SUM(C90:C93)</f>
        <v>33525796.687306501</v>
      </c>
      <c r="D95" s="44">
        <f>SUM(D90:D93)</f>
        <v>550430395.93395233</v>
      </c>
      <c r="E95" s="44">
        <f>SUM(E90:E93)</f>
        <v>9073380.3482972179</v>
      </c>
      <c r="F95" s="165">
        <f>SUM(F90:F93)</f>
        <v>593029572.96955609</v>
      </c>
      <c r="G95" s="27"/>
      <c r="H95" s="27"/>
      <c r="I95" s="27"/>
      <c r="J95" s="27"/>
      <c r="K95" s="27"/>
      <c r="L95" s="27"/>
      <c r="M95" s="27"/>
      <c r="N95" s="27"/>
      <c r="O95" s="27"/>
      <c r="P95" s="27"/>
      <c r="Q95" s="27"/>
      <c r="R95" s="27"/>
      <c r="S95" s="27"/>
    </row>
    <row r="96" spans="1:19" ht="15" hidden="1" customHeight="1" outlineLevel="1">
      <c r="A96" s="27"/>
      <c r="B96" s="27" t="s">
        <v>481</v>
      </c>
      <c r="C96" s="34">
        <f>C95-C19</f>
        <v>0</v>
      </c>
      <c r="D96" s="34">
        <f>D95-C21-C22</f>
        <v>0</v>
      </c>
      <c r="E96" s="34">
        <f>E95-C23-C25-C26-C27</f>
        <v>6.9849193096160889E-10</v>
      </c>
      <c r="F96" s="34">
        <f>F95-C29</f>
        <v>0</v>
      </c>
      <c r="G96" s="27"/>
      <c r="H96" s="27"/>
      <c r="I96" s="27"/>
      <c r="J96" s="27"/>
      <c r="K96" s="27"/>
      <c r="L96" s="27"/>
      <c r="M96" s="27"/>
      <c r="N96" s="27"/>
      <c r="O96" s="27"/>
      <c r="P96" s="27"/>
      <c r="Q96" s="27"/>
      <c r="R96" s="27"/>
      <c r="S96" s="27"/>
    </row>
    <row r="97" spans="1:19" collapsed="1">
      <c r="A97" s="27"/>
      <c r="B97" s="27"/>
      <c r="C97" s="27"/>
      <c r="D97" s="27"/>
      <c r="E97" s="27"/>
      <c r="F97" s="27"/>
      <c r="G97" s="27"/>
      <c r="H97" s="27"/>
      <c r="I97" s="27"/>
      <c r="J97" s="27"/>
      <c r="K97" s="27"/>
      <c r="L97" s="27"/>
      <c r="M97" s="27"/>
      <c r="N97" s="27"/>
      <c r="O97" s="27"/>
      <c r="P97" s="27"/>
      <c r="Q97" s="27"/>
      <c r="R97" s="27"/>
      <c r="S97" s="27"/>
    </row>
    <row r="98" spans="1:19">
      <c r="A98" s="27"/>
      <c r="B98" s="27"/>
      <c r="C98" s="27"/>
      <c r="D98" s="27"/>
      <c r="E98" s="27"/>
      <c r="F98" s="27"/>
      <c r="G98" s="27"/>
      <c r="H98" s="27"/>
      <c r="I98" s="27"/>
      <c r="J98" s="27"/>
      <c r="K98" s="27"/>
      <c r="L98" s="27"/>
      <c r="M98" s="27"/>
      <c r="N98" s="27"/>
      <c r="O98" s="27"/>
      <c r="P98" s="27"/>
      <c r="Q98" s="27"/>
      <c r="R98" s="27"/>
      <c r="S98" s="27"/>
    </row>
    <row r="99" spans="1:19">
      <c r="A99" s="27"/>
      <c r="B99" s="27"/>
      <c r="C99" s="27"/>
      <c r="D99" s="27"/>
      <c r="E99" s="27"/>
      <c r="F99" s="27"/>
      <c r="G99" s="27"/>
      <c r="H99" s="27"/>
      <c r="I99" s="27"/>
      <c r="J99" s="27"/>
      <c r="K99" s="27"/>
      <c r="L99" s="27"/>
      <c r="M99" s="27"/>
      <c r="N99" s="27"/>
      <c r="O99" s="27"/>
      <c r="P99" s="27"/>
      <c r="Q99" s="27"/>
      <c r="R99" s="27"/>
      <c r="S99" s="27"/>
    </row>
    <row r="100" spans="1:19" ht="18">
      <c r="A100" s="73" t="s">
        <v>401</v>
      </c>
      <c r="B100" s="27"/>
      <c r="C100" s="27"/>
      <c r="D100" s="27"/>
      <c r="E100" s="27"/>
      <c r="F100" s="27"/>
      <c r="G100" s="27"/>
      <c r="H100" s="27"/>
      <c r="I100" s="27"/>
      <c r="J100" s="27"/>
      <c r="K100" s="27"/>
      <c r="L100" s="27"/>
      <c r="M100" s="27"/>
      <c r="N100" s="27"/>
      <c r="O100" s="27"/>
      <c r="P100" s="27"/>
      <c r="Q100" s="27"/>
      <c r="R100" s="27"/>
      <c r="S100" s="27"/>
    </row>
    <row r="101" spans="1:19">
      <c r="A101" s="74" t="s">
        <v>286</v>
      </c>
      <c r="B101" s="27"/>
      <c r="C101" s="27"/>
      <c r="D101" s="27"/>
      <c r="E101" s="27"/>
      <c r="F101" s="27"/>
      <c r="G101" s="27"/>
      <c r="H101" s="27"/>
      <c r="I101" s="27"/>
      <c r="J101" s="27"/>
      <c r="K101" s="27"/>
      <c r="L101" s="27"/>
      <c r="M101" s="27"/>
      <c r="N101" s="27"/>
      <c r="O101" s="27"/>
      <c r="P101" s="27"/>
      <c r="Q101" s="27"/>
      <c r="R101" s="27"/>
      <c r="S101" s="27"/>
    </row>
    <row r="102" spans="1:19">
      <c r="A102" s="54" t="s">
        <v>280</v>
      </c>
      <c r="B102" s="56" t="s">
        <v>287</v>
      </c>
      <c r="C102" s="55" t="s">
        <v>235</v>
      </c>
      <c r="D102" s="55" t="s">
        <v>404</v>
      </c>
      <c r="E102" s="55" t="s">
        <v>456</v>
      </c>
      <c r="F102" s="55" t="s">
        <v>285</v>
      </c>
      <c r="G102" s="27"/>
      <c r="H102" s="27"/>
      <c r="I102" s="27"/>
      <c r="J102" s="27"/>
      <c r="K102" s="27"/>
      <c r="L102" s="27"/>
      <c r="M102" s="27"/>
      <c r="N102" s="27"/>
      <c r="O102" s="27"/>
      <c r="P102" s="27"/>
      <c r="Q102" s="27"/>
      <c r="R102" s="27"/>
      <c r="S102" s="27"/>
    </row>
    <row r="103" spans="1:19">
      <c r="A103" s="27"/>
      <c r="B103" s="27"/>
      <c r="C103" s="27"/>
      <c r="D103" s="27"/>
      <c r="E103" s="27"/>
      <c r="F103" s="27"/>
      <c r="G103" s="27"/>
      <c r="H103" s="27"/>
      <c r="I103" s="27"/>
      <c r="J103" s="27"/>
      <c r="K103" s="27"/>
      <c r="L103" s="27"/>
      <c r="M103" s="27"/>
      <c r="N103" s="27"/>
      <c r="O103" s="27"/>
      <c r="P103" s="27"/>
      <c r="Q103" s="27"/>
      <c r="R103" s="27"/>
      <c r="S103" s="27"/>
    </row>
    <row r="104" spans="1:19">
      <c r="A104" s="27" t="s">
        <v>272</v>
      </c>
      <c r="B104" s="27" t="s">
        <v>431</v>
      </c>
      <c r="C104" s="35">
        <f t="shared" ref="C104:E107" si="18">C90/$F$95</f>
        <v>5.4701530674495236E-2</v>
      </c>
      <c r="D104" s="35">
        <f t="shared" si="18"/>
        <v>0.85569468270494198</v>
      </c>
      <c r="E104" s="35">
        <f t="shared" si="18"/>
        <v>1.5300047015974044E-2</v>
      </c>
      <c r="F104" s="35">
        <f>SUM(C104:E104)</f>
        <v>0.92569626039541131</v>
      </c>
      <c r="G104" s="27"/>
      <c r="H104" s="27"/>
      <c r="I104" s="27"/>
      <c r="J104" s="27"/>
      <c r="K104" s="27"/>
      <c r="L104" s="27"/>
      <c r="M104" s="27"/>
      <c r="N104" s="27"/>
      <c r="O104" s="27"/>
      <c r="P104" s="27"/>
      <c r="Q104" s="27"/>
      <c r="R104" s="27"/>
      <c r="S104" s="27"/>
    </row>
    <row r="105" spans="1:19">
      <c r="A105" s="27" t="s">
        <v>273</v>
      </c>
      <c r="B105" s="27" t="s">
        <v>402</v>
      </c>
      <c r="C105" s="35">
        <f t="shared" si="18"/>
        <v>1.831563483740928E-3</v>
      </c>
      <c r="D105" s="35">
        <f t="shared" si="18"/>
        <v>5.3700425234498195E-2</v>
      </c>
      <c r="E105" s="35">
        <f t="shared" si="18"/>
        <v>0</v>
      </c>
      <c r="F105" s="35">
        <f t="shared" ref="F105:F107" si="19">SUM(C105:E105)</f>
        <v>5.5531988718239125E-2</v>
      </c>
      <c r="G105" s="27"/>
      <c r="H105" s="27"/>
      <c r="I105" s="27"/>
      <c r="J105" s="27"/>
      <c r="K105" s="27"/>
      <c r="L105" s="27"/>
      <c r="M105" s="27"/>
      <c r="N105" s="27"/>
      <c r="O105" s="27"/>
      <c r="P105" s="27"/>
      <c r="Q105" s="27"/>
      <c r="R105" s="27"/>
      <c r="S105" s="27"/>
    </row>
    <row r="106" spans="1:19">
      <c r="A106" s="27" t="s">
        <v>274</v>
      </c>
      <c r="B106" s="27" t="s">
        <v>403</v>
      </c>
      <c r="C106" s="35">
        <f t="shared" si="18"/>
        <v>0</v>
      </c>
      <c r="D106" s="35">
        <f t="shared" si="18"/>
        <v>0</v>
      </c>
      <c r="E106" s="35">
        <f t="shared" si="18"/>
        <v>0</v>
      </c>
      <c r="F106" s="35">
        <f t="shared" si="19"/>
        <v>0</v>
      </c>
      <c r="G106" s="27"/>
      <c r="H106" s="27"/>
      <c r="I106" s="27"/>
      <c r="J106" s="27"/>
      <c r="K106" s="27"/>
      <c r="L106" s="27"/>
      <c r="M106" s="27"/>
      <c r="N106" s="27"/>
      <c r="O106" s="27"/>
      <c r="P106" s="27"/>
      <c r="Q106" s="27"/>
      <c r="R106" s="27"/>
      <c r="S106" s="27"/>
    </row>
    <row r="107" spans="1:19">
      <c r="A107" s="27" t="s">
        <v>275</v>
      </c>
      <c r="B107" s="27" t="s">
        <v>432</v>
      </c>
      <c r="C107" s="35">
        <f t="shared" si="18"/>
        <v>0</v>
      </c>
      <c r="D107" s="35">
        <f t="shared" si="18"/>
        <v>1.8771750886349456E-2</v>
      </c>
      <c r="E107" s="35">
        <f t="shared" si="18"/>
        <v>0</v>
      </c>
      <c r="F107" s="35">
        <f t="shared" si="19"/>
        <v>1.8771750886349456E-2</v>
      </c>
      <c r="G107" s="27"/>
      <c r="H107" s="27"/>
      <c r="I107" s="27"/>
      <c r="J107" s="27"/>
      <c r="K107" s="27"/>
      <c r="L107" s="27"/>
      <c r="M107" s="27"/>
      <c r="N107" s="27"/>
      <c r="O107" s="27"/>
      <c r="P107" s="27"/>
      <c r="Q107" s="27"/>
      <c r="R107" s="27"/>
      <c r="S107" s="27"/>
    </row>
    <row r="108" spans="1:19">
      <c r="A108" s="27"/>
      <c r="B108" s="27"/>
      <c r="C108" s="27"/>
      <c r="D108" s="27"/>
      <c r="E108" s="35"/>
      <c r="F108" s="27"/>
      <c r="G108" s="27"/>
      <c r="H108" s="27"/>
      <c r="I108" s="27"/>
      <c r="J108" s="27"/>
      <c r="K108" s="27"/>
      <c r="L108" s="27"/>
      <c r="M108" s="27"/>
      <c r="N108" s="27"/>
      <c r="O108" s="27"/>
      <c r="P108" s="27"/>
      <c r="Q108" s="27"/>
      <c r="R108" s="27"/>
      <c r="S108" s="27"/>
    </row>
    <row r="109" spans="1:19">
      <c r="A109" s="27" t="s">
        <v>285</v>
      </c>
      <c r="B109" s="27"/>
      <c r="C109" s="35">
        <f>SUM(C104:C107)</f>
        <v>5.6533094158236166E-2</v>
      </c>
      <c r="D109" s="35">
        <f>SUM(D104:D107)</f>
        <v>0.92816685882578964</v>
      </c>
      <c r="E109" s="35">
        <f>E95/$F$95</f>
        <v>1.5300047015974044E-2</v>
      </c>
      <c r="F109" s="35">
        <f>SUM(F104:F107)</f>
        <v>0.99999999999999989</v>
      </c>
      <c r="G109" s="27"/>
      <c r="H109" s="27"/>
      <c r="I109" s="27"/>
      <c r="J109" s="27"/>
      <c r="K109" s="27"/>
      <c r="L109" s="27"/>
      <c r="M109" s="27"/>
      <c r="N109" s="27"/>
      <c r="O109" s="27"/>
      <c r="P109" s="27"/>
      <c r="Q109" s="27"/>
      <c r="R109" s="27"/>
      <c r="S109" s="27"/>
    </row>
    <row r="110" spans="1:19">
      <c r="A110" s="27"/>
      <c r="B110" s="27"/>
      <c r="C110" s="27"/>
      <c r="D110" s="27"/>
      <c r="E110" s="27"/>
      <c r="F110" s="35"/>
      <c r="G110" s="27"/>
      <c r="H110" s="27"/>
      <c r="I110" s="27"/>
      <c r="J110" s="27"/>
      <c r="K110" s="27"/>
      <c r="L110" s="27"/>
      <c r="M110" s="27"/>
      <c r="N110" s="27"/>
      <c r="O110" s="27"/>
      <c r="P110" s="27"/>
      <c r="Q110" s="27"/>
      <c r="R110" s="27"/>
      <c r="S110" s="27"/>
    </row>
    <row r="111" spans="1:19" ht="18" collapsed="1">
      <c r="A111" s="166"/>
      <c r="B111" s="27"/>
      <c r="C111" s="27"/>
      <c r="D111" s="27"/>
      <c r="E111" s="27"/>
      <c r="F111" s="27"/>
      <c r="G111" s="27"/>
      <c r="H111" s="27"/>
      <c r="I111" s="27"/>
      <c r="J111" s="27"/>
      <c r="K111" s="27"/>
      <c r="L111" s="27"/>
      <c r="M111" s="27"/>
      <c r="N111" s="27"/>
      <c r="O111" s="27"/>
      <c r="P111" s="27"/>
      <c r="Q111" s="27"/>
      <c r="R111" s="27"/>
      <c r="S111" s="27"/>
    </row>
    <row r="112" spans="1:19" ht="18">
      <c r="A112" s="73" t="s">
        <v>485</v>
      </c>
      <c r="B112" s="27"/>
      <c r="C112" s="27"/>
      <c r="D112" s="27"/>
      <c r="E112" s="27"/>
      <c r="F112" s="27"/>
      <c r="G112" s="27"/>
      <c r="H112" s="73" t="s">
        <v>490</v>
      </c>
      <c r="I112" s="27"/>
      <c r="J112" s="27"/>
      <c r="K112" s="27"/>
      <c r="L112" s="27"/>
      <c r="M112" s="27"/>
      <c r="N112" s="27"/>
      <c r="O112" s="27"/>
      <c r="P112" s="27"/>
      <c r="Q112" s="27"/>
      <c r="R112" s="27"/>
      <c r="S112" s="27"/>
    </row>
    <row r="113" spans="1:19">
      <c r="A113" s="74" t="s">
        <v>484</v>
      </c>
      <c r="B113" s="27"/>
      <c r="C113" s="27"/>
      <c r="D113" s="27"/>
      <c r="E113" s="27"/>
      <c r="F113" s="27"/>
      <c r="G113" s="27"/>
      <c r="H113" s="74" t="s">
        <v>486</v>
      </c>
      <c r="I113" s="27"/>
      <c r="J113" s="27"/>
      <c r="K113" s="27"/>
      <c r="L113" s="27"/>
      <c r="M113" s="27"/>
      <c r="N113" s="27"/>
      <c r="O113" s="27"/>
      <c r="P113" s="27"/>
      <c r="Q113" s="27"/>
      <c r="R113" s="27"/>
      <c r="S113" s="27"/>
    </row>
    <row r="114" spans="1:19">
      <c r="A114" s="54" t="s">
        <v>482</v>
      </c>
      <c r="B114" s="56" t="s">
        <v>487</v>
      </c>
      <c r="C114" s="56" t="s">
        <v>464</v>
      </c>
      <c r="D114" s="56" t="s">
        <v>283</v>
      </c>
      <c r="E114" s="55" t="s">
        <v>287</v>
      </c>
      <c r="F114" s="27"/>
      <c r="G114" s="27"/>
      <c r="H114" s="54" t="s">
        <v>482</v>
      </c>
      <c r="I114" s="56" t="s">
        <v>487</v>
      </c>
      <c r="J114" s="56" t="s">
        <v>464</v>
      </c>
      <c r="K114" s="55" t="s">
        <v>283</v>
      </c>
      <c r="L114" s="55" t="s">
        <v>287</v>
      </c>
      <c r="M114" s="27"/>
      <c r="N114" s="27"/>
      <c r="O114" s="27"/>
      <c r="P114" s="27"/>
      <c r="Q114" s="27"/>
      <c r="R114" s="27"/>
      <c r="S114" s="27"/>
    </row>
    <row r="115" spans="1:19">
      <c r="A115" s="27"/>
      <c r="B115" s="27"/>
      <c r="C115" s="27"/>
      <c r="D115" s="27"/>
      <c r="E115" s="27"/>
      <c r="F115" s="27"/>
      <c r="G115" s="27"/>
      <c r="H115" s="27"/>
      <c r="I115" s="27"/>
      <c r="J115" s="27"/>
      <c r="K115" s="27"/>
      <c r="L115" s="27"/>
      <c r="M115" s="27"/>
      <c r="N115" s="27"/>
      <c r="O115" s="27"/>
      <c r="P115" s="27"/>
      <c r="Q115" s="27"/>
      <c r="R115" s="27"/>
      <c r="S115" s="27"/>
    </row>
    <row r="116" spans="1:19">
      <c r="A116" s="27" t="str">
        <f>_xll.BDP(B116&amp;" FIGI", "SECURITY_NAME")</f>
        <v>COGARD 5 5/8 01/14/30</v>
      </c>
      <c r="B116" s="27" t="s">
        <v>1179</v>
      </c>
      <c r="C116" s="27" t="str">
        <f>VLOOKUP(B116,'Geneva investment position repo'!R:AS,28,0)</f>
        <v>Corporate</v>
      </c>
      <c r="D116" s="44">
        <f>VLOOKUP(B116,'Geneva investment position repo'!R:AB,11,0)</f>
        <v>779692.9115067079</v>
      </c>
      <c r="E116" s="27">
        <f>VLOOKUP(B116,'Geneva investment position repo'!R:AB,5,0)</f>
        <v>0.1</v>
      </c>
      <c r="F116" s="27"/>
      <c r="G116" s="27"/>
      <c r="H116" s="27" t="str">
        <f>_xll.BDP(I116&amp;" FIGI", "SECURITY_NAME")</f>
        <v>CERCG 5.55 04/14/21</v>
      </c>
      <c r="I116" s="27" t="s">
        <v>219</v>
      </c>
      <c r="J116" s="27" t="str">
        <f>VLOOKUP(I116,'Geneva investment position repo'!R:AS,28,0)</f>
        <v>Corporate</v>
      </c>
      <c r="K116" s="44">
        <f>VLOOKUP(I116,'Geneva investment position repo'!R:AB,11,0)</f>
        <v>1087080.8565531478</v>
      </c>
      <c r="L116" s="122">
        <f>VLOOKUP(I116,'Geneva investment position repo'!R:AB,5,0)</f>
        <v>45</v>
      </c>
      <c r="M116" s="27"/>
      <c r="N116" s="27"/>
      <c r="O116" s="27"/>
      <c r="P116" s="27"/>
      <c r="Q116" s="27"/>
      <c r="R116" s="27"/>
      <c r="S116" s="27"/>
    </row>
    <row r="117" spans="1:19">
      <c r="A117" s="27" t="str">
        <f>_xll.BDP(B117&amp;" FIGI", "SECURITY_NAME")</f>
        <v>LOGPH 5 3/4 01/14/25</v>
      </c>
      <c r="B117" s="27" t="s">
        <v>1429</v>
      </c>
      <c r="C117" s="27" t="str">
        <f>VLOOKUP(B117,'Geneva investment position repo'!R:AS,28,0)</f>
        <v>Corporate</v>
      </c>
      <c r="D117" s="44">
        <f>VLOOKUP(B117,'Geneva investment position repo'!R:AB,11,0)</f>
        <v>783674.43369453051</v>
      </c>
      <c r="E117" s="27">
        <f>VLOOKUP(B117,'Geneva investment position repo'!R:AB,5,0)</f>
        <v>0.1</v>
      </c>
      <c r="F117" s="27"/>
      <c r="G117" s="27"/>
      <c r="H117" s="27" t="str">
        <f>_xll.BDP(I117&amp;" FIGI", "SECURITY_NAME")</f>
        <v>HUAFAI 4.4 03/16/21</v>
      </c>
      <c r="I117" s="27" t="s">
        <v>1425</v>
      </c>
      <c r="J117" s="27" t="str">
        <f>VLOOKUP(I117,'Geneva investment position repo'!R:AS,28,0)</f>
        <v>Corporate</v>
      </c>
      <c r="K117" s="44">
        <f>VLOOKUP(I117,'Geneva investment position repo'!R:AB,11,0)</f>
        <v>10045122.555469556</v>
      </c>
      <c r="L117" s="122">
        <f>VLOOKUP(I117,'Geneva investment position repo'!R:AB,5,0)</f>
        <v>13.1</v>
      </c>
      <c r="M117" s="27"/>
      <c r="N117" s="27"/>
      <c r="O117" s="27"/>
      <c r="P117" s="27"/>
      <c r="Q117" s="27"/>
      <c r="R117" s="27"/>
      <c r="S117" s="27"/>
    </row>
    <row r="118" spans="1:19">
      <c r="A118" s="27" t="str">
        <f>_xll.BDP(B118&amp;" FIGI", "SECURITY_NAME")</f>
        <v>STESP 1 1/2 04/29/25</v>
      </c>
      <c r="B118" s="27" t="s">
        <v>2012</v>
      </c>
      <c r="C118" s="27" t="str">
        <f>VLOOKUP(B118,'Geneva investment position repo'!R:AS,28,0)</f>
        <v>Corporate</v>
      </c>
      <c r="D118" s="44">
        <f>VLOOKUP(B118,'Geneva investment position repo'!R:AB,11,0)</f>
        <v>83.313983488132095</v>
      </c>
      <c r="E118" s="27">
        <f>VLOOKUP(B118,'Geneva investment position repo'!R:AB,5,0)</f>
        <v>0.1</v>
      </c>
      <c r="F118" s="27"/>
      <c r="G118" s="27"/>
      <c r="H118" s="27" t="str">
        <f>_xll.BDP(I118&amp;" FIGI", "SECURITY_NAME")</f>
        <v>MEDCIJ 8 1/2 08/17/22</v>
      </c>
      <c r="I118" s="27" t="s">
        <v>1436</v>
      </c>
      <c r="J118" s="27" t="str">
        <f>VLOOKUP(I118,'Geneva investment position repo'!R:AS,28,0)</f>
        <v>Corporate</v>
      </c>
      <c r="K118" s="44">
        <f>VLOOKUP(I118,'Geneva investment position repo'!R:AB,11,0)</f>
        <v>987366.79308565531</v>
      </c>
      <c r="L118" s="122">
        <f>VLOOKUP(I118,'Geneva investment position repo'!R:AB,5,0)</f>
        <v>4.7</v>
      </c>
      <c r="M118" s="27"/>
      <c r="N118" s="27"/>
      <c r="O118" s="27"/>
      <c r="P118" s="27"/>
      <c r="Q118" s="27"/>
      <c r="R118" s="27"/>
      <c r="S118" s="27"/>
    </row>
    <row r="119" spans="1:19">
      <c r="A119" s="27" t="str">
        <f>_xll.BDP(B119&amp;" FIGI", "SECURITY_NAME")</f>
        <v>SUNAC 6 1/2 01/10/25</v>
      </c>
      <c r="B119" s="27" t="s">
        <v>1261</v>
      </c>
      <c r="C119" s="27" t="str">
        <f>VLOOKUP(B119,'Geneva investment position repo'!R:AS,28,0)</f>
        <v>Corporate</v>
      </c>
      <c r="D119" s="44">
        <f>VLOOKUP(B119,'Geneva investment position repo'!R:AB,11,0)</f>
        <v>3485667.5683694528</v>
      </c>
      <c r="E119" s="27">
        <f>VLOOKUP(B119,'Geneva investment position repo'!R:AB,5,0)</f>
        <v>0.1</v>
      </c>
      <c r="F119" s="27"/>
      <c r="G119" s="27"/>
      <c r="H119" s="27" t="str">
        <f>_xll.BDP(I119&amp;" FIGI", "SECURITY_NAME")</f>
        <v>JINKE 8 3/8 06/20/21</v>
      </c>
      <c r="I119" s="27" t="s">
        <v>910</v>
      </c>
      <c r="J119" s="27" t="str">
        <f>VLOOKUP(I119,'Geneva investment position repo'!R:AS,28,0)</f>
        <v>Corporate</v>
      </c>
      <c r="K119" s="44">
        <f>VLOOKUP(I119,'Geneva investment position repo'!R:AB,11,0)</f>
        <v>12874459.631062951</v>
      </c>
      <c r="L119" s="122">
        <f>VLOOKUP(I119,'Geneva investment position repo'!R:AB,5,0)</f>
        <v>4.5</v>
      </c>
      <c r="M119" s="27"/>
      <c r="N119" s="27"/>
      <c r="O119" s="27"/>
      <c r="P119" s="27"/>
      <c r="Q119" s="27"/>
      <c r="R119" s="27"/>
      <c r="S119" s="27"/>
    </row>
    <row r="120" spans="1:19">
      <c r="A120" s="27" t="str">
        <f>_xll.BDP(B120&amp;" FIGI", "SECURITY_NAME")</f>
        <v>SUNAC 7 1/2 02/01/24</v>
      </c>
      <c r="B120" s="27" t="s">
        <v>1451</v>
      </c>
      <c r="C120" s="27" t="str">
        <f>VLOOKUP(B120,'Geneva investment position repo'!R:AS,28,0)</f>
        <v>Corporate</v>
      </c>
      <c r="D120" s="44">
        <f>VLOOKUP(B120,'Geneva investment position repo'!R:AB,11,0)</f>
        <v>1004648.3359133126</v>
      </c>
      <c r="E120" s="27">
        <f>VLOOKUP(B120,'Geneva investment position repo'!R:AB,5,0)</f>
        <v>0.1</v>
      </c>
      <c r="F120" s="27"/>
      <c r="G120" s="27"/>
      <c r="H120" s="27" t="str">
        <f>_xll.BDP(I120&amp;" FIGI", "SECURITY_NAME")</f>
        <v>SUNSHI 6.8 03/11/21</v>
      </c>
      <c r="I120" s="27" t="s">
        <v>1454</v>
      </c>
      <c r="J120" s="27" t="str">
        <f>VLOOKUP(I120,'Geneva investment position repo'!R:AS,28,0)</f>
        <v>Corporate</v>
      </c>
      <c r="K120" s="44">
        <f>VLOOKUP(I120,'Geneva investment position repo'!R:AB,11,0)</f>
        <v>13973625.264447885</v>
      </c>
      <c r="L120" s="122">
        <f>VLOOKUP(I120,'Geneva investment position repo'!R:AB,5,0)</f>
        <v>3.8</v>
      </c>
      <c r="M120" s="27"/>
      <c r="N120" s="27"/>
      <c r="O120" s="27"/>
      <c r="P120" s="27"/>
      <c r="Q120" s="27"/>
      <c r="R120" s="27"/>
      <c r="S120" s="27"/>
    </row>
    <row r="121" spans="1:19">
      <c r="A121" s="27" t="str">
        <f>_xll.BDP(B121&amp;" FIGI", "SECURITY_NAME")</f>
        <v>SUNAC 7 7/8 02/15/22</v>
      </c>
      <c r="B121" s="121" t="s">
        <v>167</v>
      </c>
      <c r="C121" s="27" t="str">
        <f>VLOOKUP(B121,'Geneva investment position repo'!R:AS,28,0)</f>
        <v>Corporate</v>
      </c>
      <c r="D121" s="44">
        <f>VLOOKUP(B121,'Geneva investment position repo'!R:AB,11,0)</f>
        <v>1532878.3604231167</v>
      </c>
      <c r="E121" s="121">
        <f>VLOOKUP(B121,'Geneva investment position repo'!R:AB,5,0)</f>
        <v>0.1</v>
      </c>
      <c r="F121" s="27"/>
      <c r="G121" s="27"/>
      <c r="H121" s="27" t="str">
        <f>_xll.BDP(I121&amp;" FIGI", "SECURITY_NAME")</f>
        <v>HK Electric Investments &amp; HK E</v>
      </c>
      <c r="I121" s="27" t="s">
        <v>1267</v>
      </c>
      <c r="J121" s="27" t="str">
        <f>VLOOKUP(I121,'Geneva investment position repo'!R:AS,28,0)</f>
        <v>Equity</v>
      </c>
      <c r="K121" s="44">
        <f>VLOOKUP(I121,'Geneva investment position repo'!R:AB,11,0)</f>
        <v>1086171.310629515</v>
      </c>
      <c r="L121" s="122">
        <f>VLOOKUP(I121,'Geneva investment position repo'!R:AB,5,0)</f>
        <v>3.5</v>
      </c>
      <c r="M121" s="27"/>
      <c r="N121" s="27"/>
      <c r="O121" s="27"/>
      <c r="P121" s="27"/>
      <c r="Q121" s="27"/>
      <c r="R121" s="27"/>
      <c r="S121" s="27"/>
    </row>
    <row r="122" spans="1:19">
      <c r="A122" s="27" t="str">
        <f>_xll.BDP(B122&amp;" FIGI", "SECURITY_NAME")</f>
        <v>SUNAC 8.35 04/19/23</v>
      </c>
      <c r="B122" s="125" t="s">
        <v>1452</v>
      </c>
      <c r="C122" s="27" t="str">
        <f>VLOOKUP(B122,'Geneva investment position repo'!R:AS,28,0)</f>
        <v>Corporate</v>
      </c>
      <c r="D122" s="44">
        <f>VLOOKUP(B122,'Geneva investment position repo'!R:AB,11,0)</f>
        <v>263643.97316821467</v>
      </c>
      <c r="E122" s="27">
        <f>VLOOKUP(B122,'Geneva investment position repo'!R:AB,5,0)</f>
        <v>0.1</v>
      </c>
      <c r="F122" s="27"/>
      <c r="G122" s="27"/>
      <c r="H122" s="27" t="str">
        <f>_xll.BDP(I122&amp;" FIGI", "SECURITY_NAME")</f>
        <v>GRNCH 8 1/8 PERP</v>
      </c>
      <c r="I122" s="27" t="s">
        <v>176</v>
      </c>
      <c r="J122" s="27" t="str">
        <f>VLOOKUP(I122,'Geneva investment position repo'!R:AS,28,0)</f>
        <v>Corporate</v>
      </c>
      <c r="K122" s="44">
        <f>VLOOKUP(I122,'Geneva investment position repo'!R:AB,11,0)</f>
        <v>9602348.5049019605</v>
      </c>
      <c r="L122" s="122">
        <f>VLOOKUP(I122,'Geneva investment position repo'!R:AB,5,0)</f>
        <v>2</v>
      </c>
      <c r="M122" s="27"/>
      <c r="N122" s="27"/>
      <c r="O122" s="27"/>
      <c r="P122" s="27"/>
      <c r="Q122" s="27"/>
      <c r="R122" s="27"/>
      <c r="S122" s="27"/>
    </row>
    <row r="123" spans="1:19">
      <c r="A123" s="27" t="str">
        <f>_xll.BDP(B123&amp;" FIGI", "SECURITY_NAME")</f>
        <v>YUZHOU 7.7 02/20/25</v>
      </c>
      <c r="B123" s="27" t="s">
        <v>1463</v>
      </c>
      <c r="C123" s="27" t="str">
        <f>VLOOKUP(B123,'Geneva investment position repo'!R:AS,28,0)</f>
        <v>Corporate</v>
      </c>
      <c r="D123" s="44">
        <f>VLOOKUP(B123,'Geneva investment position repo'!R:AB,11,0)</f>
        <v>4794568.6726006186</v>
      </c>
      <c r="E123" s="27">
        <f>VLOOKUP(B123,'Geneva investment position repo'!R:AB,5,0)</f>
        <v>0.1</v>
      </c>
      <c r="F123" s="27"/>
      <c r="G123" s="27"/>
      <c r="H123" s="27" t="str">
        <f>_xll.BDP(I123&amp;" FIGI", "SECURITY_NAME")</f>
        <v>ICBCAS 1.77 05/20/20</v>
      </c>
      <c r="I123" s="27" t="s">
        <v>1251</v>
      </c>
      <c r="J123" s="27" t="str">
        <f>VLOOKUP(I123,'Geneva investment position repo'!R:AS,28,0)</f>
        <v>Corporate</v>
      </c>
      <c r="K123" s="44">
        <f>VLOOKUP(I123,'Geneva investment position repo'!R:AB,11,0)</f>
        <v>4998286.1880804952</v>
      </c>
      <c r="L123" s="122">
        <f>VLOOKUP(I123,'Geneva investment position repo'!R:AB,5,0)</f>
        <v>2</v>
      </c>
      <c r="M123" s="27"/>
      <c r="N123" s="27"/>
      <c r="O123" s="27"/>
      <c r="P123" s="27"/>
      <c r="Q123" s="27"/>
      <c r="R123" s="27"/>
      <c r="S123" s="27"/>
    </row>
    <row r="124" spans="1:19">
      <c r="A124" s="27" t="str">
        <f>_xll.BDP(B124&amp;" FIGI", "SECURITY_NAME")</f>
        <v>Meituan Dianping</v>
      </c>
      <c r="B124" s="27" t="s">
        <v>1190</v>
      </c>
      <c r="C124" s="27" t="str">
        <f>VLOOKUP(B124,'Geneva investment position repo'!R:AS,28,0)</f>
        <v>Equity</v>
      </c>
      <c r="D124" s="44">
        <f>VLOOKUP(B124,'Geneva investment position repo'!R:AB,11,0)</f>
        <v>937306.50154798769</v>
      </c>
      <c r="E124" s="27">
        <f>VLOOKUP(B124,'Geneva investment position repo'!R:AB,5,0)</f>
        <v>0.1</v>
      </c>
      <c r="F124" s="27"/>
      <c r="G124" s="27"/>
      <c r="H124" s="27" t="str">
        <f>_xll.BDP(I124&amp;" FIGI", "SECURITY_NAME")</f>
        <v>Guangdong Investment Ltd</v>
      </c>
      <c r="I124" s="27" t="s">
        <v>250</v>
      </c>
      <c r="J124" s="27" t="str">
        <f>VLOOKUP(I124,'Geneva investment position repo'!R:AS,28,0)</f>
        <v>Equity</v>
      </c>
      <c r="K124" s="44">
        <f>VLOOKUP(I124,'Geneva investment position repo'!R:AB,11,0)</f>
        <v>1559597.5232198143</v>
      </c>
      <c r="L124" s="122">
        <f>VLOOKUP(I124,'Geneva investment position repo'!R:AB,5,0)</f>
        <v>2</v>
      </c>
      <c r="M124" s="27"/>
      <c r="N124" s="27"/>
      <c r="O124" s="27"/>
      <c r="P124" s="27"/>
      <c r="Q124" s="27"/>
      <c r="R124" s="27"/>
      <c r="S124" s="27"/>
    </row>
    <row r="125" spans="1:19">
      <c r="A125" s="27" t="str">
        <f>_xll.BDP(B125&amp;" FIGI", "SECURITY_NAME")</f>
        <v>Ping An Insurance Group Co of</v>
      </c>
      <c r="B125" s="27" t="s">
        <v>253</v>
      </c>
      <c r="C125" s="27" t="str">
        <f>VLOOKUP(B125,'Geneva investment position repo'!R:AS,28,0)</f>
        <v>Equity</v>
      </c>
      <c r="D125" s="44">
        <f>VLOOKUP(B125,'Geneva investment position repo'!R:AB,11,0)</f>
        <v>1285152.2187822498</v>
      </c>
      <c r="E125" s="27">
        <f>VLOOKUP(B125,'Geneva investment position repo'!R:AB,5,0)</f>
        <v>0.1</v>
      </c>
      <c r="F125" s="27"/>
      <c r="G125" s="27"/>
      <c r="H125" s="27" t="str">
        <f>_xll.BDP(I125&amp;" FIGI", "SECURITY_NAME")</f>
        <v>PWCNPG 4 1/2 12/06/21</v>
      </c>
      <c r="I125" s="27" t="s">
        <v>184</v>
      </c>
      <c r="J125" s="27" t="str">
        <f>VLOOKUP(I125,'Geneva investment position repo'!R:AS,28,0)</f>
        <v>Corporate</v>
      </c>
      <c r="K125" s="44">
        <f>VLOOKUP(I125,'Geneva investment position repo'!R:AB,11,0)</f>
        <v>4220099.872291022</v>
      </c>
      <c r="L125" s="122">
        <f>VLOOKUP(I125,'Geneva investment position repo'!R:AB,5,0)</f>
        <v>1.9</v>
      </c>
      <c r="M125" s="51"/>
      <c r="N125" s="27"/>
      <c r="O125" s="27"/>
      <c r="P125" s="27"/>
      <c r="Q125" s="27"/>
      <c r="R125" s="27"/>
      <c r="S125" s="27"/>
    </row>
    <row r="126" spans="1:19">
      <c r="A126" s="27"/>
      <c r="B126" s="27"/>
      <c r="C126" s="27"/>
      <c r="D126" s="27"/>
      <c r="E126" s="27"/>
      <c r="F126" s="27"/>
      <c r="G126" s="27"/>
      <c r="H126" s="27"/>
      <c r="I126" s="27"/>
      <c r="J126" s="27"/>
      <c r="K126" s="27"/>
      <c r="L126" s="27"/>
      <c r="M126" s="27"/>
      <c r="N126" s="131"/>
      <c r="O126" s="27"/>
      <c r="P126" s="27"/>
      <c r="Q126" s="27"/>
      <c r="R126" s="27"/>
      <c r="S126" s="27"/>
    </row>
    <row r="127" spans="1:19">
      <c r="A127" s="27"/>
      <c r="B127" s="27"/>
      <c r="C127" s="27"/>
      <c r="D127" s="27"/>
      <c r="E127" s="27"/>
      <c r="F127" s="27"/>
      <c r="G127" s="27"/>
      <c r="H127" s="27"/>
      <c r="I127" s="27"/>
      <c r="J127" s="27"/>
      <c r="K127" s="27"/>
      <c r="L127" s="27"/>
      <c r="M127" s="130"/>
      <c r="N127" s="27"/>
      <c r="O127" s="27"/>
      <c r="P127" s="27"/>
      <c r="Q127" s="27"/>
      <c r="R127" s="27"/>
      <c r="S127" s="27"/>
    </row>
    <row r="128" spans="1:19" ht="18">
      <c r="A128" s="73" t="s">
        <v>485</v>
      </c>
      <c r="B128" s="27"/>
      <c r="C128" s="27"/>
      <c r="D128" s="27"/>
      <c r="E128" s="27"/>
      <c r="F128" s="27"/>
      <c r="G128" s="27"/>
      <c r="H128" s="73" t="s">
        <v>490</v>
      </c>
      <c r="I128" s="27"/>
      <c r="J128" s="27"/>
      <c r="K128" s="27"/>
      <c r="L128" s="27"/>
      <c r="M128" s="27"/>
      <c r="N128" s="27"/>
      <c r="O128" s="27"/>
      <c r="P128" s="27"/>
      <c r="Q128" s="27"/>
      <c r="R128" s="27"/>
      <c r="S128" s="27"/>
    </row>
    <row r="129" spans="1:19">
      <c r="A129" s="74" t="s">
        <v>483</v>
      </c>
      <c r="B129" s="27"/>
      <c r="C129" s="27"/>
      <c r="D129" s="27"/>
      <c r="E129" s="27"/>
      <c r="F129" s="27"/>
      <c r="G129" s="27"/>
      <c r="H129" s="74" t="s">
        <v>489</v>
      </c>
      <c r="I129" s="27"/>
      <c r="J129" s="27"/>
      <c r="K129" s="27"/>
      <c r="L129" s="27"/>
      <c r="M129" s="27"/>
      <c r="N129" s="27"/>
      <c r="O129" s="27"/>
      <c r="P129" s="27"/>
      <c r="Q129" s="27"/>
      <c r="R129" s="27"/>
      <c r="S129" s="27"/>
    </row>
    <row r="130" spans="1:19">
      <c r="A130" s="54" t="s">
        <v>482</v>
      </c>
      <c r="B130" s="56" t="s">
        <v>487</v>
      </c>
      <c r="C130" s="56" t="s">
        <v>464</v>
      </c>
      <c r="D130" s="56" t="s">
        <v>283</v>
      </c>
      <c r="E130" s="55" t="s">
        <v>278</v>
      </c>
      <c r="F130" s="55" t="s">
        <v>287</v>
      </c>
      <c r="G130" s="27"/>
      <c r="H130" s="54" t="s">
        <v>482</v>
      </c>
      <c r="I130" s="56" t="s">
        <v>487</v>
      </c>
      <c r="J130" s="56" t="s">
        <v>464</v>
      </c>
      <c r="K130" s="55" t="s">
        <v>283</v>
      </c>
      <c r="L130" s="55" t="s">
        <v>278</v>
      </c>
      <c r="M130" s="55" t="s">
        <v>287</v>
      </c>
      <c r="N130" s="27"/>
      <c r="O130" s="27"/>
      <c r="P130" s="27"/>
      <c r="Q130" s="27"/>
      <c r="R130" s="27"/>
      <c r="S130" s="27"/>
    </row>
    <row r="131" spans="1:19">
      <c r="A131" s="27"/>
      <c r="B131" s="27"/>
      <c r="C131" s="27"/>
      <c r="D131" s="27"/>
      <c r="E131" s="27"/>
      <c r="F131" s="27"/>
      <c r="G131" s="27"/>
      <c r="H131" s="27"/>
      <c r="I131" s="27"/>
      <c r="J131" s="27"/>
      <c r="K131" s="27"/>
      <c r="L131" s="27"/>
      <c r="M131" s="27"/>
      <c r="N131" s="27"/>
      <c r="O131" s="27"/>
      <c r="P131" s="27"/>
      <c r="Q131" s="27"/>
      <c r="R131" s="27"/>
      <c r="S131" s="27"/>
    </row>
    <row r="132" spans="1:19">
      <c r="A132" s="27" t="str">
        <f>_xll.BDP(B132&amp;" FIGI", "SECURITY_NAME")</f>
        <v>CERCG 5.55 04/14/21</v>
      </c>
      <c r="B132" s="27" t="s">
        <v>219</v>
      </c>
      <c r="C132" s="27" t="str">
        <f>VLOOKUP(B132,'Geneva investment position repo'!R:AS,28,0)</f>
        <v>Corporate</v>
      </c>
      <c r="D132" s="44">
        <f>VLOOKUP(B132,'Geneva investment position repo'!R:AB,11,0)</f>
        <v>1087080.8565531478</v>
      </c>
      <c r="E132" s="35">
        <f>VLOOKUP(B132,'Geneva investment position repo'!R:AB,6,0)</f>
        <v>0.356265</v>
      </c>
      <c r="F132" s="27">
        <v>1</v>
      </c>
      <c r="G132" s="27"/>
      <c r="H132" s="27" t="str">
        <f>_xll.BDP(I132&amp;" FIGI", "SECURITY_NAME")</f>
        <v>ICBCAS 1.77 05/20/20</v>
      </c>
      <c r="I132" s="27" t="s">
        <v>1251</v>
      </c>
      <c r="J132" s="27" t="str">
        <f>VLOOKUP(I132,'Geneva investment position repo'!R:AS,28,0)</f>
        <v>Corporate</v>
      </c>
      <c r="K132" s="44">
        <f>VLOOKUP(I132,'Geneva investment position repo'!R:AB,11,0)</f>
        <v>4998286.1880804952</v>
      </c>
      <c r="L132" s="35">
        <f>VLOOKUP(I132,'Geneva investment position repo'!R:AB,6,0)</f>
        <v>3.2200000000000002E-4</v>
      </c>
      <c r="M132" s="27">
        <v>1</v>
      </c>
      <c r="N132" s="151"/>
      <c r="O132" s="27"/>
      <c r="P132" s="27"/>
      <c r="Q132" s="27"/>
      <c r="R132" s="27"/>
      <c r="S132" s="27"/>
    </row>
    <row r="133" spans="1:19">
      <c r="A133" s="27" t="str">
        <f>_xll.BDP(B133&amp;" FIGI", "SECURITY_NAME")</f>
        <v>PEMEX 5.95 01/28/31</v>
      </c>
      <c r="B133" s="27" t="s">
        <v>2002</v>
      </c>
      <c r="C133" s="27" t="str">
        <f>VLOOKUP(B133,'Geneva investment position repo'!R:AS,28,0)</f>
        <v>Corporate</v>
      </c>
      <c r="D133" s="44">
        <f>VLOOKUP(B133,'Geneva investment position repo'!R:AB,11,0)</f>
        <v>1419901.3351393191</v>
      </c>
      <c r="E133" s="35">
        <f>VLOOKUP(B133,'Geneva investment position repo'!R:AB,6,0)</f>
        <v>5.5919000000000003E-2</v>
      </c>
      <c r="F133" s="27">
        <v>1</v>
      </c>
      <c r="G133" s="27"/>
      <c r="H133" s="27" t="str">
        <f>_xll.BDP(I133&amp;" FIGI", "SECURITY_NAME")</f>
        <v>STESP 1 1/2 04/29/25</v>
      </c>
      <c r="I133" s="27" t="s">
        <v>2012</v>
      </c>
      <c r="J133" s="27" t="str">
        <f>VLOOKUP(I133,'Geneva investment position repo'!R:AS,28,0)</f>
        <v>Corporate</v>
      </c>
      <c r="K133" s="44">
        <f>VLOOKUP(I133,'Geneva investment position repo'!R:AB,11,0)</f>
        <v>83.313983488132095</v>
      </c>
      <c r="L133" s="35">
        <f>VLOOKUP(I133,'Geneva investment position repo'!R:AB,6,0)</f>
        <v>1.696E-3</v>
      </c>
      <c r="M133" s="27">
        <v>1</v>
      </c>
      <c r="N133" s="151"/>
      <c r="O133" s="27"/>
      <c r="P133" s="27"/>
      <c r="Q133" s="27"/>
      <c r="R133" s="27"/>
      <c r="S133" s="27"/>
    </row>
    <row r="134" spans="1:19">
      <c r="A134" s="27" t="str">
        <f>_xll.BDP(B134&amp;" FIGI", "SECURITY_NAME")</f>
        <v>SIB 5 PERP</v>
      </c>
      <c r="B134" s="27" t="s">
        <v>912</v>
      </c>
      <c r="C134" s="27" t="str">
        <f>VLOOKUP(B134,'Geneva investment position repo'!R:AS,28,0)</f>
        <v>Corporate</v>
      </c>
      <c r="D134" s="44">
        <f>VLOOKUP(B134,'Geneva investment position repo'!R:AB,11,0)</f>
        <v>3024554.206656347</v>
      </c>
      <c r="E134" s="35">
        <f>VLOOKUP(B134,'Geneva investment position repo'!R:AB,6,0)</f>
        <v>5.5523999999999997E-2</v>
      </c>
      <c r="F134" s="27">
        <v>1</v>
      </c>
      <c r="G134" s="27"/>
      <c r="H134" s="27" t="str">
        <f>_xll.BDP(I134&amp;" FIGI", "SECURITY_NAME")</f>
        <v>CMHI 4 3/8 08/06/23</v>
      </c>
      <c r="I134" s="27" t="s">
        <v>205</v>
      </c>
      <c r="J134" s="27" t="str">
        <f>VLOOKUP(I134,'Geneva investment position repo'!R:AS,28,0)</f>
        <v>Corporate</v>
      </c>
      <c r="K134" s="44">
        <f>VLOOKUP(I134,'Geneva investment position repo'!R:AB,11,0)</f>
        <v>2715065.2528379774</v>
      </c>
      <c r="L134" s="35">
        <f>VLOOKUP(I134,'Geneva investment position repo'!R:AB,6,0)</f>
        <v>1.7149999999999999E-3</v>
      </c>
      <c r="M134" s="27">
        <v>1</v>
      </c>
      <c r="N134" s="151"/>
      <c r="O134" s="27"/>
      <c r="P134" s="27"/>
      <c r="Q134" s="27"/>
      <c r="R134" s="27"/>
      <c r="S134" s="27"/>
    </row>
    <row r="135" spans="1:19">
      <c r="A135" s="27" t="str">
        <f>_xll.BDP(B135&amp;" FIGI", "SECURITY_NAME")</f>
        <v>MEDCIJ 6 3/4 01/30/25</v>
      </c>
      <c r="B135" s="27" t="s">
        <v>1434</v>
      </c>
      <c r="C135" s="27" t="str">
        <f>VLOOKUP(B135,'Geneva investment position repo'!R:AS,28,0)</f>
        <v>Corporate</v>
      </c>
      <c r="D135" s="44">
        <f>VLOOKUP(B135,'Geneva investment position repo'!R:AB,11,0)</f>
        <v>2063120.8372033024</v>
      </c>
      <c r="E135" s="35">
        <f>VLOOKUP(B135,'Geneva investment position repo'!R:AB,6,0)</f>
        <v>5.4140000000000001E-2</v>
      </c>
      <c r="F135" s="27">
        <v>1</v>
      </c>
      <c r="G135" s="27"/>
      <c r="H135" s="27" t="str">
        <f>_xll.BDP(I135&amp;" FIGI", "SECURITY_NAME")</f>
        <v>COGO 4 7/8 06/01/21</v>
      </c>
      <c r="I135" s="27" t="s">
        <v>209</v>
      </c>
      <c r="J135" s="27" t="str">
        <f>VLOOKUP(I135,'Geneva investment position repo'!R:AS,28,0)</f>
        <v>Corporate</v>
      </c>
      <c r="K135" s="44">
        <f>VLOOKUP(I135,'Geneva investment position repo'!R:AB,11,0)</f>
        <v>7437631.8859649133</v>
      </c>
      <c r="L135" s="35">
        <f>VLOOKUP(I135,'Geneva investment position repo'!R:AB,6,0)</f>
        <v>2.4849999999999998E-3</v>
      </c>
      <c r="M135" s="27">
        <v>1</v>
      </c>
      <c r="N135" s="151"/>
      <c r="O135" s="27"/>
      <c r="P135" s="27"/>
      <c r="Q135" s="27"/>
      <c r="R135" s="27"/>
      <c r="S135" s="27"/>
    </row>
    <row r="136" spans="1:19">
      <c r="A136" s="27" t="str">
        <f>_xll.BDP(B136&amp;" FIGI", "SECURITY_NAME")</f>
        <v>LPKRIJ 8 1/8 01/22/25</v>
      </c>
      <c r="B136" s="27" t="s">
        <v>1183</v>
      </c>
      <c r="C136" s="27" t="str">
        <f>VLOOKUP(B136,'Geneva investment position repo'!R:AS,28,0)</f>
        <v>Corporate</v>
      </c>
      <c r="D136" s="44">
        <f>VLOOKUP(B136,'Geneva investment position repo'!R:AB,11,0)</f>
        <v>1203617.5412796699</v>
      </c>
      <c r="E136" s="35">
        <f>VLOOKUP(B136,'Geneva investment position repo'!R:AB,6,0)</f>
        <v>4.2731999999999999E-2</v>
      </c>
      <c r="F136" s="27">
        <v>1</v>
      </c>
      <c r="G136" s="27"/>
      <c r="H136" s="27" t="str">
        <f>_xll.BDP(I136&amp;" FIGI", "SECURITY_NAME")</f>
        <v>MAYMK 3.905 10/29/26</v>
      </c>
      <c r="I136" s="27" t="s">
        <v>1998</v>
      </c>
      <c r="J136" s="27" t="str">
        <f>VLOOKUP(I136,'Geneva investment position repo'!R:AS,28,0)</f>
        <v>Corporate</v>
      </c>
      <c r="K136" s="44">
        <f>VLOOKUP(I136,'Geneva investment position repo'!R:AB,11,0)</f>
        <v>1302867.4200206399</v>
      </c>
      <c r="L136" s="35">
        <f>VLOOKUP(I136,'Geneva investment position repo'!R:AB,6,0)</f>
        <v>2.6559999999999999E-3</v>
      </c>
      <c r="M136" s="27">
        <v>1</v>
      </c>
      <c r="N136" s="151"/>
      <c r="O136" s="27"/>
      <c r="P136" s="27"/>
      <c r="Q136" s="27"/>
      <c r="R136" s="27"/>
      <c r="S136" s="27"/>
    </row>
    <row r="137" spans="1:19">
      <c r="A137" s="27" t="str">
        <f>_xll.BDP(B137&amp;" FIGI", "SECURITY_NAME")</f>
        <v>BYANIJ 6 1/8 01/24/23</v>
      </c>
      <c r="B137" s="27" t="s">
        <v>1176</v>
      </c>
      <c r="C137" s="27" t="str">
        <f>VLOOKUP(B137,'Geneva investment position repo'!R:AS,28,0)</f>
        <v>Corporate</v>
      </c>
      <c r="D137" s="44">
        <f>VLOOKUP(B137,'Geneva investment position repo'!R:AB,11,0)</f>
        <v>2391174.6555727553</v>
      </c>
      <c r="E137" s="35">
        <f>VLOOKUP(B137,'Geneva investment position repo'!R:AB,6,0)</f>
        <v>4.2373000000000001E-2</v>
      </c>
      <c r="F137" s="27">
        <v>1</v>
      </c>
      <c r="G137" s="27"/>
      <c r="H137" s="27" t="str">
        <f>_xll.BDP(I137&amp;" FIGI", "SECURITY_NAME")</f>
        <v>COGARD 7 1/4 04/04/21</v>
      </c>
      <c r="I137" s="27" t="s">
        <v>1415</v>
      </c>
      <c r="J137" s="27" t="str">
        <f>VLOOKUP(I137,'Geneva investment position repo'!R:AS,28,0)</f>
        <v>Corporate</v>
      </c>
      <c r="K137" s="44">
        <f>VLOOKUP(I137,'Geneva investment position repo'!R:AB,11,0)</f>
        <v>2990593.9563983493</v>
      </c>
      <c r="L137" s="35">
        <f>VLOOKUP(I137,'Geneva investment position repo'!R:AB,6,0)</f>
        <v>2.7039999999999998E-3</v>
      </c>
      <c r="M137" s="27">
        <v>1</v>
      </c>
      <c r="N137" s="151"/>
      <c r="O137" s="27"/>
      <c r="P137" s="27"/>
      <c r="Q137" s="27"/>
      <c r="R137" s="27"/>
      <c r="S137" s="27"/>
    </row>
    <row r="138" spans="1:19">
      <c r="A138" s="27" t="str">
        <f>_xll.BDP(B138&amp;" FIGI", "SECURITY_NAME")</f>
        <v>ANTA Sports Products Ltd</v>
      </c>
      <c r="B138" s="27" t="s">
        <v>2019</v>
      </c>
      <c r="C138" s="27" t="str">
        <f>VLOOKUP(B138,'Geneva investment position repo'!R:AS,28,0)</f>
        <v>Equity</v>
      </c>
      <c r="D138" s="44">
        <f>VLOOKUP(B138,'Geneva investment position repo'!R:AB,11,0)</f>
        <v>422149.12280701753</v>
      </c>
      <c r="E138" s="35">
        <f>VLOOKUP(B138,'Geneva investment position repo'!R:AB,6,0)</f>
        <v>3.9952000000000001E-2</v>
      </c>
      <c r="F138" s="27">
        <v>1</v>
      </c>
      <c r="G138" s="27"/>
      <c r="H138" s="27" t="str">
        <f>_xll.BDP(I138&amp;" FIGI", "SECURITY_NAME")</f>
        <v>GRWALL 4 3/8 05/25/23</v>
      </c>
      <c r="I138" s="27" t="s">
        <v>211</v>
      </c>
      <c r="J138" s="27" t="str">
        <f>VLOOKUP(I138,'Geneva investment position repo'!R:AS,28,0)</f>
        <v>Corporate</v>
      </c>
      <c r="K138" s="44">
        <f>VLOOKUP(I138,'Geneva investment position repo'!R:AB,11,0)</f>
        <v>8645806.4370485041</v>
      </c>
      <c r="L138" s="35">
        <f>VLOOKUP(I138,'Geneva investment position repo'!R:AB,6,0)</f>
        <v>2.8449999999999999E-3</v>
      </c>
      <c r="M138" s="27">
        <v>1</v>
      </c>
      <c r="N138" s="151"/>
      <c r="O138" s="27"/>
      <c r="P138" s="27"/>
      <c r="Q138" s="27"/>
      <c r="R138" s="27"/>
      <c r="S138" s="27"/>
    </row>
    <row r="139" spans="1:19">
      <c r="A139" s="27" t="str">
        <f>_xll.BDP(B139&amp;" FIGI", "SECURITY_NAME")</f>
        <v>CHOHIN 5.7 PERP</v>
      </c>
      <c r="B139" s="27" t="s">
        <v>941</v>
      </c>
      <c r="C139" s="27" t="str">
        <f>VLOOKUP(B139,'Geneva investment position repo'!R:AS,28,0)</f>
        <v>Corporate</v>
      </c>
      <c r="D139" s="44">
        <f>VLOOKUP(B139,'Geneva investment position repo'!R:AB,11,0)</f>
        <v>5606567.8624871001</v>
      </c>
      <c r="E139" s="35">
        <f>VLOOKUP(B139,'Geneva investment position repo'!R:AB,6,0)</f>
        <v>3.9120000000000002E-2</v>
      </c>
      <c r="F139" s="27">
        <v>1</v>
      </c>
      <c r="G139" s="27"/>
      <c r="H139" s="27" t="str">
        <f>_xll.BDP(I139&amp;" FIGI", "SECURITY_NAME")</f>
        <v>PWRLNG 5.95 07/19/20</v>
      </c>
      <c r="I139" s="27" t="s">
        <v>1445</v>
      </c>
      <c r="J139" s="27" t="str">
        <f>VLOOKUP(I139,'Geneva investment position repo'!R:AS,28,0)</f>
        <v>Corporate</v>
      </c>
      <c r="K139" s="44">
        <f>VLOOKUP(I139,'Geneva investment position repo'!R:AB,11,0)</f>
        <v>1524805.4437564497</v>
      </c>
      <c r="L139" s="35">
        <f>VLOOKUP(I139,'Geneva investment position repo'!R:AB,6,0)</f>
        <v>3.4280000000000001E-3</v>
      </c>
      <c r="M139" s="27">
        <v>1</v>
      </c>
      <c r="N139" s="151"/>
      <c r="O139" s="27"/>
      <c r="P139" s="27"/>
      <c r="Q139" s="27"/>
      <c r="R139" s="27"/>
      <c r="S139" s="27"/>
    </row>
    <row r="140" spans="1:19">
      <c r="A140" s="27" t="str">
        <f>_xll.BDP(B140&amp;" FIGI", "SECURITY_NAME")</f>
        <v>LPKRIJ 6 3/4 10/31/26</v>
      </c>
      <c r="B140" t="s">
        <v>1431</v>
      </c>
      <c r="C140" s="27" t="str">
        <f>VLOOKUP(B140,'Geneva investment position repo'!R:AS,28,0)</f>
        <v>Corporate</v>
      </c>
      <c r="D140" s="44">
        <f>VLOOKUP(B140,'Geneva investment position repo'!R:AB,11,0)</f>
        <v>1307846.2512899898</v>
      </c>
      <c r="E140" s="35">
        <f>VLOOKUP(B140,'Geneva investment position repo'!R:AB,6,0)</f>
        <v>3.5632999999999998E-2</v>
      </c>
      <c r="F140" s="27">
        <v>1</v>
      </c>
      <c r="G140" s="27"/>
      <c r="H140" s="27" t="str">
        <f>_xll.BDP(I140&amp;" FIGI", "SECURITY_NAME")</f>
        <v>SUNAC 8 5/8 07/27/20</v>
      </c>
      <c r="I140" s="27" t="s">
        <v>202</v>
      </c>
      <c r="J140" s="27" t="str">
        <f>VLOOKUP(I140,'Geneva investment position repo'!R:AS,28,0)</f>
        <v>Corporate</v>
      </c>
      <c r="K140" s="44">
        <f>VLOOKUP(I140,'Geneva investment position repo'!R:AB,11,0)</f>
        <v>2054625.305727554</v>
      </c>
      <c r="L140" s="35">
        <f>VLOOKUP(I140,'Geneva investment position repo'!R:AB,6,0)</f>
        <v>3.7299999999999998E-3</v>
      </c>
      <c r="M140" s="27">
        <v>1</v>
      </c>
      <c r="N140" s="151"/>
      <c r="O140" s="27"/>
      <c r="P140" s="27"/>
      <c r="Q140" s="27"/>
      <c r="R140" s="27"/>
      <c r="S140" s="27"/>
    </row>
    <row r="141" spans="1:19">
      <c r="A141" s="27" t="str">
        <f>_xll.BDP(B141&amp;" FIGI", "SECURITY_NAME")</f>
        <v>MDLNIJ 6.95 04/13/24</v>
      </c>
      <c r="B141" s="27" t="s">
        <v>1136</v>
      </c>
      <c r="C141" s="27" t="str">
        <f>VLOOKUP(B141,'Geneva investment position repo'!R:AS,28,0)</f>
        <v>Corporate</v>
      </c>
      <c r="D141" s="44">
        <f>VLOOKUP(B141,'Geneva investment position repo'!R:AB,11,0)</f>
        <v>3028408.6932404544</v>
      </c>
      <c r="E141" s="35">
        <f>VLOOKUP(B141,'Geneva investment position repo'!R:AB,6,0)</f>
        <v>3.0758000000000001E-2</v>
      </c>
      <c r="F141" s="27">
        <v>1</v>
      </c>
      <c r="G141" s="27"/>
      <c r="H141" s="27" t="str">
        <f>_xll.BDP(I141&amp;" FIGI", "SECURITY_NAME")</f>
        <v>CIFIHG 7 5/8 03/02/21</v>
      </c>
      <c r="I141" s="27" t="s">
        <v>182</v>
      </c>
      <c r="J141" s="27" t="str">
        <f>VLOOKUP(I141,'Geneva investment position repo'!R:AS,28,0)</f>
        <v>Corporate</v>
      </c>
      <c r="K141" s="44">
        <f>VLOOKUP(I141,'Geneva investment position repo'!R:AB,11,0)</f>
        <v>5127432.7438080497</v>
      </c>
      <c r="L141" s="35">
        <f>VLOOKUP(I141,'Geneva investment position repo'!R:AB,6,0)</f>
        <v>3.8909999999999999E-3</v>
      </c>
      <c r="M141" s="27">
        <v>1</v>
      </c>
      <c r="N141" s="151"/>
      <c r="O141" s="27"/>
      <c r="P141" s="27"/>
      <c r="Q141" s="27"/>
      <c r="R141" s="27"/>
      <c r="S141" s="27"/>
    </row>
    <row r="142" spans="1:19">
      <c r="A142" s="27"/>
      <c r="B142" s="27"/>
      <c r="C142" s="27"/>
      <c r="D142" s="27"/>
      <c r="E142" s="27"/>
      <c r="F142" s="27"/>
      <c r="G142" s="27"/>
      <c r="H142" s="27"/>
      <c r="I142" s="27"/>
      <c r="J142" s="27"/>
      <c r="K142" s="27"/>
      <c r="L142" s="27"/>
      <c r="M142" s="27"/>
      <c r="N142" s="27"/>
      <c r="O142" s="27"/>
      <c r="P142" s="27"/>
      <c r="Q142" s="27"/>
      <c r="R142" s="27"/>
      <c r="S142" s="27"/>
    </row>
    <row r="143" spans="1:19">
      <c r="A143" s="27"/>
      <c r="B143" s="27"/>
      <c r="C143" s="27"/>
      <c r="D143" s="27"/>
      <c r="E143" s="27"/>
      <c r="F143" s="27"/>
      <c r="G143" s="27"/>
      <c r="H143" s="27"/>
      <c r="I143" s="27"/>
      <c r="J143" s="27"/>
      <c r="K143" s="27"/>
      <c r="L143" s="27"/>
      <c r="M143" s="27"/>
      <c r="N143" s="27"/>
      <c r="O143" s="27"/>
      <c r="P143" s="27"/>
      <c r="Q143" s="27"/>
      <c r="R143" s="27"/>
      <c r="S143" s="27"/>
    </row>
    <row r="144" spans="1:19" ht="21">
      <c r="A144" s="169" t="s">
        <v>920</v>
      </c>
      <c r="B144" s="27"/>
      <c r="C144" s="27"/>
      <c r="D144" s="27"/>
      <c r="E144" s="27"/>
      <c r="F144" s="27"/>
      <c r="G144" s="27"/>
      <c r="H144" s="27"/>
      <c r="I144" s="27"/>
      <c r="J144" s="27"/>
      <c r="K144" s="27"/>
      <c r="L144" s="27"/>
      <c r="M144" s="27"/>
      <c r="N144" s="27"/>
      <c r="O144" s="27"/>
      <c r="P144" s="27"/>
      <c r="Q144" s="27"/>
      <c r="R144" s="27"/>
      <c r="S144" s="27"/>
    </row>
    <row r="145" spans="1:19" ht="18">
      <c r="A145" s="73" t="s">
        <v>401</v>
      </c>
      <c r="B145" s="27"/>
      <c r="C145" s="27"/>
      <c r="D145" s="27"/>
      <c r="E145" s="27"/>
      <c r="F145" s="27"/>
      <c r="G145" s="27"/>
      <c r="H145" s="27"/>
      <c r="I145" s="27"/>
      <c r="J145" s="27"/>
      <c r="K145" s="27"/>
      <c r="L145" s="27"/>
      <c r="M145" s="27"/>
      <c r="N145" s="27"/>
      <c r="O145" s="27"/>
      <c r="P145" s="27"/>
      <c r="Q145" s="27"/>
      <c r="R145" s="27"/>
      <c r="S145" s="27"/>
    </row>
    <row r="146" spans="1:19">
      <c r="A146" s="74" t="s">
        <v>283</v>
      </c>
      <c r="B146" s="27"/>
      <c r="C146" s="27"/>
      <c r="D146" s="27"/>
      <c r="E146" s="27"/>
      <c r="F146" s="27"/>
      <c r="G146" s="27"/>
      <c r="H146" s="27"/>
      <c r="I146" s="27"/>
      <c r="J146" s="27"/>
      <c r="K146" s="27"/>
      <c r="L146" s="27"/>
      <c r="M146" s="27"/>
      <c r="N146" s="27"/>
      <c r="O146" s="27"/>
      <c r="P146" s="27"/>
      <c r="Q146" s="27"/>
      <c r="R146" s="27"/>
      <c r="S146" s="27"/>
    </row>
    <row r="147" spans="1:19">
      <c r="A147" s="54" t="s">
        <v>280</v>
      </c>
      <c r="B147" s="56" t="s">
        <v>287</v>
      </c>
      <c r="C147" s="55" t="s">
        <v>235</v>
      </c>
      <c r="D147" s="55" t="s">
        <v>404</v>
      </c>
      <c r="E147" s="55" t="s">
        <v>456</v>
      </c>
      <c r="F147" s="55" t="s">
        <v>285</v>
      </c>
      <c r="G147" s="27"/>
      <c r="H147" s="27"/>
      <c r="I147" s="27"/>
      <c r="J147" s="27"/>
      <c r="K147" s="27"/>
      <c r="L147" s="27"/>
      <c r="M147" s="27"/>
      <c r="N147" s="27"/>
      <c r="O147" s="27"/>
      <c r="P147" s="27"/>
      <c r="Q147" s="27"/>
      <c r="R147" s="27"/>
      <c r="S147" s="27"/>
    </row>
    <row r="148" spans="1:19">
      <c r="A148" s="27"/>
      <c r="B148" s="27"/>
      <c r="C148" s="27"/>
      <c r="D148" s="27"/>
      <c r="E148" s="27"/>
      <c r="F148" s="27"/>
      <c r="G148" s="27"/>
      <c r="H148" s="27"/>
      <c r="I148" s="27"/>
      <c r="J148" s="27"/>
      <c r="K148" s="27"/>
      <c r="L148" s="27"/>
      <c r="M148" s="27"/>
      <c r="N148" s="27"/>
      <c r="O148" s="27"/>
      <c r="P148" s="27"/>
      <c r="Q148" s="27"/>
      <c r="R148" s="27"/>
      <c r="S148" s="27"/>
    </row>
    <row r="149" spans="1:19">
      <c r="A149" s="27" t="s">
        <v>272</v>
      </c>
      <c r="B149" s="27" t="s">
        <v>431</v>
      </c>
      <c r="C149" s="44">
        <f>SUMIFS('Geneva investment position repo'!$AB:$AB,'Geneva investment position repo'!$AS:$AS,'SFC Report'!$C$147,'Geneva investment position repo'!$AX:$AX,'SFC Report'!$A149)</f>
        <v>27500861.831785344</v>
      </c>
      <c r="D149" s="44">
        <f>SUMIFS('Geneva investment position repo'!$AB:$AB,'Geneva investment position repo'!$AS:$AS,"Corporate",'Geneva investment position repo'!$AX:$AX,'SFC Report'!$A149)+SUMIFS('Geneva investment position repo'!$AB:$AB,'Geneva investment position repo'!$AS:$AS,"Government",'Geneva investment position repo'!$AX:$AX,'SFC Report'!$A149)</f>
        <v>432716853.64035064</v>
      </c>
      <c r="E149" s="44">
        <f>SUMIFS('Geneva investment position repo'!$AB:$AB,'Geneva investment position repo'!$AS:$AS,"Cash",'Geneva investment position repo'!$AX:$AX,'SFC Report'!$A149)+SUMIFS('Geneva investment position repo'!$AB:$AB,'Geneva investment position repo'!$AS:$AS,"Cash Adjustments",'Geneva investment position repo'!$AX:$AX,'SFC Report'!$A149)+SUMIFS('Geneva investment position repo'!$AB:$AB,'Geneva investment position repo'!$AS:$AS,"Derivatives",'Geneva investment position repo'!$AX:$AX,'SFC Report'!$A149)+SUMIFS('Geneva investment position repo'!$AB:$AB,'Geneva investment position repo'!$AS:$AS,"Cash Equivalents",'Geneva investment position repo'!$AX:$AX,'SFC Report'!$A149)</f>
        <v>9073380.3482972179</v>
      </c>
      <c r="F149" s="44">
        <f>SUM(C149:E149)</f>
        <v>469291095.8204332</v>
      </c>
      <c r="G149" s="27"/>
      <c r="H149" s="27"/>
      <c r="I149" s="27"/>
      <c r="J149" s="27"/>
      <c r="K149" s="27"/>
      <c r="L149" s="27"/>
      <c r="M149" s="27"/>
      <c r="N149" s="27"/>
      <c r="O149" s="27"/>
      <c r="P149" s="27"/>
      <c r="Q149" s="27"/>
      <c r="R149" s="27"/>
      <c r="S149" s="27"/>
    </row>
    <row r="150" spans="1:19">
      <c r="A150" s="27" t="s">
        <v>273</v>
      </c>
      <c r="B150" s="27" t="s">
        <v>402</v>
      </c>
      <c r="C150" s="44">
        <f>SUMIFS('Geneva investment position repo'!$AB:$AB,'Geneva investment position repo'!$AS:$AS,'SFC Report'!$C$147,'Geneva investment position repo'!$AX:$AX,'SFC Report'!$A150)</f>
        <v>4938763.5448916405</v>
      </c>
      <c r="D150" s="44">
        <f>SUMIFS('Geneva investment position repo'!$AB:$AB,'Geneva investment position repo'!$AS:$AS,"Corporate",'Geneva investment position repo'!$AX:$AX,'SFC Report'!$A150)+SUMIFS('Geneva investment position repo'!$AB:$AB,'Geneva investment position repo'!$AS:$AS,"Government",'Geneva investment position repo'!$AX:$AX,'SFC Report'!$A150)</f>
        <v>77961410.753353998</v>
      </c>
      <c r="E150" s="44">
        <f>SUMIFS('Geneva investment position repo'!$AB:$AB,'Geneva investment position repo'!$AS:$AS,"Cash",'Geneva investment position repo'!$AX:$AX,'SFC Report'!$A150)+SUMIFS('Geneva investment position repo'!$AB:$AB,'Geneva investment position repo'!$AS:$AS,"Cash Adjustments",'Geneva investment position repo'!$AX:$AX,'SFC Report'!$A150)+SUMIFS('Geneva investment position repo'!$AB:$AB,'Geneva investment position repo'!$AS:$AS,"Derivatives",'Geneva investment position repo'!$AX:$AX,'SFC Report'!$A150)+SUMIFS('Geneva investment position repo'!$AB:$AB,'Geneva investment position repo'!$AS:$AS,"Cash Equivalents",'Geneva investment position repo'!$AX:$AX,'SFC Report'!$A150)</f>
        <v>0</v>
      </c>
      <c r="F150" s="44">
        <f t="shared" ref="F150:F152" si="20">SUM(C150:E150)</f>
        <v>82900174.298245639</v>
      </c>
      <c r="G150" s="27"/>
      <c r="H150" s="27"/>
      <c r="I150" s="27"/>
      <c r="J150" s="27"/>
      <c r="K150" s="27"/>
      <c r="L150" s="27"/>
      <c r="M150" s="27"/>
      <c r="N150" s="27"/>
      <c r="O150" s="27"/>
      <c r="P150" s="27"/>
      <c r="Q150" s="27"/>
      <c r="R150" s="27"/>
      <c r="S150" s="27"/>
    </row>
    <row r="151" spans="1:19">
      <c r="A151" s="27" t="s">
        <v>274</v>
      </c>
      <c r="B151" s="27" t="s">
        <v>403</v>
      </c>
      <c r="C151" s="44">
        <f>SUMIFS('Geneva investment position repo'!$AB:$AB,'Geneva investment position repo'!$AS:$AS,'SFC Report'!$C$147,'Geneva investment position repo'!$AX:$AX,'SFC Report'!$A151)</f>
        <v>0</v>
      </c>
      <c r="D151" s="44">
        <f>SUMIFS('Geneva investment position repo'!$AB:$AB,'Geneva investment position repo'!$AS:$AS,"Corporate",'Geneva investment position repo'!$AX:$AX,'SFC Report'!$A151)+SUMIFS('Geneva investment position repo'!$AB:$AB,'Geneva investment position repo'!$AS:$AS,"Government",'Geneva investment position repo'!$AX:$AX,'SFC Report'!$A151)</f>
        <v>7613717.1142930854</v>
      </c>
      <c r="E151" s="44">
        <f>SUMIFS('Geneva investment position repo'!$AB:$AB,'Geneva investment position repo'!$AS:$AS,"Cash",'Geneva investment position repo'!$AX:$AX,'SFC Report'!$A151)+SUMIFS('Geneva investment position repo'!$AB:$AB,'Geneva investment position repo'!$AS:$AS,"Cash Adjustments",'Geneva investment position repo'!$AX:$AX,'SFC Report'!$A151)+SUMIFS('Geneva investment position repo'!$AB:$AB,'Geneva investment position repo'!$AS:$AS,"Derivatives",'Geneva investment position repo'!$AX:$AX,'SFC Report'!$A151)+SUMIFS('Geneva investment position repo'!$AB:$AB,'Geneva investment position repo'!$AS:$AS,"Cash Equivalents",'Geneva investment position repo'!$AX:$AX,'SFC Report'!$A151)</f>
        <v>0</v>
      </c>
      <c r="F151" s="44">
        <f t="shared" si="20"/>
        <v>7613717.1142930854</v>
      </c>
      <c r="G151" s="27"/>
      <c r="H151" s="27"/>
      <c r="I151" s="27"/>
      <c r="J151" s="27"/>
      <c r="K151" s="27"/>
      <c r="L151" s="27"/>
      <c r="M151" s="27"/>
      <c r="N151" s="27"/>
      <c r="O151" s="27"/>
      <c r="P151" s="27"/>
      <c r="Q151" s="27"/>
      <c r="R151" s="27"/>
      <c r="S151" s="27"/>
    </row>
    <row r="152" spans="1:19">
      <c r="A152" s="27" t="s">
        <v>275</v>
      </c>
      <c r="B152" s="27" t="s">
        <v>432</v>
      </c>
      <c r="C152" s="44">
        <f>SUMIFS('Geneva investment position repo'!$AB:$AB,'Geneva investment position repo'!$AS:$AS,'SFC Report'!$C$147,'Geneva investment position repo'!$AX:$AX,'SFC Report'!$A152)</f>
        <v>1086171.310629515</v>
      </c>
      <c r="D152" s="44">
        <f>SUMIFS('Geneva investment position repo'!$AB:$AB,'Geneva investment position repo'!$AS:$AS,"Corporate",'Geneva investment position repo'!$AX:$AX,'SFC Report'!$A152)+SUMIFS('Geneva investment position repo'!$AB:$AB,'Geneva investment position repo'!$AS:$AS,"Government",'Geneva investment position repo'!$AX:$AX,'SFC Report'!$A152)</f>
        <v>32138414.425954591</v>
      </c>
      <c r="E152" s="44">
        <f>SUMIFS('Geneva investment position repo'!$AB:$AB,'Geneva investment position repo'!$AS:$AS,"Cash",'Geneva investment position repo'!$AX:$AX,'SFC Report'!$A152)+SUMIFS('Geneva investment position repo'!$AB:$AB,'Geneva investment position repo'!$AS:$AS,"Cash Adjustments",'Geneva investment position repo'!$AX:$AX,'SFC Report'!$A152)+SUMIFS('Geneva investment position repo'!$AB:$AB,'Geneva investment position repo'!$AS:$AS,"Derivatives",'Geneva investment position repo'!$AX:$AX,'SFC Report'!$A152)+SUMIFS('Geneva investment position repo'!$AB:$AB,'Geneva investment position repo'!$AS:$AS,"Cash Equivalents",'Geneva investment position repo'!$AX:$AX,'SFC Report'!$A152)</f>
        <v>0</v>
      </c>
      <c r="F152" s="44">
        <f t="shared" si="20"/>
        <v>33224585.736584105</v>
      </c>
      <c r="G152" s="27"/>
      <c r="H152" s="27"/>
      <c r="I152" s="27"/>
      <c r="J152" s="27"/>
      <c r="K152" s="27"/>
      <c r="L152" s="27"/>
      <c r="M152" s="27"/>
      <c r="N152" s="27"/>
      <c r="O152" s="27"/>
      <c r="P152" s="27"/>
      <c r="Q152" s="27"/>
      <c r="R152" s="27"/>
      <c r="S152" s="27"/>
    </row>
    <row r="153" spans="1:19">
      <c r="A153" s="27"/>
      <c r="B153" s="27"/>
      <c r="C153" s="27"/>
      <c r="D153" s="27"/>
      <c r="E153" s="27"/>
      <c r="F153" s="27"/>
      <c r="G153" s="27"/>
      <c r="H153" s="27"/>
      <c r="I153" s="27"/>
      <c r="J153" s="27"/>
      <c r="K153" s="27"/>
      <c r="L153" s="27"/>
      <c r="M153" s="27"/>
      <c r="N153" s="27"/>
      <c r="O153" s="27"/>
      <c r="P153" s="27"/>
      <c r="Q153" s="27"/>
      <c r="R153" s="27"/>
      <c r="S153" s="27"/>
    </row>
    <row r="154" spans="1:19">
      <c r="A154" s="27" t="s">
        <v>285</v>
      </c>
      <c r="B154" s="27"/>
      <c r="C154" s="44">
        <f>SUM(C149:C152)</f>
        <v>33525796.687306501</v>
      </c>
      <c r="D154" s="44">
        <f>SUM(D149:D152)</f>
        <v>550430395.93395233</v>
      </c>
      <c r="E154" s="44">
        <f>SUM(E149:E152)</f>
        <v>9073380.3482972179</v>
      </c>
      <c r="F154" s="165">
        <f>SUM(F149:F152)</f>
        <v>593029572.96955597</v>
      </c>
      <c r="G154" s="27"/>
      <c r="H154" s="27"/>
      <c r="I154" s="27"/>
      <c r="J154" s="27"/>
      <c r="K154" s="27"/>
      <c r="L154" s="27"/>
      <c r="M154" s="27"/>
      <c r="N154" s="27"/>
      <c r="O154" s="27"/>
      <c r="P154" s="27"/>
      <c r="Q154" s="27"/>
      <c r="R154" s="27"/>
      <c r="S154" s="27"/>
    </row>
    <row r="155" spans="1:19" hidden="1" outlineLevel="1">
      <c r="A155" s="27"/>
      <c r="B155" s="27" t="s">
        <v>481</v>
      </c>
      <c r="C155" s="178">
        <f>C154-C19</f>
        <v>0</v>
      </c>
      <c r="D155" s="178">
        <f>D154-C21-C22</f>
        <v>0</v>
      </c>
      <c r="E155" s="178">
        <f>E154-C24-C23</f>
        <v>0</v>
      </c>
      <c r="F155" s="178">
        <f>F154-C29</f>
        <v>0</v>
      </c>
      <c r="G155" s="27"/>
      <c r="H155" s="27"/>
      <c r="I155" s="27"/>
      <c r="J155" s="27"/>
      <c r="K155" s="27"/>
      <c r="L155" s="27"/>
      <c r="M155" s="27"/>
      <c r="N155" s="27"/>
      <c r="O155" s="27"/>
      <c r="P155" s="27"/>
      <c r="Q155" s="27"/>
      <c r="R155" s="27"/>
      <c r="S155" s="27"/>
    </row>
    <row r="156" spans="1:19" collapsed="1">
      <c r="A156" s="27"/>
      <c r="B156" s="27"/>
      <c r="C156" s="27"/>
      <c r="D156" s="27"/>
      <c r="E156" s="27"/>
      <c r="F156" s="27"/>
      <c r="G156" s="27"/>
      <c r="H156" s="27"/>
      <c r="I156" s="27"/>
      <c r="J156" s="27"/>
      <c r="K156" s="27"/>
      <c r="L156" s="27"/>
      <c r="M156" s="27"/>
      <c r="N156" s="27"/>
      <c r="O156" s="27"/>
      <c r="P156" s="27"/>
      <c r="Q156" s="27"/>
      <c r="R156" s="27"/>
      <c r="S156" s="27"/>
    </row>
    <row r="157" spans="1:19">
      <c r="A157" s="27"/>
      <c r="B157" s="27"/>
      <c r="C157" s="27"/>
      <c r="D157" s="27"/>
      <c r="E157" s="27"/>
      <c r="F157" s="27"/>
      <c r="G157" s="27"/>
      <c r="H157" s="27"/>
      <c r="I157" s="27"/>
      <c r="J157" s="27"/>
      <c r="K157" s="27"/>
      <c r="L157" s="27"/>
      <c r="M157" s="27"/>
      <c r="N157" s="27"/>
      <c r="O157" s="27"/>
      <c r="P157" s="27"/>
      <c r="Q157" s="27"/>
      <c r="R157" s="27"/>
      <c r="S157" s="27"/>
    </row>
    <row r="158" spans="1:19">
      <c r="A158" s="27"/>
      <c r="B158" s="27"/>
      <c r="C158" s="27"/>
      <c r="D158" s="27"/>
      <c r="E158" s="27"/>
      <c r="F158" s="27"/>
      <c r="G158" s="27"/>
      <c r="H158" s="27"/>
      <c r="I158" s="27"/>
      <c r="J158" s="27"/>
      <c r="K158" s="27"/>
      <c r="L158" s="27"/>
      <c r="M158" s="27"/>
      <c r="N158" s="27"/>
      <c r="O158" s="27"/>
      <c r="P158" s="27"/>
      <c r="Q158" s="27"/>
      <c r="R158" s="27"/>
      <c r="S158" s="27"/>
    </row>
    <row r="159" spans="1:19" ht="18">
      <c r="A159" s="73" t="s">
        <v>401</v>
      </c>
      <c r="B159" s="27"/>
      <c r="C159" s="27"/>
      <c r="D159" s="27"/>
      <c r="E159" s="27"/>
      <c r="F159" s="27"/>
      <c r="G159" s="27"/>
      <c r="H159" s="27"/>
      <c r="I159" s="27"/>
      <c r="J159" s="27"/>
      <c r="K159" s="27"/>
      <c r="L159" s="27"/>
      <c r="M159" s="27"/>
      <c r="N159" s="27"/>
      <c r="O159" s="27"/>
      <c r="P159" s="27"/>
      <c r="Q159" s="27"/>
      <c r="R159" s="27"/>
      <c r="S159" s="27"/>
    </row>
    <row r="160" spans="1:19">
      <c r="A160" s="74" t="s">
        <v>286</v>
      </c>
      <c r="B160" s="27"/>
      <c r="C160" s="27"/>
      <c r="D160" s="27"/>
      <c r="E160" s="27"/>
      <c r="F160" s="27"/>
      <c r="G160" s="27"/>
      <c r="H160" s="27"/>
      <c r="I160" s="27"/>
      <c r="J160" s="27"/>
      <c r="K160" s="27"/>
      <c r="L160" s="27"/>
      <c r="M160" s="27"/>
      <c r="N160" s="27"/>
      <c r="O160" s="27"/>
      <c r="P160" s="27"/>
      <c r="Q160" s="27"/>
      <c r="R160" s="27"/>
      <c r="S160" s="27"/>
    </row>
    <row r="161" spans="1:19">
      <c r="A161" s="54" t="s">
        <v>280</v>
      </c>
      <c r="B161" s="56" t="s">
        <v>287</v>
      </c>
      <c r="C161" s="55" t="s">
        <v>235</v>
      </c>
      <c r="D161" s="55" t="s">
        <v>404</v>
      </c>
      <c r="E161" s="55" t="s">
        <v>456</v>
      </c>
      <c r="F161" s="55" t="s">
        <v>285</v>
      </c>
      <c r="G161" s="27"/>
      <c r="H161" s="27"/>
      <c r="I161" s="27"/>
      <c r="J161" s="27"/>
      <c r="K161" s="27"/>
      <c r="L161" s="27"/>
      <c r="M161" s="27"/>
      <c r="N161" s="27"/>
      <c r="O161" s="27"/>
      <c r="P161" s="27"/>
      <c r="Q161" s="27"/>
      <c r="R161" s="27"/>
      <c r="S161" s="27"/>
    </row>
    <row r="162" spans="1:19">
      <c r="A162" s="27"/>
      <c r="B162" s="27"/>
      <c r="C162" s="27"/>
      <c r="D162" s="27"/>
      <c r="E162" s="27"/>
      <c r="F162" s="27"/>
      <c r="G162" s="27"/>
      <c r="H162" s="27"/>
      <c r="I162" s="27"/>
      <c r="J162" s="27"/>
      <c r="K162" s="27"/>
      <c r="L162" s="27"/>
      <c r="M162" s="27"/>
      <c r="N162" s="27"/>
      <c r="O162" s="27"/>
      <c r="P162" s="27"/>
      <c r="Q162" s="27"/>
      <c r="R162" s="27"/>
      <c r="S162" s="27"/>
    </row>
    <row r="163" spans="1:19">
      <c r="A163" s="27" t="s">
        <v>272</v>
      </c>
      <c r="B163" s="27" t="s">
        <v>431</v>
      </c>
      <c r="C163" s="35">
        <f>C149/$F$154</f>
        <v>4.6373508312707937E-2</v>
      </c>
      <c r="D163" s="35">
        <f>D149/$F$154</f>
        <v>0.72967162745957148</v>
      </c>
      <c r="E163" s="35">
        <f>E149/$F$154</f>
        <v>1.5300047015974046E-2</v>
      </c>
      <c r="F163" s="35">
        <f>SUM(C163:E163)</f>
        <v>0.7913451827882535</v>
      </c>
      <c r="G163" s="27"/>
      <c r="H163" s="27"/>
      <c r="I163" s="27"/>
      <c r="J163" s="27"/>
      <c r="K163" s="27"/>
      <c r="L163" s="27"/>
      <c r="M163" s="27"/>
      <c r="N163" s="27"/>
      <c r="O163" s="27"/>
      <c r="P163" s="27"/>
      <c r="Q163" s="27"/>
      <c r="R163" s="27"/>
      <c r="S163" s="27"/>
    </row>
    <row r="164" spans="1:19">
      <c r="A164" s="27" t="s">
        <v>273</v>
      </c>
      <c r="B164" s="27" t="s">
        <v>402</v>
      </c>
      <c r="C164" s="35">
        <f t="shared" ref="C164:E166" si="21">C150/$F$154</f>
        <v>8.3280223617873093E-3</v>
      </c>
      <c r="D164" s="35">
        <f t="shared" si="21"/>
        <v>0.13146293929823338</v>
      </c>
      <c r="E164" s="35">
        <f t="shared" si="21"/>
        <v>0</v>
      </c>
      <c r="F164" s="35">
        <f t="shared" ref="F164:F166" si="22">SUM(C164:E164)</f>
        <v>0.1397909616600207</v>
      </c>
      <c r="G164" s="27"/>
      <c r="H164" s="27"/>
      <c r="I164" s="27"/>
      <c r="J164" s="27"/>
      <c r="K164" s="27"/>
      <c r="L164" s="27"/>
      <c r="M164" s="27"/>
      <c r="N164" s="27"/>
      <c r="O164" s="27"/>
      <c r="P164" s="27"/>
      <c r="Q164" s="27"/>
      <c r="R164" s="27"/>
      <c r="S164" s="27"/>
    </row>
    <row r="165" spans="1:19">
      <c r="A165" s="27" t="s">
        <v>274</v>
      </c>
      <c r="B165" s="27" t="s">
        <v>403</v>
      </c>
      <c r="C165" s="35">
        <f t="shared" si="21"/>
        <v>0</v>
      </c>
      <c r="D165" s="35">
        <f t="shared" si="21"/>
        <v>1.2838680331181303E-2</v>
      </c>
      <c r="E165" s="35">
        <f t="shared" si="21"/>
        <v>0</v>
      </c>
      <c r="F165" s="35">
        <f t="shared" si="22"/>
        <v>1.2838680331181303E-2</v>
      </c>
      <c r="G165" s="27"/>
      <c r="H165" s="27"/>
      <c r="I165" s="27"/>
      <c r="J165" s="27"/>
      <c r="K165" s="27"/>
      <c r="L165" s="27"/>
      <c r="M165" s="27"/>
      <c r="N165" s="27"/>
      <c r="O165" s="27"/>
      <c r="P165" s="27"/>
      <c r="Q165" s="27"/>
      <c r="R165" s="27"/>
      <c r="S165" s="27"/>
    </row>
    <row r="166" spans="1:19">
      <c r="A166" s="27" t="s">
        <v>275</v>
      </c>
      <c r="B166" s="27" t="s">
        <v>432</v>
      </c>
      <c r="C166" s="35">
        <f t="shared" si="21"/>
        <v>1.8315634837409282E-3</v>
      </c>
      <c r="D166" s="35">
        <f t="shared" si="21"/>
        <v>5.4193611736803662E-2</v>
      </c>
      <c r="E166" s="35">
        <f t="shared" si="21"/>
        <v>0</v>
      </c>
      <c r="F166" s="35">
        <f t="shared" si="22"/>
        <v>5.6025175220544593E-2</v>
      </c>
      <c r="G166" s="27"/>
      <c r="H166" s="27"/>
      <c r="I166" s="27"/>
      <c r="J166" s="27"/>
      <c r="K166" s="27"/>
      <c r="L166" s="27"/>
      <c r="M166" s="27"/>
      <c r="N166" s="27"/>
      <c r="O166" s="27"/>
      <c r="P166" s="27"/>
      <c r="Q166" s="27"/>
      <c r="R166" s="27"/>
      <c r="S166" s="27"/>
    </row>
    <row r="167" spans="1:19">
      <c r="A167" s="27"/>
      <c r="B167" s="27"/>
      <c r="C167" s="27"/>
      <c r="D167" s="27"/>
      <c r="E167" s="35"/>
      <c r="F167" s="27"/>
      <c r="G167" s="27"/>
      <c r="H167" s="27"/>
      <c r="I167" s="27"/>
      <c r="J167" s="27"/>
      <c r="K167" s="27"/>
      <c r="L167" s="27"/>
      <c r="M167" s="27"/>
      <c r="N167" s="27"/>
      <c r="O167" s="27"/>
      <c r="P167" s="27"/>
      <c r="Q167" s="27"/>
      <c r="R167" s="27"/>
      <c r="S167" s="27"/>
    </row>
    <row r="168" spans="1:19">
      <c r="A168" s="27" t="s">
        <v>285</v>
      </c>
      <c r="B168" s="27"/>
      <c r="C168" s="35">
        <f>SUM(C163:C166)</f>
        <v>5.653309415823618E-2</v>
      </c>
      <c r="D168" s="35">
        <f>SUM(D163:D166)</f>
        <v>0.92816685882578986</v>
      </c>
      <c r="E168" s="35">
        <f>E154/$F$95</f>
        <v>1.5300047015974044E-2</v>
      </c>
      <c r="F168" s="35">
        <f>SUM(F163:F166)</f>
        <v>1</v>
      </c>
      <c r="G168" s="27"/>
      <c r="H168" s="27"/>
      <c r="I168" s="27"/>
      <c r="J168" s="27"/>
      <c r="K168" s="27"/>
      <c r="L168" s="27"/>
      <c r="M168" s="27"/>
      <c r="N168" s="27"/>
      <c r="O168" s="27"/>
      <c r="P168" s="27"/>
      <c r="Q168" s="27"/>
      <c r="R168" s="27"/>
      <c r="S168" s="27"/>
    </row>
    <row r="169" spans="1:19">
      <c r="A169" s="27"/>
      <c r="B169" s="27"/>
      <c r="C169" s="27"/>
      <c r="D169" s="27"/>
      <c r="E169" s="27"/>
      <c r="F169" s="27"/>
      <c r="G169" s="27"/>
      <c r="H169" s="27"/>
      <c r="I169" s="27"/>
      <c r="J169" s="27"/>
      <c r="K169" s="27"/>
      <c r="L169" s="27"/>
      <c r="M169" s="27"/>
      <c r="N169" s="27"/>
      <c r="O169" s="27"/>
      <c r="P169" s="27"/>
      <c r="Q169" s="27"/>
      <c r="R169" s="27"/>
      <c r="S169" s="27"/>
    </row>
    <row r="170" spans="1:19" ht="18">
      <c r="A170" s="73" t="s">
        <v>485</v>
      </c>
      <c r="B170" s="27"/>
      <c r="C170" s="27"/>
      <c r="D170" s="27"/>
      <c r="E170" s="27"/>
      <c r="F170" s="27"/>
      <c r="G170" s="27"/>
      <c r="H170" s="73" t="s">
        <v>490</v>
      </c>
      <c r="I170" s="27"/>
      <c r="J170" s="27"/>
      <c r="K170" s="27"/>
      <c r="L170" s="27"/>
      <c r="M170" s="27"/>
      <c r="N170" s="27"/>
      <c r="O170" s="27"/>
      <c r="P170" s="27"/>
      <c r="Q170" s="27"/>
      <c r="R170" s="27"/>
      <c r="S170" s="27"/>
    </row>
    <row r="171" spans="1:19">
      <c r="A171" s="74" t="s">
        <v>484</v>
      </c>
      <c r="B171" s="27"/>
      <c r="C171" s="27"/>
      <c r="D171" s="27"/>
      <c r="E171" s="27"/>
      <c r="F171" s="27"/>
      <c r="G171" s="27"/>
      <c r="H171" s="74" t="s">
        <v>486</v>
      </c>
      <c r="I171" s="27"/>
      <c r="J171" s="27"/>
      <c r="K171" s="27"/>
      <c r="L171" s="27"/>
      <c r="M171" s="27"/>
      <c r="N171" s="27"/>
      <c r="O171" s="27"/>
      <c r="P171" s="27"/>
      <c r="Q171" s="27"/>
      <c r="R171" s="27"/>
      <c r="S171" s="27"/>
    </row>
    <row r="172" spans="1:19">
      <c r="A172" s="54" t="s">
        <v>482</v>
      </c>
      <c r="B172" s="56" t="s">
        <v>487</v>
      </c>
      <c r="C172" s="56" t="s">
        <v>464</v>
      </c>
      <c r="D172" s="55" t="s">
        <v>283</v>
      </c>
      <c r="E172" s="55" t="s">
        <v>287</v>
      </c>
      <c r="F172" s="27"/>
      <c r="G172" s="27"/>
      <c r="H172" s="54" t="s">
        <v>482</v>
      </c>
      <c r="I172" s="56" t="s">
        <v>487</v>
      </c>
      <c r="J172" s="56" t="s">
        <v>464</v>
      </c>
      <c r="K172" s="55" t="s">
        <v>283</v>
      </c>
      <c r="L172" s="55" t="s">
        <v>287</v>
      </c>
      <c r="M172" s="27"/>
      <c r="N172" s="27"/>
      <c r="O172" s="27"/>
      <c r="P172" s="27"/>
      <c r="Q172" s="27"/>
      <c r="R172" s="27"/>
      <c r="S172" s="27"/>
    </row>
    <row r="173" spans="1:19">
      <c r="A173" s="27"/>
      <c r="B173" s="27"/>
      <c r="C173" s="27"/>
      <c r="D173" s="27"/>
      <c r="E173" s="27"/>
      <c r="F173" s="27"/>
      <c r="G173" s="27"/>
      <c r="H173" s="27"/>
      <c r="I173" s="27"/>
      <c r="J173" s="27"/>
      <c r="K173" s="27"/>
      <c r="L173" s="27"/>
      <c r="M173" s="27"/>
      <c r="N173" s="27"/>
      <c r="O173" s="27"/>
      <c r="P173" s="27"/>
      <c r="Q173" s="27"/>
      <c r="R173" s="27"/>
      <c r="S173" s="27"/>
    </row>
    <row r="174" spans="1:19">
      <c r="A174" s="27" t="str">
        <f>_xll.BDP(B174&amp;" FIGI", "SECURITY_NAME")</f>
        <v>STESP 1 1/2 04/29/25</v>
      </c>
      <c r="B174" s="27" t="s">
        <v>2012</v>
      </c>
      <c r="C174" s="27" t="str">
        <f>VLOOKUP(B174,'Geneva investment position repo'!R:AS,28,0)</f>
        <v>Corporate</v>
      </c>
      <c r="D174" s="44">
        <f>VLOOKUP(B174,'Geneva investment position repo'!R:AB,11,0)</f>
        <v>83.313983488132095</v>
      </c>
      <c r="E174" s="27">
        <f>VLOOKUP(B174,'Geneva investment position repo'!R:AB,8,0)</f>
        <v>0.1</v>
      </c>
      <c r="F174" s="27"/>
      <c r="G174" s="27"/>
      <c r="H174" s="27" t="str">
        <f>_xll.BDP(I174&amp;" FIGI", "SECURITY_NAME")</f>
        <v>CERCG 5.55 04/14/21</v>
      </c>
      <c r="I174" s="27" t="s">
        <v>219</v>
      </c>
      <c r="J174" s="27" t="str">
        <f>VLOOKUP(I174,'Geneva investment position repo'!R:AS,28,0)</f>
        <v>Corporate</v>
      </c>
      <c r="K174" s="44">
        <f>VLOOKUP(I174,'Geneva investment position repo'!R:AB,11,0)</f>
        <v>1087080.8565531478</v>
      </c>
      <c r="L174" s="122">
        <f>VLOOKUP(I174,'Geneva investment position repo'!R:AB,8,0)</f>
        <v>75.099999999999994</v>
      </c>
      <c r="M174" s="27"/>
      <c r="N174" s="27"/>
      <c r="O174" s="27"/>
      <c r="P174" s="27"/>
      <c r="Q174" s="27"/>
      <c r="R174" s="27"/>
      <c r="S174" s="27"/>
    </row>
    <row r="175" spans="1:19">
      <c r="A175" s="27" t="str">
        <f>_xll.BDP(B175&amp;" FIGI", "SECURITY_NAME")</f>
        <v>Meituan Dianping</v>
      </c>
      <c r="B175" s="27" t="s">
        <v>1190</v>
      </c>
      <c r="C175" s="27" t="str">
        <f>VLOOKUP(B175,'Geneva investment position repo'!R:AS,28,0)</f>
        <v>Equity</v>
      </c>
      <c r="D175" s="44">
        <f>VLOOKUP(B175,'Geneva investment position repo'!R:AB,11,0)</f>
        <v>937306.50154798769</v>
      </c>
      <c r="E175" s="27">
        <f>VLOOKUP(B175,'Geneva investment position repo'!R:AB,8,0)</f>
        <v>0.2</v>
      </c>
      <c r="F175" s="27"/>
      <c r="G175" s="27"/>
      <c r="H175" s="27" t="str">
        <f>_xll.BDP(I175&amp;" FIGI", "SECURITY_NAME")</f>
        <v>HUAFAI 4.4 03/16/21</v>
      </c>
      <c r="I175" s="27" t="s">
        <v>1425</v>
      </c>
      <c r="J175" s="27" t="str">
        <f>VLOOKUP(I175,'Geneva investment position repo'!R:AS,28,0)</f>
        <v>Corporate</v>
      </c>
      <c r="K175" s="44">
        <f>VLOOKUP(I175,'Geneva investment position repo'!R:AB,11,0)</f>
        <v>10045122.555469556</v>
      </c>
      <c r="L175" s="122">
        <f>VLOOKUP(I175,'Geneva investment position repo'!R:AB,8,0)</f>
        <v>24.2</v>
      </c>
      <c r="M175" s="27"/>
      <c r="N175" s="27"/>
      <c r="O175" s="27"/>
      <c r="P175" s="27"/>
      <c r="Q175" s="27"/>
      <c r="R175" s="27"/>
      <c r="S175" s="27"/>
    </row>
    <row r="176" spans="1:19">
      <c r="A176" s="27" t="str">
        <f>_xll.BDP(B176&amp;" FIGI", "SECURITY_NAME")</f>
        <v>Tencent Holdings Ltd</v>
      </c>
      <c r="B176" s="27" t="s">
        <v>801</v>
      </c>
      <c r="C176" s="27" t="str">
        <f>VLOOKUP(B176,'Geneva investment position repo'!R:AS,28,0)</f>
        <v>Equity</v>
      </c>
      <c r="D176" s="44">
        <f>VLOOKUP(B176,'Geneva investment position repo'!R:AB,11,0)</f>
        <v>2313080.4953560373</v>
      </c>
      <c r="E176" s="27">
        <f>VLOOKUP(B176,'Geneva investment position repo'!R:AB,8,0)</f>
        <v>0.2</v>
      </c>
      <c r="F176" s="27"/>
      <c r="G176" s="27"/>
      <c r="H176" s="27" t="str">
        <f>_xll.BDP(I176&amp;" FIGI", "SECURITY_NAME")</f>
        <v>JINKE 8 3/8 06/20/21</v>
      </c>
      <c r="I176" s="27" t="s">
        <v>910</v>
      </c>
      <c r="J176" s="27" t="str">
        <f>VLOOKUP(I176,'Geneva investment position repo'!R:AS,28,0)</f>
        <v>Corporate</v>
      </c>
      <c r="K176" s="44">
        <f>VLOOKUP(I176,'Geneva investment position repo'!R:AB,11,0)</f>
        <v>12874459.631062951</v>
      </c>
      <c r="L176" s="122">
        <f>VLOOKUP(I176,'Geneva investment position repo'!R:AB,8,0)</f>
        <v>10.7</v>
      </c>
      <c r="M176" s="27"/>
      <c r="N176" s="27"/>
      <c r="O176" s="27"/>
      <c r="P176" s="27"/>
      <c r="Q176" s="27"/>
      <c r="R176" s="27"/>
      <c r="S176" s="27"/>
    </row>
    <row r="177" spans="1:19">
      <c r="A177" s="27" t="str">
        <f>_xll.BDP(B177&amp;" FIGI", "SECURITY_NAME")</f>
        <v>Wuxi Biologics Cayman Inc</v>
      </c>
      <c r="B177" s="27" t="s">
        <v>1471</v>
      </c>
      <c r="C177" s="27" t="str">
        <f>VLOOKUP(B177,'Geneva investment position repo'!R:AS,28,0)</f>
        <v>Equity</v>
      </c>
      <c r="D177" s="44">
        <f>VLOOKUP(B177,'Geneva investment position repo'!R:AB,11,0)</f>
        <v>390221.87822497421</v>
      </c>
      <c r="E177" s="27">
        <f>VLOOKUP(B177,'Geneva investment position repo'!R:AB,8,0)</f>
        <v>0.2</v>
      </c>
      <c r="F177" s="27"/>
      <c r="G177" s="27"/>
      <c r="H177" s="27" t="str">
        <f>_xll.BDP(I177&amp;" FIGI", "SECURITY_NAME")</f>
        <v>ANHUII 4 7/8 10/18/21</v>
      </c>
      <c r="I177" s="27" t="s">
        <v>197</v>
      </c>
      <c r="J177" s="27" t="str">
        <f>VLOOKUP(I177,'Geneva investment position repo'!R:AS,28,0)</f>
        <v>Corporate</v>
      </c>
      <c r="K177" s="44">
        <f>VLOOKUP(I177,'Geneva investment position repo'!R:AB,11,0)</f>
        <v>8131751.3828689372</v>
      </c>
      <c r="L177" s="122">
        <f>VLOOKUP(I177,'Geneva investment position repo'!R:AB,8,0)</f>
        <v>10.5</v>
      </c>
      <c r="M177" s="27"/>
      <c r="N177" s="27"/>
      <c r="O177" s="27"/>
      <c r="P177" s="27"/>
      <c r="Q177" s="27"/>
      <c r="R177" s="27"/>
      <c r="S177" s="27"/>
    </row>
    <row r="178" spans="1:19">
      <c r="A178" s="27" t="str">
        <f>_xll.BDP(B178&amp;" FIGI", "SECURITY_NAME")</f>
        <v>ANTA Sports Products Ltd</v>
      </c>
      <c r="B178" s="27" t="s">
        <v>2019</v>
      </c>
      <c r="C178" s="27" t="str">
        <f>VLOOKUP(B178,'Geneva investment position repo'!R:AS,28,0)</f>
        <v>Equity</v>
      </c>
      <c r="D178" s="44">
        <f>VLOOKUP(B178,'Geneva investment position repo'!R:AB,11,0)</f>
        <v>422149.12280701753</v>
      </c>
      <c r="E178" s="27">
        <f>VLOOKUP(B178,'Geneva investment position repo'!R:AB,8,0)</f>
        <v>0.3</v>
      </c>
      <c r="F178" s="27"/>
      <c r="G178" s="27"/>
      <c r="H178" s="27" t="str">
        <f>_xll.BDP(I178&amp;" FIGI", "SECURITY_NAME")</f>
        <v>HK Electric Investments &amp; HK E</v>
      </c>
      <c r="I178" s="27" t="s">
        <v>1267</v>
      </c>
      <c r="J178" s="27" t="str">
        <f>VLOOKUP(I178,'Geneva investment position repo'!R:AS,28,0)</f>
        <v>Equity</v>
      </c>
      <c r="K178" s="44">
        <f>VLOOKUP(I178,'Geneva investment position repo'!R:AB,11,0)</f>
        <v>1086171.310629515</v>
      </c>
      <c r="L178" s="122">
        <f>VLOOKUP(I178,'Geneva investment position repo'!R:AB,8,0)</f>
        <v>10.4</v>
      </c>
      <c r="M178" s="27"/>
      <c r="N178" s="27"/>
      <c r="O178" s="27"/>
      <c r="P178" s="27"/>
      <c r="Q178" s="27"/>
      <c r="R178" s="27"/>
      <c r="S178" s="27"/>
    </row>
    <row r="179" spans="1:19">
      <c r="A179" s="121" t="str">
        <f>_xll.BDP(B179&amp;" FIGI", "SECURITY_NAME")</f>
        <v>Ping An Insurance Group Co of</v>
      </c>
      <c r="B179" s="121" t="s">
        <v>253</v>
      </c>
      <c r="C179" s="27" t="str">
        <f>VLOOKUP(B179,'Geneva investment position repo'!R:AS,28,0)</f>
        <v>Equity</v>
      </c>
      <c r="D179" s="44">
        <f>VLOOKUP(B179,'Geneva investment position repo'!R:AB,11,0)</f>
        <v>1285152.2187822498</v>
      </c>
      <c r="E179" s="27">
        <f>VLOOKUP(B179,'Geneva investment position repo'!R:AB,8,0)</f>
        <v>0.3</v>
      </c>
      <c r="F179" s="27"/>
      <c r="G179" s="27"/>
      <c r="H179" s="27" t="str">
        <f>_xll.BDP(I179&amp;" FIGI", "SECURITY_NAME")</f>
        <v>MEDCIJ 8 1/2 08/17/22</v>
      </c>
      <c r="I179" s="27" t="s">
        <v>1436</v>
      </c>
      <c r="J179" s="27" t="str">
        <f>VLOOKUP(I179,'Geneva investment position repo'!R:AS,28,0)</f>
        <v>Corporate</v>
      </c>
      <c r="K179" s="44">
        <f>VLOOKUP(I179,'Geneva investment position repo'!R:AB,11,0)</f>
        <v>987366.79308565531</v>
      </c>
      <c r="L179" s="122">
        <f>VLOOKUP(I179,'Geneva investment position repo'!R:AB,8,0)</f>
        <v>8.6999999999999993</v>
      </c>
      <c r="M179" s="27"/>
      <c r="N179" s="27"/>
      <c r="O179" s="27"/>
      <c r="P179" s="27"/>
      <c r="Q179" s="27"/>
      <c r="R179" s="27"/>
      <c r="S179" s="27"/>
    </row>
    <row r="180" spans="1:19">
      <c r="A180" s="120" t="str">
        <f>_xll.BDP(B180&amp;" FIGI", "SECURITY_NAME")</f>
        <v>SUNAC 8.35 04/19/23</v>
      </c>
      <c r="B180" s="125" t="s">
        <v>1452</v>
      </c>
      <c r="C180" s="27" t="str">
        <f>VLOOKUP(B180,'Geneva investment position repo'!R:AS,28,0)</f>
        <v>Corporate</v>
      </c>
      <c r="D180" s="44">
        <f>VLOOKUP(B180,'Geneva investment position repo'!R:AB,11,0)</f>
        <v>263643.97316821467</v>
      </c>
      <c r="E180" s="27">
        <f>VLOOKUP(B180,'Geneva investment position repo'!R:AB,8,0)</f>
        <v>0.4</v>
      </c>
      <c r="F180" s="27"/>
      <c r="G180" s="27"/>
      <c r="H180" s="27" t="str">
        <f>_xll.BDP(I180&amp;" FIGI", "SECURITY_NAME")</f>
        <v>CINDBK 4 5/8 02/28/29</v>
      </c>
      <c r="I180" s="27" t="s">
        <v>191</v>
      </c>
      <c r="J180" s="27" t="str">
        <f>VLOOKUP(I180,'Geneva investment position repo'!R:AS,28,0)</f>
        <v>Corporate</v>
      </c>
      <c r="K180" s="44">
        <f>VLOOKUP(I180,'Geneva investment position repo'!R:AB,11,0)</f>
        <v>6626350.3212074302</v>
      </c>
      <c r="L180" s="122">
        <f>VLOOKUP(I180,'Geneva investment position repo'!R:AB,8,0)</f>
        <v>7.8</v>
      </c>
      <c r="M180" s="27"/>
      <c r="N180" s="27"/>
      <c r="O180" s="27"/>
      <c r="P180" s="27"/>
      <c r="Q180" s="27"/>
      <c r="R180" s="27"/>
      <c r="S180" s="27"/>
    </row>
    <row r="181" spans="1:19">
      <c r="A181" s="27" t="str">
        <f>_xll.BDP(B181&amp;" FIGI", "SECURITY_NAME")</f>
        <v>AIA Group Ltd</v>
      </c>
      <c r="B181" s="27" t="s">
        <v>262</v>
      </c>
      <c r="C181" s="27" t="str">
        <f>VLOOKUP(B181,'Geneva investment position repo'!R:AS,28,0)</f>
        <v>Equity</v>
      </c>
      <c r="D181" s="44">
        <f>VLOOKUP(B181,'Geneva investment position repo'!R:AB,11,0)</f>
        <v>1644677.5025799794</v>
      </c>
      <c r="E181" s="27">
        <f>VLOOKUP(B181,'Geneva investment position repo'!R:AB,8,0)</f>
        <v>0.4</v>
      </c>
      <c r="F181" s="27"/>
      <c r="G181" s="27"/>
      <c r="H181" s="27" t="str">
        <f>_xll.BDP(I181&amp;" FIGI", "SECURITY_NAME")</f>
        <v>BEICAP 2.8 03/18/23</v>
      </c>
      <c r="I181" s="27" t="s">
        <v>1408</v>
      </c>
      <c r="J181" s="27" t="str">
        <f>VLOOKUP(I181,'Geneva investment position repo'!R:AS,28,0)</f>
        <v>Corporate</v>
      </c>
      <c r="K181" s="44">
        <f>VLOOKUP(I181,'Geneva investment position repo'!R:AB,11,0)</f>
        <v>9975349.8710010331</v>
      </c>
      <c r="L181" s="122">
        <f>VLOOKUP(I181,'Geneva investment position repo'!R:AB,8,0)</f>
        <v>6.9</v>
      </c>
      <c r="M181" s="27"/>
      <c r="N181" s="27"/>
      <c r="O181" s="27"/>
      <c r="P181" s="27"/>
      <c r="Q181" s="27"/>
      <c r="R181" s="27"/>
      <c r="S181" s="27"/>
    </row>
    <row r="182" spans="1:19">
      <c r="A182" s="27" t="str">
        <f>_xll.BDP(B182&amp;" FIGI", "SECURITY_NAME")</f>
        <v>China Mobile Ltd</v>
      </c>
      <c r="B182" s="27" t="s">
        <v>233</v>
      </c>
      <c r="C182" s="27" t="str">
        <f>VLOOKUP(B182,'Geneva investment position repo'!R:AS,28,0)</f>
        <v>Equity</v>
      </c>
      <c r="D182" s="44">
        <f>VLOOKUP(B182,'Geneva investment position repo'!R:AB,11,0)</f>
        <v>1006998.1940144479</v>
      </c>
      <c r="E182" s="27">
        <f>VLOOKUP(B182,'Geneva investment position repo'!R:AB,8,0)</f>
        <v>0.4</v>
      </c>
      <c r="F182" s="27"/>
      <c r="G182" s="27"/>
      <c r="H182" s="27" t="str">
        <f>_xll.BDP(I182&amp;" FIGI", "SECURITY_NAME")</f>
        <v>MDLNIJ 6.95 04/13/24</v>
      </c>
      <c r="I182" s="27" t="s">
        <v>1136</v>
      </c>
      <c r="J182" s="27" t="str">
        <f>VLOOKUP(I182,'Geneva investment position repo'!R:AS,28,0)</f>
        <v>Corporate</v>
      </c>
      <c r="K182" s="44">
        <f>VLOOKUP(I182,'Geneva investment position repo'!R:AB,11,0)</f>
        <v>3028408.6932404544</v>
      </c>
      <c r="L182" s="122">
        <f>VLOOKUP(I182,'Geneva investment position repo'!R:AB,8,0)</f>
        <v>6.8</v>
      </c>
      <c r="M182" s="27"/>
      <c r="N182" s="27"/>
      <c r="O182" s="27"/>
      <c r="P182" s="27"/>
      <c r="Q182" s="27"/>
      <c r="R182" s="27"/>
      <c r="S182" s="27"/>
    </row>
    <row r="183" spans="1:19">
      <c r="A183" s="27" t="str">
        <f>_xll.BDP(B183&amp;" FIGI", "SECURITY_NAME")</f>
        <v>CCAMCL 4.45 PERP</v>
      </c>
      <c r="B183" s="27" t="s">
        <v>1129</v>
      </c>
      <c r="C183" s="27" t="str">
        <f>VLOOKUP(B183,'Geneva investment position repo'!R:AS,28,0)</f>
        <v>Corporate</v>
      </c>
      <c r="D183" s="44">
        <f>VLOOKUP(B183,'Geneva investment position repo'!R:AB,11,0)</f>
        <v>2249853.8003095975</v>
      </c>
      <c r="E183" s="27">
        <f>VLOOKUP(B183,'Geneva investment position repo'!R:AB,8,0)</f>
        <v>0.5</v>
      </c>
      <c r="F183" s="27"/>
      <c r="G183" s="27"/>
      <c r="H183" s="27" t="str">
        <f>_xll.BDP(I183&amp;" FIGI", "SECURITY_NAME")</f>
        <v>SUNSHI 6.8 03/11/21</v>
      </c>
      <c r="I183" s="27" t="s">
        <v>1454</v>
      </c>
      <c r="J183" s="27" t="str">
        <f>VLOOKUP(I183,'Geneva investment position repo'!R:AS,28,0)</f>
        <v>Corporate</v>
      </c>
      <c r="K183" s="44">
        <f>VLOOKUP(I183,'Geneva investment position repo'!R:AB,11,0)</f>
        <v>13973625.264447885</v>
      </c>
      <c r="L183" s="122">
        <f>VLOOKUP(I183,'Geneva investment position repo'!R:AB,8,0)</f>
        <v>6.8</v>
      </c>
      <c r="M183" s="51"/>
      <c r="N183" s="27"/>
      <c r="O183" s="27"/>
      <c r="P183" s="27"/>
      <c r="Q183" s="27"/>
      <c r="R183" s="27"/>
      <c r="S183" s="27"/>
    </row>
    <row r="184" spans="1:19">
      <c r="A184" s="27"/>
      <c r="B184" s="27"/>
      <c r="C184" s="27"/>
      <c r="D184" s="27"/>
      <c r="E184" s="27"/>
      <c r="F184" s="27"/>
      <c r="G184" s="27"/>
      <c r="H184" s="27"/>
      <c r="I184" s="27"/>
      <c r="J184" s="27"/>
      <c r="K184" s="27"/>
      <c r="L184" s="27"/>
      <c r="M184" s="27"/>
      <c r="N184" s="27"/>
      <c r="O184" s="27"/>
      <c r="P184" s="27"/>
      <c r="Q184" s="27"/>
      <c r="R184" s="27"/>
      <c r="S184" s="27"/>
    </row>
    <row r="185" spans="1:19">
      <c r="A185" s="27"/>
      <c r="B185" s="27"/>
      <c r="C185" s="27"/>
      <c r="D185" s="27"/>
      <c r="E185" s="27"/>
      <c r="F185" s="27"/>
      <c r="G185" s="27"/>
      <c r="H185" s="27"/>
      <c r="I185" s="27"/>
      <c r="J185" s="27"/>
      <c r="K185" s="27"/>
      <c r="L185" s="27"/>
      <c r="M185" s="130"/>
      <c r="N185" s="27"/>
      <c r="O185" s="27"/>
      <c r="P185" s="27"/>
      <c r="Q185" s="27"/>
      <c r="R185" s="27"/>
      <c r="S185" s="27"/>
    </row>
    <row r="186" spans="1:19" ht="18">
      <c r="A186" s="73" t="s">
        <v>485</v>
      </c>
      <c r="B186" s="27"/>
      <c r="C186" s="27"/>
      <c r="D186" s="27"/>
      <c r="E186" s="27"/>
      <c r="F186" s="27"/>
      <c r="G186" s="27"/>
      <c r="H186" s="73" t="s">
        <v>490</v>
      </c>
      <c r="I186" s="27"/>
      <c r="J186" s="27"/>
      <c r="K186" s="27"/>
      <c r="L186" s="27"/>
      <c r="M186" s="27"/>
      <c r="N186" s="27"/>
      <c r="O186" s="27"/>
      <c r="P186" s="27"/>
      <c r="Q186" s="27"/>
      <c r="R186" s="27"/>
      <c r="S186" s="27"/>
    </row>
    <row r="187" spans="1:19">
      <c r="A187" s="74" t="s">
        <v>483</v>
      </c>
      <c r="B187" s="27"/>
      <c r="C187" s="27"/>
      <c r="D187" s="27"/>
      <c r="E187" s="27"/>
      <c r="F187" s="27"/>
      <c r="G187" s="27"/>
      <c r="H187" s="74" t="s">
        <v>489</v>
      </c>
      <c r="I187" s="27"/>
      <c r="J187" s="27"/>
      <c r="K187" s="27"/>
      <c r="L187" s="27"/>
      <c r="M187" s="27"/>
      <c r="N187" s="27"/>
      <c r="O187" s="27"/>
      <c r="P187" s="27"/>
      <c r="Q187" s="27"/>
      <c r="R187" s="27"/>
      <c r="S187" s="27"/>
    </row>
    <row r="188" spans="1:19">
      <c r="A188" s="54" t="s">
        <v>482</v>
      </c>
      <c r="B188" s="56" t="s">
        <v>487</v>
      </c>
      <c r="C188" s="56" t="s">
        <v>464</v>
      </c>
      <c r="D188" s="55" t="s">
        <v>283</v>
      </c>
      <c r="E188" s="55" t="s">
        <v>278</v>
      </c>
      <c r="F188" s="55" t="s">
        <v>287</v>
      </c>
      <c r="G188" s="27"/>
      <c r="H188" s="54" t="s">
        <v>482</v>
      </c>
      <c r="I188" s="56" t="s">
        <v>487</v>
      </c>
      <c r="J188" s="56" t="s">
        <v>464</v>
      </c>
      <c r="K188" s="55" t="s">
        <v>283</v>
      </c>
      <c r="L188" s="55" t="s">
        <v>278</v>
      </c>
      <c r="M188" s="55" t="s">
        <v>287</v>
      </c>
      <c r="N188" s="27"/>
      <c r="O188" s="129"/>
      <c r="P188" s="27"/>
      <c r="Q188" s="27"/>
      <c r="R188" s="27"/>
      <c r="S188" s="27"/>
    </row>
    <row r="189" spans="1:19">
      <c r="A189" s="27"/>
      <c r="B189" s="27"/>
      <c r="C189" s="27"/>
      <c r="D189" s="27"/>
      <c r="E189" s="27"/>
      <c r="F189" s="27"/>
      <c r="G189" s="27"/>
      <c r="H189" s="27"/>
      <c r="I189" s="27"/>
      <c r="J189" s="27"/>
      <c r="K189" s="27"/>
      <c r="L189" s="27"/>
      <c r="M189" s="27"/>
      <c r="N189" s="27"/>
      <c r="O189" s="27"/>
      <c r="P189" s="27"/>
      <c r="Q189" s="27"/>
      <c r="R189" s="27"/>
      <c r="S189" s="27"/>
    </row>
    <row r="190" spans="1:19">
      <c r="A190" s="27" t="str">
        <f>_xll.BDP(B190&amp;" FIGI", "SECURITY_NAME")</f>
        <v>CERCG 5.55 04/14/21</v>
      </c>
      <c r="B190" s="27" t="s">
        <v>219</v>
      </c>
      <c r="C190" s="27" t="str">
        <f>VLOOKUP(B190,'Geneva investment position repo'!R:AS,28,0)</f>
        <v>Corporate</v>
      </c>
      <c r="D190" s="44">
        <f>VLOOKUP(B190,'Geneva investment position repo'!R:AB,11,0)</f>
        <v>1087080.8565531478</v>
      </c>
      <c r="E190" s="35">
        <f>VLOOKUP(B190,'Geneva investment position repo'!R:AB,9,0)</f>
        <v>1.607064</v>
      </c>
      <c r="F190" s="27">
        <v>1</v>
      </c>
      <c r="G190" s="27"/>
      <c r="H190" s="27" t="str">
        <f>_xll.BDP(I190&amp;" FIGI", "SECURITY_NAME")</f>
        <v>ICBCAS 1.77 05/20/20</v>
      </c>
      <c r="I190" s="27" t="s">
        <v>1251</v>
      </c>
      <c r="J190" s="27" t="str">
        <f>VLOOKUP(I190,'Geneva investment position repo'!R:AS,28,0)</f>
        <v>Corporate</v>
      </c>
      <c r="K190" s="44">
        <f>VLOOKUP(I190,'Geneva investment position repo'!R:AB,11,0)</f>
        <v>4998286.1880804952</v>
      </c>
      <c r="L190" s="35">
        <f>VLOOKUP(I190,'Geneva investment position repo'!R:AB,9,0)</f>
        <v>7.76E-4</v>
      </c>
      <c r="M190" s="27">
        <v>1</v>
      </c>
      <c r="N190" s="27"/>
      <c r="O190" s="27"/>
      <c r="P190" s="27"/>
      <c r="Q190" s="27"/>
      <c r="R190" s="27"/>
      <c r="S190" s="27"/>
    </row>
    <row r="191" spans="1:19">
      <c r="A191" s="27" t="str">
        <f>_xll.BDP(B191&amp;" FIGI", "SECURITY_NAME")</f>
        <v>SIB 5 PERP</v>
      </c>
      <c r="B191" s="27" t="s">
        <v>912</v>
      </c>
      <c r="C191" s="27" t="str">
        <f>VLOOKUP(B191,'Geneva investment position repo'!R:AS,28,0)</f>
        <v>Corporate</v>
      </c>
      <c r="D191" s="44">
        <f>VLOOKUP(B191,'Geneva investment position repo'!R:AB,11,0)</f>
        <v>3024554.206656347</v>
      </c>
      <c r="E191" s="35">
        <f>VLOOKUP(B191,'Geneva investment position repo'!R:AB,9,0)</f>
        <v>0.19508900000000001</v>
      </c>
      <c r="F191" s="27">
        <v>1</v>
      </c>
      <c r="G191" s="27"/>
      <c r="H191" s="27" t="str">
        <f>_xll.BDP(I191&amp;" FIGI", "SECURITY_NAME")</f>
        <v>CMHI 4 3/8 08/06/23</v>
      </c>
      <c r="I191" s="27" t="s">
        <v>205</v>
      </c>
      <c r="J191" s="27" t="str">
        <f>VLOOKUP(I191,'Geneva investment position repo'!R:AS,28,0)</f>
        <v>Corporate</v>
      </c>
      <c r="K191" s="44">
        <f>VLOOKUP(I191,'Geneva investment position repo'!R:AB,11,0)</f>
        <v>2715065.2528379774</v>
      </c>
      <c r="L191" s="35">
        <f>VLOOKUP(I191,'Geneva investment position repo'!R:AB,9,0)</f>
        <v>4.4970000000000001E-3</v>
      </c>
      <c r="M191" s="27">
        <v>1</v>
      </c>
      <c r="N191" s="27"/>
      <c r="O191" s="27"/>
      <c r="P191" s="27"/>
      <c r="Q191" s="27"/>
      <c r="R191" s="27"/>
      <c r="S191" s="27"/>
    </row>
    <row r="192" spans="1:19">
      <c r="A192" s="27" t="str">
        <f>_xll.BDP(B192&amp;" FIGI", "SECURITY_NAME")</f>
        <v>PEMEX 5.95 01/28/31</v>
      </c>
      <c r="B192" s="27" t="s">
        <v>2002</v>
      </c>
      <c r="C192" s="27" t="str">
        <f>VLOOKUP(B192,'Geneva investment position repo'!R:AS,28,0)</f>
        <v>Corporate</v>
      </c>
      <c r="D192" s="44">
        <f>VLOOKUP(B192,'Geneva investment position repo'!R:AB,11,0)</f>
        <v>1419901.3351393191</v>
      </c>
      <c r="E192" s="35">
        <f>VLOOKUP(B192,'Geneva investment position repo'!R:AB,9,0)</f>
        <v>0.156921</v>
      </c>
      <c r="F192" s="27">
        <v>1</v>
      </c>
      <c r="G192" s="27"/>
      <c r="H192" s="27" t="str">
        <f>_xll.BDP(I192&amp;" FIGI", "SECURITY_NAME")</f>
        <v>STESP 1 1/2 04/29/25</v>
      </c>
      <c r="I192" s="27" t="s">
        <v>2012</v>
      </c>
      <c r="J192" s="27" t="str">
        <f>VLOOKUP(I192,'Geneva investment position repo'!R:AS,28,0)</f>
        <v>Corporate</v>
      </c>
      <c r="K192" s="44">
        <f>VLOOKUP(I192,'Geneva investment position repo'!R:AB,11,0)</f>
        <v>83.313983488132095</v>
      </c>
      <c r="L192" s="35">
        <f>VLOOKUP(I192,'Geneva investment position repo'!R:AB,9,0)</f>
        <v>4.7980000000000002E-3</v>
      </c>
      <c r="M192" s="27">
        <v>1</v>
      </c>
      <c r="N192" s="27"/>
      <c r="O192" s="27"/>
      <c r="P192" s="27"/>
      <c r="Q192" s="27"/>
      <c r="R192" s="27"/>
      <c r="S192" s="27"/>
    </row>
    <row r="193" spans="1:19">
      <c r="A193" s="27" t="str">
        <f>_xll.BDP(B193&amp;" FIGI", "SECURITY_NAME")</f>
        <v>MEDCIJ 6 3/4 01/30/25</v>
      </c>
      <c r="B193" s="27" t="s">
        <v>1434</v>
      </c>
      <c r="C193" s="27" t="str">
        <f>VLOOKUP(B193,'Geneva investment position repo'!R:AS,28,0)</f>
        <v>Corporate</v>
      </c>
      <c r="D193" s="44">
        <f>VLOOKUP(B193,'Geneva investment position repo'!R:AB,11,0)</f>
        <v>2063120.8372033024</v>
      </c>
      <c r="E193" s="35">
        <f>VLOOKUP(B193,'Geneva investment position repo'!R:AB,9,0)</f>
        <v>0.14280399999999999</v>
      </c>
      <c r="F193" s="27">
        <v>1</v>
      </c>
      <c r="G193" s="27"/>
      <c r="H193" s="27" t="str">
        <f>_xll.BDP(I193&amp;" FIGI", "SECURITY_NAME")</f>
        <v>COGO 4 7/8 06/01/21</v>
      </c>
      <c r="I193" s="27" t="s">
        <v>209</v>
      </c>
      <c r="J193" s="27" t="str">
        <f>VLOOKUP(I193,'Geneva investment position repo'!R:AS,28,0)</f>
        <v>Corporate</v>
      </c>
      <c r="K193" s="44">
        <f>VLOOKUP(I193,'Geneva investment position repo'!R:AB,11,0)</f>
        <v>7437631.8859649133</v>
      </c>
      <c r="L193" s="35">
        <f>VLOOKUP(I193,'Geneva investment position repo'!R:AB,9,0)</f>
        <v>6.4289999999999998E-3</v>
      </c>
      <c r="M193" s="27">
        <v>1</v>
      </c>
      <c r="N193" s="27"/>
      <c r="O193" s="27"/>
      <c r="P193" s="27"/>
      <c r="Q193" s="27"/>
      <c r="R193" s="27"/>
      <c r="S193" s="27"/>
    </row>
    <row r="194" spans="1:19">
      <c r="A194" s="27" t="str">
        <f>_xll.BDP(B194&amp;" FIGI", "SECURITY_NAME")</f>
        <v>LPKRIJ 8 1/8 01/22/25</v>
      </c>
      <c r="B194" s="27" t="s">
        <v>1183</v>
      </c>
      <c r="C194" s="27" t="str">
        <f>VLOOKUP(B194,'Geneva investment position repo'!R:AS,28,0)</f>
        <v>Corporate</v>
      </c>
      <c r="D194" s="44">
        <f>VLOOKUP(B194,'Geneva investment position repo'!R:AB,11,0)</f>
        <v>1203617.5412796699</v>
      </c>
      <c r="E194" s="35">
        <f>VLOOKUP(B194,'Geneva investment position repo'!R:AB,9,0)</f>
        <v>0.116713</v>
      </c>
      <c r="F194" s="27">
        <v>1</v>
      </c>
      <c r="G194" s="27"/>
      <c r="H194" s="27" t="str">
        <f>_xll.BDP(I194&amp;" FIGI", "SECURITY_NAME")</f>
        <v>MAYMK 3.905 10/29/26</v>
      </c>
      <c r="I194" s="27" t="s">
        <v>1998</v>
      </c>
      <c r="J194" s="27" t="str">
        <f>VLOOKUP(I194,'Geneva investment position repo'!R:AS,28,0)</f>
        <v>Corporate</v>
      </c>
      <c r="K194" s="44">
        <f>VLOOKUP(I194,'Geneva investment position repo'!R:AB,11,0)</f>
        <v>1302867.4200206399</v>
      </c>
      <c r="L194" s="35">
        <f>VLOOKUP(I194,'Geneva investment position repo'!R:AB,9,0)</f>
        <v>6.7749999999999998E-3</v>
      </c>
      <c r="M194" s="27">
        <v>1</v>
      </c>
      <c r="N194" s="27"/>
      <c r="O194" s="27"/>
      <c r="P194" s="27"/>
      <c r="Q194" s="27"/>
      <c r="R194" s="27"/>
      <c r="S194" s="27"/>
    </row>
    <row r="195" spans="1:19">
      <c r="A195" s="27" t="str">
        <f>_xll.BDP(B195&amp;" FIGI", "SECURITY_NAME")</f>
        <v>BYANIJ 6 1/8 01/24/23</v>
      </c>
      <c r="B195" s="27" t="s">
        <v>1176</v>
      </c>
      <c r="C195" s="27" t="str">
        <f>VLOOKUP(B195,'Geneva investment position repo'!R:AS,28,0)</f>
        <v>Corporate</v>
      </c>
      <c r="D195" s="44">
        <f>VLOOKUP(B195,'Geneva investment position repo'!R:AB,11,0)</f>
        <v>2391174.6555727553</v>
      </c>
      <c r="E195" s="35">
        <f>VLOOKUP(B195,'Geneva investment position repo'!R:AB,9,0)</f>
        <v>0.113251</v>
      </c>
      <c r="F195" s="27">
        <v>1</v>
      </c>
      <c r="G195" s="27"/>
      <c r="H195" s="27" t="str">
        <f>_xll.BDP(I195&amp;" FIGI", "SECURITY_NAME")</f>
        <v>COGARD 7 1/4 04/04/21</v>
      </c>
      <c r="I195" s="27" t="s">
        <v>1415</v>
      </c>
      <c r="J195" s="27" t="str">
        <f>VLOOKUP(I195,'Geneva investment position repo'!R:AS,28,0)</f>
        <v>Corporate</v>
      </c>
      <c r="K195" s="44">
        <f>VLOOKUP(I195,'Geneva investment position repo'!R:AB,11,0)</f>
        <v>2990593.9563983493</v>
      </c>
      <c r="L195" s="35">
        <f>VLOOKUP(I195,'Geneva investment position repo'!R:AB,9,0)</f>
        <v>7.0210000000000003E-3</v>
      </c>
      <c r="M195" s="27">
        <v>1</v>
      </c>
      <c r="N195" s="27"/>
      <c r="O195" s="27"/>
      <c r="P195" s="27"/>
      <c r="Q195" s="27"/>
      <c r="R195" s="27"/>
      <c r="S195" s="27"/>
    </row>
    <row r="196" spans="1:19">
      <c r="A196" s="27" t="str">
        <f>_xll.BDP(B196&amp;" FIGI", "SECURITY_NAME")</f>
        <v>LPKRIJ 6 3/4 10/31/26</v>
      </c>
      <c r="B196" s="27" t="s">
        <v>1431</v>
      </c>
      <c r="C196" s="27" t="str">
        <f>VLOOKUP(B196,'Geneva investment position repo'!R:AS,28,0)</f>
        <v>Corporate</v>
      </c>
      <c r="D196" s="44">
        <f>VLOOKUP(B196,'Geneva investment position repo'!R:AB,11,0)</f>
        <v>1307846.2512899898</v>
      </c>
      <c r="E196" s="35">
        <f>VLOOKUP(B196,'Geneva investment position repo'!R:AB,9,0)</f>
        <v>9.4696000000000002E-2</v>
      </c>
      <c r="F196" s="27">
        <v>1</v>
      </c>
      <c r="G196" s="27"/>
      <c r="H196" s="27" t="str">
        <f>_xll.BDP(I196&amp;" FIGI", "SECURITY_NAME")</f>
        <v>GRWALL 4 3/8 05/25/23</v>
      </c>
      <c r="I196" s="27" t="s">
        <v>211</v>
      </c>
      <c r="J196" s="27" t="str">
        <f>VLOOKUP(I196,'Geneva investment position repo'!R:AS,28,0)</f>
        <v>Corporate</v>
      </c>
      <c r="K196" s="44">
        <f>VLOOKUP(I196,'Geneva investment position repo'!R:AB,11,0)</f>
        <v>8645806.4370485041</v>
      </c>
      <c r="L196" s="35">
        <f>VLOOKUP(I196,'Geneva investment position repo'!R:AB,9,0)</f>
        <v>7.1679999999999999E-3</v>
      </c>
      <c r="M196" s="27">
        <v>1</v>
      </c>
      <c r="N196" s="27"/>
      <c r="O196" s="27"/>
      <c r="P196" s="27"/>
      <c r="Q196" s="27"/>
      <c r="R196" s="27"/>
      <c r="S196" s="27"/>
    </row>
    <row r="197" spans="1:19">
      <c r="A197" s="27" t="str">
        <f>_xll.BDP(B197&amp;" FIGI", "SECURITY_NAME")</f>
        <v>CHOHIN 5.7 PERP</v>
      </c>
      <c r="B197" s="27" t="s">
        <v>941</v>
      </c>
      <c r="C197" s="27" t="str">
        <f>VLOOKUP(B197,'Geneva investment position repo'!R:AS,28,0)</f>
        <v>Corporate</v>
      </c>
      <c r="D197" s="44">
        <f>VLOOKUP(B197,'Geneva investment position repo'!R:AB,11,0)</f>
        <v>5606567.8624871001</v>
      </c>
      <c r="E197" s="35">
        <f>VLOOKUP(B197,'Geneva investment position repo'!R:AB,9,0)</f>
        <v>9.3880000000000005E-2</v>
      </c>
      <c r="F197" s="27">
        <v>1</v>
      </c>
      <c r="G197" s="27"/>
      <c r="H197" s="27" t="str">
        <f>_xll.BDP(I197&amp;" FIGI", "SECURITY_NAME")</f>
        <v>PWRLNG 5.95 07/19/20</v>
      </c>
      <c r="I197" s="27" t="s">
        <v>1445</v>
      </c>
      <c r="J197" s="27" t="str">
        <f>VLOOKUP(I197,'Geneva investment position repo'!R:AS,28,0)</f>
        <v>Corporate</v>
      </c>
      <c r="K197" s="44">
        <f>VLOOKUP(I197,'Geneva investment position repo'!R:AB,11,0)</f>
        <v>1524805.4437564497</v>
      </c>
      <c r="L197" s="35">
        <f>VLOOKUP(I197,'Geneva investment position repo'!R:AB,9,0)</f>
        <v>8.9899999999999997E-3</v>
      </c>
      <c r="M197" s="27">
        <v>1</v>
      </c>
      <c r="N197" s="27"/>
      <c r="O197" s="27"/>
      <c r="P197" s="27"/>
      <c r="Q197" s="27"/>
      <c r="R197" s="27"/>
      <c r="S197" s="27"/>
    </row>
    <row r="198" spans="1:19">
      <c r="A198" s="27" t="str">
        <f>_xll.BDP(B198&amp;" FIGI", "SECURITY_NAME")</f>
        <v>MDLNIJ 6.95 04/13/24</v>
      </c>
      <c r="B198" t="s">
        <v>1136</v>
      </c>
      <c r="C198" s="27" t="str">
        <f>VLOOKUP(B198,'Geneva investment position repo'!R:AS,28,0)</f>
        <v>Corporate</v>
      </c>
      <c r="D198" s="44">
        <f>VLOOKUP(B198,'Geneva investment position repo'!R:AB,11,0)</f>
        <v>3028408.6932404544</v>
      </c>
      <c r="E198" s="35">
        <f>VLOOKUP(B198,'Geneva investment position repo'!R:AB,9,0)</f>
        <v>7.9551999999999998E-2</v>
      </c>
      <c r="F198" s="27">
        <v>1</v>
      </c>
      <c r="G198" s="27"/>
      <c r="H198" s="27" t="str">
        <f>_xll.BDP(I198&amp;" FIGI", "SECURITY_NAME")</f>
        <v>SUNAC 8 5/8 07/27/20</v>
      </c>
      <c r="I198" s="27" t="s">
        <v>202</v>
      </c>
      <c r="J198" s="27" t="str">
        <f>VLOOKUP(I198,'Geneva investment position repo'!R:AS,28,0)</f>
        <v>Corporate</v>
      </c>
      <c r="K198" s="44">
        <f>VLOOKUP(I198,'Geneva investment position repo'!R:AB,11,0)</f>
        <v>2054625.305727554</v>
      </c>
      <c r="L198" s="35">
        <f>VLOOKUP(I198,'Geneva investment position repo'!R:AB,9,0)</f>
        <v>9.7979999999999994E-3</v>
      </c>
      <c r="M198" s="27">
        <v>1</v>
      </c>
      <c r="N198" s="27"/>
      <c r="O198" s="27"/>
      <c r="P198" s="27"/>
      <c r="Q198" s="27"/>
      <c r="R198" s="27"/>
      <c r="S198" s="27"/>
    </row>
    <row r="199" spans="1:19">
      <c r="A199" s="27" t="str">
        <f>_xll.BDP(B199&amp;" FIGI", "SECURITY_NAME")</f>
        <v>PETMK 4.55 04/21/50</v>
      </c>
      <c r="B199" s="27" t="s">
        <v>2006</v>
      </c>
      <c r="C199" s="27" t="str">
        <f>VLOOKUP(B199,'Geneva investment position repo'!R:AS,28,0)</f>
        <v>Corporate</v>
      </c>
      <c r="D199" s="44">
        <f>VLOOKUP(B199,'Geneva investment position repo'!R:AB,11,0)</f>
        <v>2201243.7577399379</v>
      </c>
      <c r="E199" s="35">
        <f>VLOOKUP(B199,'Geneva investment position repo'!R:AB,9,0)</f>
        <v>7.8344999999999998E-2</v>
      </c>
      <c r="F199" s="27">
        <v>1</v>
      </c>
      <c r="G199" s="27"/>
      <c r="H199" s="27" t="str">
        <f>_xll.BDP(I199&amp;" FIGI", "SECURITY_NAME")</f>
        <v>YGCZCH 4 3/4 11/30/20</v>
      </c>
      <c r="I199" s="27" t="s">
        <v>213</v>
      </c>
      <c r="J199" s="27" t="str">
        <f>VLOOKUP(I199,'Geneva investment position repo'!R:AS,28,0)</f>
        <v>Corporate</v>
      </c>
      <c r="K199" s="44">
        <f>VLOOKUP(I199,'Geneva investment position repo'!R:AB,11,0)</f>
        <v>2030731.6795665636</v>
      </c>
      <c r="L199" s="35">
        <f>VLOOKUP(I199,'Geneva investment position repo'!R:AB,9,0)</f>
        <v>9.9570000000000006E-3</v>
      </c>
      <c r="M199" s="27">
        <v>1</v>
      </c>
      <c r="N199" s="27"/>
      <c r="O199" s="27"/>
      <c r="P199" s="27"/>
      <c r="Q199" s="27"/>
      <c r="R199" s="27"/>
      <c r="S199" s="27"/>
    </row>
    <row r="200" spans="1:19">
      <c r="A200" s="27"/>
      <c r="B200" s="27"/>
      <c r="C200" s="27"/>
      <c r="D200" s="27"/>
      <c r="E200" s="27"/>
      <c r="F200" s="27"/>
      <c r="G200" s="27"/>
      <c r="H200" s="27"/>
      <c r="I200" s="27"/>
      <c r="J200" s="27"/>
      <c r="K200" s="27"/>
      <c r="L200" s="27"/>
      <c r="M200" s="27"/>
      <c r="N200" s="27"/>
      <c r="O200" s="27"/>
      <c r="P200" s="27"/>
      <c r="Q200" s="27"/>
      <c r="R200" s="27"/>
      <c r="S200" s="27"/>
    </row>
    <row r="201" spans="1:19">
      <c r="A201" s="52" t="s">
        <v>488</v>
      </c>
      <c r="B201" s="27"/>
      <c r="C201" s="27"/>
      <c r="D201" s="27"/>
      <c r="E201" s="27"/>
      <c r="F201" s="27"/>
      <c r="G201" s="27"/>
      <c r="H201" s="27"/>
      <c r="I201" s="27"/>
      <c r="J201" s="27"/>
      <c r="K201" s="27"/>
      <c r="L201" s="27"/>
      <c r="M201" s="27"/>
      <c r="N201" s="27"/>
      <c r="O201" s="27"/>
      <c r="P201" s="27"/>
      <c r="S201" s="27"/>
    </row>
    <row r="202" spans="1:19">
      <c r="A202" s="27" t="s">
        <v>765</v>
      </c>
      <c r="B202" s="27"/>
      <c r="C202" s="27"/>
      <c r="D202" s="27"/>
      <c r="E202" s="27"/>
      <c r="F202" s="27"/>
      <c r="G202" s="27"/>
      <c r="H202" s="27"/>
      <c r="I202" s="27"/>
      <c r="J202" s="27"/>
      <c r="K202" s="27"/>
      <c r="L202" s="27"/>
      <c r="M202" s="27"/>
      <c r="N202" s="27"/>
      <c r="O202" s="27"/>
      <c r="P202" s="27"/>
      <c r="S202" s="27"/>
    </row>
    <row r="203" spans="1:19">
      <c r="A203" s="27" t="s">
        <v>766</v>
      </c>
      <c r="B203" s="27"/>
      <c r="C203" s="27"/>
      <c r="D203" s="27"/>
      <c r="E203" s="27"/>
      <c r="F203" s="27"/>
      <c r="G203" s="27"/>
      <c r="H203" s="27"/>
      <c r="I203" s="27"/>
      <c r="J203" s="27"/>
      <c r="K203" s="27"/>
      <c r="L203" s="27"/>
      <c r="M203" s="27"/>
      <c r="N203" s="27"/>
      <c r="O203" s="27"/>
      <c r="P203" s="27"/>
      <c r="S203" s="27"/>
    </row>
    <row r="204" spans="1:19">
      <c r="A204" s="27" t="s">
        <v>924</v>
      </c>
      <c r="B204" s="27"/>
      <c r="C204" s="27"/>
      <c r="D204" s="27"/>
      <c r="E204" s="27"/>
      <c r="F204" s="27"/>
      <c r="G204" s="27"/>
      <c r="H204" s="27"/>
      <c r="I204" s="27"/>
      <c r="J204" s="27"/>
      <c r="K204" s="27"/>
      <c r="L204" s="27"/>
      <c r="M204" s="27"/>
      <c r="N204" s="27"/>
      <c r="O204" s="27"/>
      <c r="P204" s="27"/>
      <c r="S204" s="27"/>
    </row>
    <row r="205" spans="1:19">
      <c r="A205" s="27" t="s">
        <v>991</v>
      </c>
      <c r="B205" s="27"/>
      <c r="C205" s="27"/>
      <c r="D205" s="27"/>
      <c r="E205" s="27"/>
      <c r="F205" s="27"/>
      <c r="G205" s="27"/>
      <c r="H205" s="27"/>
      <c r="I205" s="27"/>
      <c r="J205" s="27"/>
      <c r="K205" s="27"/>
      <c r="L205" s="27"/>
      <c r="M205" s="27"/>
      <c r="N205" s="27"/>
      <c r="O205" s="27"/>
      <c r="P205" s="27"/>
      <c r="S205" s="27"/>
    </row>
    <row r="206" spans="1:19">
      <c r="A206" s="27" t="s">
        <v>925</v>
      </c>
      <c r="B206" s="27"/>
      <c r="C206" s="27"/>
      <c r="D206" s="27"/>
      <c r="E206" s="27"/>
      <c r="F206" s="27"/>
      <c r="G206" s="27"/>
      <c r="H206" s="27"/>
      <c r="I206" s="27"/>
      <c r="J206" s="27"/>
      <c r="K206" s="27"/>
      <c r="L206" s="27"/>
      <c r="M206" s="27"/>
      <c r="N206" s="27"/>
      <c r="O206" s="27"/>
      <c r="P206" s="27"/>
      <c r="S206" s="27"/>
    </row>
    <row r="207" spans="1:19">
      <c r="A207" s="27" t="s">
        <v>926</v>
      </c>
      <c r="B207" s="27"/>
      <c r="C207" s="27"/>
      <c r="D207" s="27"/>
      <c r="E207" s="27"/>
      <c r="F207" s="27"/>
      <c r="G207" s="27"/>
      <c r="H207" s="27"/>
      <c r="I207" s="27"/>
      <c r="J207" s="27"/>
      <c r="K207" s="27"/>
      <c r="L207" s="27"/>
      <c r="M207" s="27"/>
      <c r="N207" s="27"/>
      <c r="O207" s="27"/>
      <c r="P207" s="27"/>
      <c r="S207" s="27"/>
    </row>
  </sheetData>
  <pageMargins left="0.25" right="0.25" top="0.75" bottom="0.75" header="0.3" footer="0.3"/>
  <pageSetup paperSize="8" scale="53" fitToHeight="0" orientation="landscape" r:id="rId1"/>
  <rowBreaks count="2" manualBreakCount="2">
    <brk id="81" max="18" man="1"/>
    <brk id="142" max="18"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BD60A-859B-42B1-A925-EBDBBC7F6682}">
  <sheetPr codeName="Sheet18">
    <pageSetUpPr fitToPage="1"/>
  </sheetPr>
  <dimension ref="A1:V298"/>
  <sheetViews>
    <sheetView view="pageBreakPreview" topLeftCell="B55" zoomScaleNormal="100" zoomScaleSheetLayoutView="100" workbookViewId="0">
      <selection activeCell="B46" sqref="B46"/>
    </sheetView>
  </sheetViews>
  <sheetFormatPr defaultRowHeight="14.4" outlineLevelRow="1" outlineLevelCol="1"/>
  <cols>
    <col min="1" max="1" width="9.109375" hidden="1" customWidth="1" outlineLevel="1"/>
    <col min="2" max="2" width="30.44140625" customWidth="1" collapsed="1"/>
    <col min="3" max="8" width="10.6640625" customWidth="1"/>
    <col min="9" max="9" width="14" customWidth="1"/>
    <col min="10" max="10" width="10.6640625" customWidth="1"/>
    <col min="11" max="11" width="17.6640625" customWidth="1"/>
    <col min="12" max="12" width="14.44140625" customWidth="1"/>
  </cols>
  <sheetData>
    <row r="1" spans="1:20">
      <c r="A1" s="27"/>
      <c r="B1" s="27"/>
      <c r="C1" s="27"/>
      <c r="D1" s="27"/>
      <c r="E1" s="27"/>
      <c r="F1" s="27"/>
      <c r="G1" s="27"/>
      <c r="H1" s="27"/>
      <c r="I1" s="27"/>
      <c r="J1" s="27"/>
      <c r="K1" s="27"/>
      <c r="L1" s="27"/>
      <c r="M1" s="27"/>
      <c r="N1" s="27"/>
      <c r="O1" s="27"/>
      <c r="P1" s="27"/>
      <c r="Q1" s="27"/>
      <c r="R1" s="27"/>
      <c r="S1" s="27"/>
      <c r="T1" s="27"/>
    </row>
    <row r="2" spans="1:20" ht="15.6">
      <c r="A2" s="27"/>
      <c r="B2" s="40" t="str">
        <f>'SFC Report'!A2</f>
        <v>Fund Name :</v>
      </c>
      <c r="C2" s="40" t="str">
        <f>'SFC Report'!B2</f>
        <v>China Life Franklin Diversified Income Fund</v>
      </c>
      <c r="D2" s="27"/>
      <c r="E2" s="27"/>
      <c r="F2" s="27"/>
      <c r="G2" s="27"/>
      <c r="H2" s="27"/>
      <c r="I2" s="27"/>
      <c r="J2" s="27"/>
      <c r="K2" s="27"/>
      <c r="L2" s="27"/>
      <c r="M2" s="27"/>
      <c r="N2" s="27"/>
      <c r="O2" s="27"/>
      <c r="P2" s="27"/>
      <c r="Q2" s="27"/>
      <c r="R2" s="27"/>
      <c r="S2" s="27"/>
      <c r="T2" s="27"/>
    </row>
    <row r="3" spans="1:20" ht="15.6">
      <c r="A3" s="27"/>
      <c r="B3" s="40" t="str">
        <f>'SFC Report'!A3</f>
        <v>Fund Account :</v>
      </c>
      <c r="C3" s="145">
        <f>'SFC Report'!B3</f>
        <v>19437</v>
      </c>
      <c r="D3" s="27"/>
      <c r="E3" s="27"/>
      <c r="F3" s="27"/>
      <c r="G3" s="27"/>
      <c r="H3" s="27"/>
      <c r="I3" s="27"/>
      <c r="J3" s="27"/>
      <c r="K3" s="27"/>
      <c r="L3" s="27"/>
      <c r="M3" s="27"/>
      <c r="N3" s="27"/>
      <c r="O3" s="27"/>
      <c r="P3" s="27"/>
      <c r="Q3" s="27"/>
      <c r="R3" s="27"/>
      <c r="S3" s="27"/>
      <c r="T3" s="27"/>
    </row>
    <row r="4" spans="1:20" ht="15.6">
      <c r="A4" s="27"/>
      <c r="B4" s="40" t="str">
        <f>'SFC Report'!A4</f>
        <v>AuM (USD m) :</v>
      </c>
      <c r="C4" s="146">
        <f>'SFC Report'!B4</f>
        <v>593.02957296955594</v>
      </c>
      <c r="D4" s="27"/>
      <c r="E4" s="27"/>
      <c r="F4" s="27"/>
      <c r="G4" s="27"/>
      <c r="H4" s="27"/>
      <c r="I4" s="27"/>
      <c r="J4" s="27"/>
      <c r="K4" s="27"/>
      <c r="L4" s="27"/>
      <c r="M4" s="27"/>
      <c r="N4" s="27"/>
      <c r="O4" s="27"/>
      <c r="P4" s="27"/>
      <c r="Q4" s="27"/>
      <c r="R4" s="27"/>
      <c r="S4" s="27"/>
      <c r="T4" s="27"/>
    </row>
    <row r="5" spans="1:20" ht="31.2">
      <c r="A5" s="27"/>
      <c r="B5" s="147" t="str">
        <f>'SFC Report'!A5</f>
        <v>Average Credit Rating 
(Fixed Income ex Cash) :</v>
      </c>
      <c r="C5" s="148" t="str">
        <f>'SFC Report'!B5</f>
        <v>BB-</v>
      </c>
      <c r="D5" s="27"/>
      <c r="E5" s="27"/>
      <c r="F5" s="27"/>
      <c r="G5" s="27"/>
      <c r="H5" s="27"/>
      <c r="I5" s="27"/>
      <c r="J5" s="27"/>
      <c r="K5" s="27"/>
      <c r="L5" s="27"/>
      <c r="M5" s="27"/>
      <c r="N5" s="27"/>
      <c r="O5" s="27"/>
      <c r="P5" s="27"/>
      <c r="Q5" s="27"/>
      <c r="R5" s="27"/>
      <c r="S5" s="27"/>
      <c r="T5" s="27"/>
    </row>
    <row r="6" spans="1:20" ht="31.2">
      <c r="A6" s="27"/>
      <c r="B6" s="149" t="str">
        <f>'SFC Report'!A6</f>
        <v>Average YTM 
(Ex Cash and Derivatives) :</v>
      </c>
      <c r="C6" s="148" t="e">
        <f>'SFC Report'!B6</f>
        <v>#VALUE!</v>
      </c>
      <c r="D6" s="27"/>
      <c r="E6" s="27"/>
      <c r="F6" s="27"/>
      <c r="G6" s="27"/>
      <c r="H6" s="27"/>
      <c r="I6" s="27"/>
      <c r="J6" s="27"/>
      <c r="K6" s="27"/>
      <c r="L6" s="27"/>
      <c r="M6" s="27"/>
      <c r="N6" s="27"/>
      <c r="O6" s="27"/>
      <c r="P6" s="27"/>
      <c r="Q6" s="27"/>
      <c r="R6" s="27"/>
      <c r="S6" s="27"/>
      <c r="T6" s="27"/>
    </row>
    <row r="7" spans="1:20" ht="31.2">
      <c r="A7" s="27"/>
      <c r="B7" s="149" t="str">
        <f>'SFC Report'!A7</f>
        <v>Average Duration 
(Ex Cash) :</v>
      </c>
      <c r="C7" s="148" t="e">
        <f>'SFC Report'!B7</f>
        <v>#VALUE!</v>
      </c>
      <c r="D7" s="27"/>
      <c r="E7" s="27"/>
      <c r="F7" s="27"/>
      <c r="G7" s="27"/>
      <c r="H7" s="27"/>
      <c r="I7" s="27"/>
      <c r="J7" s="27"/>
      <c r="K7" s="27"/>
      <c r="L7" s="27"/>
      <c r="M7" s="27"/>
      <c r="N7" s="27"/>
      <c r="O7" s="27"/>
      <c r="P7" s="27"/>
      <c r="Q7" s="27"/>
      <c r="R7" s="27"/>
      <c r="S7" s="27"/>
      <c r="T7" s="27"/>
    </row>
    <row r="8" spans="1:20" ht="31.2" hidden="1" outlineLevel="1">
      <c r="A8" s="27"/>
      <c r="B8" s="149" t="str">
        <f>'SFC Report'!A8</f>
        <v>Average Maturity 
(Ex Cash and Derivatives) :</v>
      </c>
      <c r="C8" s="148">
        <f ca="1">'SFC Report'!B8</f>
        <v>31.79372115298807</v>
      </c>
      <c r="D8" s="27"/>
      <c r="E8" s="27"/>
      <c r="F8" s="27"/>
      <c r="G8" s="27"/>
      <c r="H8" s="27"/>
      <c r="I8" s="27"/>
      <c r="J8" s="27"/>
      <c r="K8" s="27"/>
      <c r="L8" s="27"/>
      <c r="M8" s="27"/>
      <c r="N8" s="27"/>
      <c r="O8" s="27"/>
      <c r="P8" s="27"/>
      <c r="Q8" s="27"/>
      <c r="R8" s="27"/>
      <c r="S8" s="27"/>
      <c r="T8" s="27"/>
    </row>
    <row r="9" spans="1:20" ht="15.6" collapsed="1">
      <c r="A9" s="27"/>
      <c r="B9" s="149" t="str">
        <f>'SFC Report'!A9</f>
        <v>Net Derivative Exposure :</v>
      </c>
      <c r="C9" s="256">
        <f>'SFC Report'!B9</f>
        <v>2.1101702501813403E-2</v>
      </c>
      <c r="D9" s="27"/>
      <c r="E9" s="27"/>
      <c r="F9" s="27"/>
      <c r="G9" s="27"/>
      <c r="H9" s="27"/>
      <c r="I9" s="27"/>
      <c r="J9" s="27"/>
      <c r="K9" s="27"/>
      <c r="L9" s="27"/>
      <c r="M9" s="27"/>
      <c r="N9" s="27"/>
      <c r="O9" s="27"/>
      <c r="P9" s="27"/>
      <c r="Q9" s="27"/>
      <c r="R9" s="27"/>
      <c r="S9" s="27"/>
      <c r="T9" s="27"/>
    </row>
    <row r="10" spans="1:20" ht="15.6">
      <c r="A10" s="27"/>
      <c r="B10" s="149" t="str">
        <f>'SFC Report'!A10</f>
        <v>95% 1-month VaR (Hist 2Y) :</v>
      </c>
      <c r="C10" s="177">
        <f>'SFC Report'!B10</f>
        <v>1.5800000000000002E-2</v>
      </c>
      <c r="D10" s="27"/>
      <c r="E10" s="27"/>
      <c r="F10" s="27"/>
      <c r="G10" s="27"/>
      <c r="H10" s="27"/>
      <c r="I10" s="27"/>
      <c r="J10" s="27"/>
      <c r="K10" s="27"/>
      <c r="L10" s="27"/>
      <c r="M10" s="27"/>
      <c r="N10" s="27"/>
      <c r="O10" s="27"/>
      <c r="P10" s="27"/>
      <c r="Q10" s="27"/>
      <c r="R10" s="27"/>
      <c r="S10" s="27"/>
      <c r="T10" s="27"/>
    </row>
    <row r="11" spans="1:20" ht="15.6">
      <c r="A11" s="27"/>
      <c r="B11" s="149" t="str">
        <f>'SFC Report'!A11</f>
        <v>95% 1-month CVaR (Hist 2Y) :</v>
      </c>
      <c r="C11" s="177">
        <f>'SFC Report'!B11</f>
        <v>3.6000000000000004E-2</v>
      </c>
      <c r="D11" s="27"/>
      <c r="E11" s="27"/>
      <c r="F11" s="27"/>
      <c r="G11" s="27"/>
      <c r="H11" s="27"/>
      <c r="I11" s="27"/>
      <c r="J11" s="27"/>
      <c r="K11" s="27"/>
      <c r="L11" s="27"/>
      <c r="M11" s="27"/>
      <c r="N11" s="27"/>
      <c r="O11" s="27"/>
      <c r="P11" s="27"/>
      <c r="Q11" s="27"/>
      <c r="R11" s="27"/>
      <c r="S11" s="27"/>
      <c r="T11" s="27"/>
    </row>
    <row r="12" spans="1:20" ht="31.2" hidden="1" outlineLevel="1">
      <c r="A12" s="27"/>
      <c r="B12" s="149" t="str">
        <f>'SFC Report'!A12</f>
        <v>Stress Test - Lehman Default 2008 :</v>
      </c>
      <c r="C12" s="177">
        <f>'SFC Report'!B12</f>
        <v>-4.3400000000000001E-2</v>
      </c>
      <c r="D12" s="27"/>
      <c r="E12" s="27"/>
      <c r="F12" s="27"/>
      <c r="G12" s="27"/>
      <c r="H12" s="27"/>
      <c r="I12" s="27"/>
      <c r="J12" s="27"/>
      <c r="K12" s="27"/>
      <c r="L12" s="27"/>
      <c r="M12" s="27"/>
      <c r="N12" s="27"/>
      <c r="O12" s="27"/>
      <c r="P12" s="27"/>
      <c r="Q12" s="27"/>
      <c r="R12" s="27"/>
      <c r="S12" s="27"/>
      <c r="T12" s="27"/>
    </row>
    <row r="13" spans="1:20" ht="15.6" collapsed="1">
      <c r="A13" s="27"/>
      <c r="B13" s="40" t="str">
        <f>'SFC Report'!A13</f>
        <v>Valuation Date :</v>
      </c>
      <c r="C13" s="275">
        <f ca="1">'SFC Report'!B13</f>
        <v>43951</v>
      </c>
      <c r="D13" s="275"/>
      <c r="E13" s="27"/>
      <c r="F13" s="27"/>
      <c r="G13" s="27"/>
      <c r="H13" s="27"/>
      <c r="I13" s="27"/>
      <c r="J13" s="241"/>
      <c r="K13" s="27"/>
      <c r="L13" s="27"/>
      <c r="M13" s="27"/>
      <c r="N13" s="27"/>
      <c r="O13" s="27"/>
      <c r="P13" s="27"/>
      <c r="Q13" s="27"/>
      <c r="R13" s="27"/>
      <c r="S13" s="27"/>
      <c r="T13" s="27"/>
    </row>
    <row r="14" spans="1:20">
      <c r="A14" s="27"/>
      <c r="B14" s="27"/>
      <c r="C14" s="27"/>
      <c r="D14" s="27"/>
      <c r="E14" s="27"/>
      <c r="F14" s="27"/>
      <c r="G14" s="27"/>
      <c r="H14" s="27"/>
      <c r="I14" s="27"/>
      <c r="J14" s="27"/>
      <c r="K14" s="27"/>
      <c r="L14" s="27"/>
      <c r="M14" s="27"/>
      <c r="N14" s="27"/>
      <c r="O14" s="27"/>
      <c r="P14" s="27"/>
      <c r="Q14" s="27"/>
      <c r="R14" s="27"/>
      <c r="S14" s="27"/>
      <c r="T14" s="27"/>
    </row>
    <row r="15" spans="1:20" ht="18">
      <c r="A15" s="27"/>
      <c r="B15" s="73" t="s">
        <v>1020</v>
      </c>
      <c r="C15" s="27"/>
      <c r="D15" s="27"/>
      <c r="E15" s="27"/>
      <c r="F15" s="27"/>
      <c r="G15" s="27"/>
      <c r="H15" s="27"/>
      <c r="I15" s="27"/>
      <c r="J15" s="27"/>
      <c r="K15" s="27"/>
      <c r="L15" s="27"/>
      <c r="M15" s="27"/>
      <c r="N15" s="27"/>
      <c r="O15" s="27"/>
      <c r="P15" s="27"/>
      <c r="Q15" s="27"/>
      <c r="R15" s="27"/>
      <c r="S15" s="27"/>
      <c r="T15" s="27"/>
    </row>
    <row r="16" spans="1:20">
      <c r="A16" s="27"/>
      <c r="B16" s="74"/>
      <c r="C16" s="27"/>
      <c r="D16" s="27"/>
      <c r="E16" s="27"/>
      <c r="F16" s="27"/>
      <c r="G16" s="27"/>
      <c r="H16" s="27"/>
      <c r="I16" s="27"/>
      <c r="J16" s="27"/>
      <c r="K16" s="27"/>
      <c r="L16" s="27"/>
      <c r="M16" s="27"/>
      <c r="N16" s="27"/>
      <c r="O16" s="27"/>
      <c r="P16" s="27"/>
      <c r="Q16" s="27"/>
      <c r="R16" s="27"/>
      <c r="S16" s="27"/>
      <c r="T16" s="27"/>
    </row>
    <row r="17" spans="1:22">
      <c r="A17" s="27"/>
      <c r="B17" s="223"/>
      <c r="C17" s="224">
        <f ca="1">C13</f>
        <v>43951</v>
      </c>
      <c r="D17" s="225"/>
      <c r="E17" s="225"/>
      <c r="F17" s="226"/>
      <c r="G17" s="224">
        <f ca="1">EOMONTH(C17,-1)</f>
        <v>43921</v>
      </c>
      <c r="H17" s="227"/>
      <c r="I17" s="227"/>
      <c r="J17" s="228"/>
      <c r="K17" s="27"/>
      <c r="L17" s="27"/>
      <c r="M17" s="27"/>
      <c r="N17" s="27"/>
      <c r="O17" s="27"/>
      <c r="P17" s="27"/>
      <c r="Q17" s="27"/>
      <c r="R17" s="27"/>
      <c r="S17" s="27"/>
      <c r="T17" s="27"/>
    </row>
    <row r="18" spans="1:22">
      <c r="A18" s="27"/>
      <c r="B18" s="229"/>
      <c r="C18" s="273" t="s">
        <v>1012</v>
      </c>
      <c r="D18" s="274"/>
      <c r="E18" s="273" t="s">
        <v>1019</v>
      </c>
      <c r="F18" s="274"/>
      <c r="G18" s="273" t="s">
        <v>1012</v>
      </c>
      <c r="H18" s="274"/>
      <c r="I18" s="273" t="s">
        <v>1019</v>
      </c>
      <c r="J18" s="274"/>
      <c r="K18" s="27"/>
      <c r="L18" s="27"/>
      <c r="M18" s="27"/>
      <c r="N18" s="27"/>
      <c r="O18" s="27"/>
      <c r="P18" s="27"/>
      <c r="Q18" s="27"/>
      <c r="R18" s="27"/>
      <c r="S18" s="27"/>
      <c r="T18" s="27"/>
    </row>
    <row r="19" spans="1:22">
      <c r="A19" s="27"/>
      <c r="B19" s="230" t="s">
        <v>1021</v>
      </c>
      <c r="C19" s="231" t="s">
        <v>811</v>
      </c>
      <c r="D19" s="232" t="s">
        <v>1022</v>
      </c>
      <c r="E19" s="231" t="s">
        <v>811</v>
      </c>
      <c r="F19" s="233" t="s">
        <v>1022</v>
      </c>
      <c r="G19" s="231" t="s">
        <v>811</v>
      </c>
      <c r="H19" s="233" t="s">
        <v>1022</v>
      </c>
      <c r="I19" s="232" t="s">
        <v>811</v>
      </c>
      <c r="J19" s="233" t="s">
        <v>1022</v>
      </c>
      <c r="K19" s="27"/>
      <c r="L19" s="27"/>
      <c r="M19" s="27"/>
      <c r="N19" s="27"/>
      <c r="O19" s="27"/>
      <c r="P19" s="27"/>
      <c r="Q19" s="27"/>
      <c r="R19" s="27"/>
      <c r="S19" s="27"/>
      <c r="T19" s="27"/>
    </row>
    <row r="20" spans="1:22">
      <c r="A20" s="27"/>
      <c r="B20" s="234"/>
      <c r="C20" s="235"/>
      <c r="D20" s="236"/>
      <c r="E20" s="237"/>
      <c r="F20" s="237"/>
      <c r="G20" s="235"/>
      <c r="H20" s="236"/>
      <c r="I20" s="237"/>
      <c r="J20" s="236"/>
      <c r="K20" s="27"/>
      <c r="L20" s="27"/>
      <c r="M20" s="27"/>
      <c r="N20" s="27"/>
      <c r="O20" s="27"/>
      <c r="P20" s="27"/>
      <c r="Q20" s="27"/>
      <c r="R20" s="27"/>
      <c r="S20" s="27"/>
      <c r="T20" s="27"/>
    </row>
    <row r="21" spans="1:22">
      <c r="A21" s="27"/>
      <c r="B21" s="207" t="s">
        <v>235</v>
      </c>
      <c r="C21" s="208">
        <v>9.300000000000001E-3</v>
      </c>
      <c r="D21" s="208">
        <v>0</v>
      </c>
      <c r="E21" s="208">
        <v>5.6600000000000004E-2</v>
      </c>
      <c r="F21" s="208">
        <v>0</v>
      </c>
      <c r="G21" s="208">
        <v>9.1000000000000004E-3</v>
      </c>
      <c r="H21" s="208">
        <v>0</v>
      </c>
      <c r="I21" s="208">
        <v>5.7699999999999994E-2</v>
      </c>
      <c r="J21" s="209">
        <v>0</v>
      </c>
      <c r="K21" s="27"/>
      <c r="L21" s="27"/>
      <c r="M21" s="27"/>
      <c r="N21" s="27"/>
      <c r="O21" s="27"/>
      <c r="P21" s="27"/>
      <c r="Q21" s="27"/>
      <c r="R21" s="27"/>
      <c r="S21" s="27"/>
      <c r="T21" s="27"/>
      <c r="V21" s="242">
        <f>I21-I22-I23-I24</f>
        <v>-1.3441281000000161E-3</v>
      </c>
    </row>
    <row r="22" spans="1:22">
      <c r="A22" s="27"/>
      <c r="B22" s="210" t="s">
        <v>442</v>
      </c>
      <c r="C22" s="211">
        <v>1.04E-2</v>
      </c>
      <c r="D22" s="212">
        <v>0</v>
      </c>
      <c r="E22" s="212">
        <v>6.6173720199999994E-2</v>
      </c>
      <c r="F22" s="212">
        <v>0</v>
      </c>
      <c r="G22" s="212">
        <v>1.01E-2</v>
      </c>
      <c r="H22" s="212">
        <v>0</v>
      </c>
      <c r="I22" s="212">
        <v>6.491461250000001E-2</v>
      </c>
      <c r="J22" s="213">
        <v>0</v>
      </c>
      <c r="K22" s="27"/>
      <c r="L22" s="27"/>
      <c r="M22" s="27"/>
      <c r="N22" s="27"/>
      <c r="O22" s="27"/>
      <c r="P22" s="27"/>
      <c r="Q22" s="27"/>
      <c r="R22" s="27"/>
      <c r="S22" s="27"/>
      <c r="T22" s="27"/>
      <c r="V22" s="242"/>
    </row>
    <row r="23" spans="1:22">
      <c r="A23" s="27"/>
      <c r="B23" s="210" t="s">
        <v>1016</v>
      </c>
      <c r="C23" s="211">
        <v>8.0000000000000004E-4</v>
      </c>
      <c r="D23" s="212">
        <v>0</v>
      </c>
      <c r="E23" s="212">
        <v>-2.8123828999999999E-3</v>
      </c>
      <c r="F23" s="212">
        <v>0</v>
      </c>
      <c r="G23" s="212">
        <v>7.000000000000001E-4</v>
      </c>
      <c r="H23" s="212">
        <v>0</v>
      </c>
      <c r="I23" s="212">
        <v>-2.2734507E-3</v>
      </c>
      <c r="J23" s="213">
        <v>0</v>
      </c>
      <c r="K23" s="27"/>
      <c r="L23" s="27"/>
      <c r="M23" s="27"/>
      <c r="N23" s="27"/>
      <c r="O23" s="27"/>
      <c r="P23" s="27"/>
      <c r="Q23" s="27"/>
      <c r="R23" s="27"/>
      <c r="S23" s="27"/>
      <c r="T23" s="27"/>
      <c r="V23" s="243"/>
    </row>
    <row r="24" spans="1:22">
      <c r="A24" s="27"/>
      <c r="B24" s="210" t="s">
        <v>1017</v>
      </c>
      <c r="C24" s="211">
        <v>1.1000000000000001E-3</v>
      </c>
      <c r="D24" s="212">
        <v>0</v>
      </c>
      <c r="E24" s="212">
        <v>-5.4841392999999995E-3</v>
      </c>
      <c r="F24" s="212">
        <v>0</v>
      </c>
      <c r="G24" s="212">
        <v>8.9999999999999998E-4</v>
      </c>
      <c r="H24" s="212">
        <v>0</v>
      </c>
      <c r="I24" s="212">
        <v>-3.5970336999999993E-3</v>
      </c>
      <c r="J24" s="213">
        <v>0</v>
      </c>
      <c r="K24" s="27"/>
      <c r="L24" s="27"/>
      <c r="M24" s="27"/>
      <c r="N24" s="27"/>
      <c r="O24" s="27"/>
      <c r="P24" s="27"/>
      <c r="Q24" s="27"/>
      <c r="R24" s="27"/>
      <c r="S24" s="27"/>
      <c r="T24" s="27"/>
      <c r="V24" s="243"/>
    </row>
    <row r="25" spans="1:22">
      <c r="A25" s="27"/>
      <c r="B25" s="210"/>
      <c r="C25" s="211"/>
      <c r="D25" s="212"/>
      <c r="E25" s="212"/>
      <c r="F25" s="212"/>
      <c r="G25" s="212"/>
      <c r="H25" s="212"/>
      <c r="I25" s="212"/>
      <c r="J25" s="213"/>
      <c r="K25" s="27"/>
      <c r="L25" s="27"/>
      <c r="M25" s="27"/>
      <c r="N25" s="27"/>
      <c r="O25" s="27"/>
      <c r="P25" s="27"/>
      <c r="Q25" s="27"/>
      <c r="R25" s="27"/>
      <c r="S25" s="27"/>
      <c r="T25" s="27"/>
      <c r="V25" s="242">
        <f>I26-I27-I28</f>
        <v>-1.2796699999972905E-4</v>
      </c>
    </row>
    <row r="26" spans="1:22">
      <c r="A26" s="27"/>
      <c r="B26" s="207" t="s">
        <v>404</v>
      </c>
      <c r="C26" s="208">
        <v>9.6300000000000011E-2</v>
      </c>
      <c r="D26" s="208">
        <v>0</v>
      </c>
      <c r="E26" s="208">
        <v>0.93559999999999999</v>
      </c>
      <c r="F26" s="208">
        <v>0</v>
      </c>
      <c r="G26" s="208">
        <v>9.9299999999999999E-2</v>
      </c>
      <c r="H26" s="214">
        <v>0</v>
      </c>
      <c r="I26" s="208">
        <v>0.93168666780000009</v>
      </c>
      <c r="J26" s="209">
        <v>0</v>
      </c>
      <c r="L26" s="27"/>
      <c r="M26" s="27"/>
      <c r="N26" s="27"/>
      <c r="O26" s="27"/>
      <c r="P26" s="27"/>
      <c r="Q26" s="27"/>
      <c r="R26" s="27"/>
      <c r="S26" s="27"/>
      <c r="T26" s="27"/>
      <c r="V26" s="242"/>
    </row>
    <row r="27" spans="1:22">
      <c r="A27" s="27"/>
      <c r="B27" s="210" t="s">
        <v>1015</v>
      </c>
      <c r="C27" s="211">
        <v>2.1499999999999998E-2</v>
      </c>
      <c r="D27" s="212">
        <v>0</v>
      </c>
      <c r="E27" s="212">
        <v>-1.10452928E-2</v>
      </c>
      <c r="F27" s="212">
        <v>0</v>
      </c>
      <c r="G27" s="212">
        <v>1.8500000000000003E-2</v>
      </c>
      <c r="H27" s="212">
        <v>0</v>
      </c>
      <c r="I27" s="212">
        <v>-2.2989602199999997E-2</v>
      </c>
      <c r="J27" s="213">
        <v>0</v>
      </c>
      <c r="K27" s="27"/>
      <c r="L27" s="27"/>
      <c r="M27" s="27"/>
      <c r="N27" s="27"/>
      <c r="O27" s="27"/>
      <c r="P27" s="27"/>
      <c r="Q27" s="27"/>
      <c r="R27" s="27"/>
      <c r="S27" s="27"/>
      <c r="T27" s="27"/>
    </row>
    <row r="28" spans="1:22">
      <c r="A28" s="27"/>
      <c r="B28" s="210" t="s">
        <v>1018</v>
      </c>
      <c r="C28" s="211">
        <v>9.9100000000000008E-2</v>
      </c>
      <c r="D28" s="212">
        <v>0</v>
      </c>
      <c r="E28" s="212">
        <v>0.94232671739999974</v>
      </c>
      <c r="F28" s="212">
        <v>0</v>
      </c>
      <c r="G28" s="212">
        <v>0.10279999999999999</v>
      </c>
      <c r="H28" s="212">
        <v>0</v>
      </c>
      <c r="I28" s="212">
        <v>0.95480423699999983</v>
      </c>
      <c r="J28" s="213">
        <v>0</v>
      </c>
      <c r="K28" s="27"/>
      <c r="L28" s="27"/>
      <c r="M28" s="27"/>
      <c r="N28" s="27"/>
      <c r="O28" s="27"/>
      <c r="P28" s="27"/>
      <c r="Q28" s="27"/>
      <c r="R28" s="27"/>
      <c r="S28" s="27"/>
      <c r="T28" s="27"/>
    </row>
    <row r="29" spans="1:22">
      <c r="A29" s="27"/>
      <c r="B29" s="210"/>
      <c r="C29" s="211"/>
      <c r="D29" s="212"/>
      <c r="E29" s="212"/>
      <c r="F29" s="212"/>
      <c r="G29" s="212"/>
      <c r="H29" s="212"/>
      <c r="I29" s="212"/>
      <c r="J29" s="213"/>
      <c r="K29" s="27"/>
      <c r="L29" s="27"/>
      <c r="M29" s="27"/>
      <c r="N29" s="27"/>
      <c r="O29" s="27"/>
      <c r="P29" s="27"/>
      <c r="Q29" s="27"/>
      <c r="R29" s="27"/>
      <c r="S29" s="27"/>
      <c r="T29" s="27"/>
    </row>
    <row r="30" spans="1:22" ht="15" customHeight="1">
      <c r="A30" s="27"/>
      <c r="B30" s="215" t="s">
        <v>814</v>
      </c>
      <c r="C30" s="216">
        <v>0</v>
      </c>
      <c r="D30" s="208">
        <v>0</v>
      </c>
      <c r="E30" s="214">
        <v>4.3558358E-3</v>
      </c>
      <c r="F30" s="208">
        <v>0</v>
      </c>
      <c r="G30" s="208">
        <v>0</v>
      </c>
      <c r="H30" s="214">
        <v>0</v>
      </c>
      <c r="I30" s="208">
        <v>4.2133322000000003E-3</v>
      </c>
      <c r="J30" s="209">
        <v>0</v>
      </c>
      <c r="K30" s="27"/>
      <c r="L30" s="27"/>
      <c r="M30" s="27"/>
      <c r="N30" s="27"/>
      <c r="O30" s="27"/>
      <c r="P30" s="27"/>
      <c r="Q30" s="27"/>
      <c r="R30" s="27"/>
      <c r="S30" s="27"/>
      <c r="T30" s="27"/>
    </row>
    <row r="31" spans="1:22" ht="7.5" customHeight="1">
      <c r="A31" s="27"/>
      <c r="B31" s="207"/>
      <c r="C31" s="217"/>
      <c r="D31" s="217"/>
      <c r="E31" s="217"/>
      <c r="F31" s="208"/>
      <c r="G31" s="217"/>
      <c r="H31" s="218"/>
      <c r="I31" s="217"/>
      <c r="J31" s="209"/>
      <c r="K31" s="27"/>
      <c r="L31" s="27"/>
      <c r="M31" s="27"/>
      <c r="N31" s="27"/>
      <c r="O31" s="27"/>
      <c r="P31" s="27"/>
      <c r="Q31" s="27"/>
      <c r="R31" s="27"/>
      <c r="S31" s="27"/>
      <c r="T31" s="27"/>
    </row>
    <row r="32" spans="1:22">
      <c r="A32" s="27"/>
      <c r="B32" s="207" t="s">
        <v>405</v>
      </c>
      <c r="C32" s="208">
        <v>0</v>
      </c>
      <c r="D32" s="208">
        <v>0</v>
      </c>
      <c r="E32" s="208">
        <v>0</v>
      </c>
      <c r="F32" s="208">
        <v>0</v>
      </c>
      <c r="G32" s="208">
        <v>0</v>
      </c>
      <c r="H32" s="214">
        <v>0</v>
      </c>
      <c r="I32" s="208">
        <v>0</v>
      </c>
      <c r="J32" s="209">
        <v>0</v>
      </c>
      <c r="K32" s="27"/>
      <c r="L32" s="27"/>
      <c r="M32" s="27"/>
      <c r="N32" s="27"/>
      <c r="O32" s="27"/>
      <c r="P32" s="27"/>
      <c r="Q32" s="27"/>
      <c r="R32" s="27"/>
      <c r="S32" s="27"/>
      <c r="T32" s="27"/>
    </row>
    <row r="33" spans="1:22" ht="10.5" customHeight="1">
      <c r="A33" s="27"/>
      <c r="B33" s="207"/>
      <c r="C33" s="208"/>
      <c r="D33" s="208"/>
      <c r="E33" s="208"/>
      <c r="F33" s="208"/>
      <c r="G33" s="208"/>
      <c r="H33" s="214"/>
      <c r="I33" s="208"/>
      <c r="J33" s="209"/>
      <c r="K33" s="27"/>
      <c r="L33" s="27"/>
      <c r="M33" s="27"/>
      <c r="N33" s="27"/>
      <c r="O33" s="27"/>
      <c r="P33" s="27"/>
      <c r="Q33" s="27"/>
      <c r="R33" s="27"/>
      <c r="S33" s="27"/>
      <c r="T33" s="27"/>
    </row>
    <row r="34" spans="1:22">
      <c r="A34" s="27"/>
      <c r="B34" s="207" t="s">
        <v>281</v>
      </c>
      <c r="C34" s="208">
        <v>0</v>
      </c>
      <c r="D34" s="208">
        <v>0</v>
      </c>
      <c r="E34" s="208">
        <v>0</v>
      </c>
      <c r="F34" s="208">
        <v>0</v>
      </c>
      <c r="G34" s="208">
        <v>0</v>
      </c>
      <c r="H34" s="214">
        <v>0</v>
      </c>
      <c r="I34" s="208">
        <v>0</v>
      </c>
      <c r="J34" s="209">
        <v>0</v>
      </c>
      <c r="K34" s="27"/>
      <c r="L34" s="27"/>
      <c r="M34" s="27"/>
      <c r="N34" s="27"/>
      <c r="O34" s="27"/>
      <c r="P34" s="27"/>
      <c r="Q34" s="27"/>
      <c r="R34" s="27"/>
      <c r="S34" s="27"/>
      <c r="T34" s="27"/>
    </row>
    <row r="35" spans="1:22" ht="6" customHeight="1">
      <c r="A35" s="27"/>
      <c r="B35" s="207"/>
      <c r="C35" s="217"/>
      <c r="D35" s="217"/>
      <c r="E35" s="217"/>
      <c r="F35" s="208"/>
      <c r="G35" s="217"/>
      <c r="H35" s="218"/>
      <c r="I35" s="217"/>
      <c r="J35" s="209"/>
      <c r="K35" s="27"/>
      <c r="L35" s="27"/>
      <c r="M35" s="27"/>
      <c r="N35" s="27"/>
      <c r="O35" s="27"/>
      <c r="P35" s="27"/>
      <c r="Q35" s="27"/>
      <c r="R35" s="27"/>
      <c r="S35" s="27"/>
      <c r="T35" s="27"/>
    </row>
    <row r="36" spans="1:22">
      <c r="A36" s="27"/>
      <c r="B36" s="207" t="s">
        <v>1023</v>
      </c>
      <c r="C36" s="216">
        <v>0.10199999999999999</v>
      </c>
      <c r="D36" s="208">
        <v>0</v>
      </c>
      <c r="E36" s="208">
        <v>0.99655583579999996</v>
      </c>
      <c r="F36" s="208">
        <v>0</v>
      </c>
      <c r="G36" s="208">
        <v>0.10529999999999999</v>
      </c>
      <c r="H36" s="208">
        <v>0</v>
      </c>
      <c r="I36" s="208">
        <v>0.99360000000000004</v>
      </c>
      <c r="J36" s="209">
        <v>0</v>
      </c>
      <c r="K36" s="27"/>
      <c r="L36" s="27"/>
      <c r="M36" s="27"/>
      <c r="N36" s="27"/>
      <c r="O36" s="27"/>
      <c r="P36" s="27"/>
      <c r="Q36" s="27"/>
      <c r="R36" s="27"/>
      <c r="S36" s="27"/>
      <c r="T36" s="27"/>
    </row>
    <row r="37" spans="1:22" ht="6" customHeight="1">
      <c r="A37" s="27"/>
      <c r="B37" s="219"/>
      <c r="C37" s="208"/>
      <c r="D37" s="208"/>
      <c r="E37" s="208"/>
      <c r="F37" s="208"/>
      <c r="G37" s="208"/>
      <c r="H37" s="208"/>
      <c r="I37" s="208"/>
      <c r="J37" s="209"/>
      <c r="K37" s="27"/>
      <c r="L37" s="27"/>
      <c r="M37" s="27"/>
      <c r="N37" s="27"/>
      <c r="O37" s="27"/>
      <c r="P37" s="27"/>
      <c r="Q37" s="27"/>
      <c r="R37" s="27"/>
      <c r="S37" s="27"/>
      <c r="T37" s="27"/>
    </row>
    <row r="38" spans="1:22">
      <c r="A38" s="27"/>
      <c r="B38" s="207" t="s">
        <v>1024</v>
      </c>
      <c r="C38" s="216">
        <v>8.1000000000000013E-3</v>
      </c>
      <c r="D38" s="208">
        <v>0</v>
      </c>
      <c r="E38" s="208">
        <v>3.4441642000000439E-3</v>
      </c>
      <c r="F38" s="208">
        <v>0</v>
      </c>
      <c r="G38" s="208">
        <v>7.1999999999999998E-3</v>
      </c>
      <c r="H38" s="208">
        <v>0</v>
      </c>
      <c r="I38" s="208">
        <v>6.3999999999999613E-3</v>
      </c>
      <c r="J38" s="209">
        <v>0</v>
      </c>
      <c r="K38" s="27"/>
      <c r="L38" s="27"/>
      <c r="M38" s="27"/>
      <c r="N38" s="27"/>
      <c r="O38" s="27"/>
      <c r="P38" s="27"/>
      <c r="Q38" s="27"/>
      <c r="R38" s="27"/>
      <c r="S38" s="27"/>
      <c r="T38" s="27"/>
    </row>
    <row r="39" spans="1:22" ht="8.25" customHeight="1">
      <c r="A39" s="27"/>
      <c r="B39" s="220"/>
      <c r="C39" s="221"/>
      <c r="D39" s="221"/>
      <c r="E39" s="221"/>
      <c r="F39" s="221"/>
      <c r="G39" s="221"/>
      <c r="H39" s="221"/>
      <c r="I39" s="221"/>
      <c r="J39" s="222"/>
      <c r="K39" s="27"/>
      <c r="L39" s="27"/>
      <c r="M39" s="27"/>
      <c r="N39" s="27"/>
      <c r="O39" s="27"/>
      <c r="P39" s="27"/>
      <c r="Q39" s="27"/>
      <c r="R39" s="27"/>
      <c r="S39" s="27"/>
      <c r="T39" s="27"/>
    </row>
    <row r="40" spans="1:22">
      <c r="A40" s="27"/>
      <c r="B40" s="238" t="s">
        <v>1012</v>
      </c>
      <c r="C40" s="239">
        <v>0.1023</v>
      </c>
      <c r="D40" s="239">
        <v>0</v>
      </c>
      <c r="E40" s="239">
        <v>1</v>
      </c>
      <c r="F40" s="239">
        <v>0</v>
      </c>
      <c r="G40" s="239">
        <v>0.10550000000000001</v>
      </c>
      <c r="H40" s="239">
        <v>0</v>
      </c>
      <c r="I40" s="239">
        <v>1</v>
      </c>
      <c r="J40" s="239">
        <v>0</v>
      </c>
      <c r="K40" s="27"/>
      <c r="L40" s="27"/>
      <c r="M40" s="27"/>
      <c r="N40" s="27"/>
      <c r="O40" s="27"/>
      <c r="P40" s="27"/>
      <c r="Q40" s="27"/>
      <c r="R40" s="27"/>
      <c r="S40" s="27"/>
      <c r="T40" s="27"/>
    </row>
    <row r="41" spans="1:22">
      <c r="A41" s="27"/>
      <c r="B41" s="27" t="s">
        <v>1053</v>
      </c>
      <c r="C41" s="27"/>
      <c r="D41" s="27"/>
      <c r="E41" s="27"/>
      <c r="F41" s="27"/>
      <c r="G41" s="27"/>
      <c r="H41" s="27"/>
      <c r="I41" s="27"/>
      <c r="J41" s="27"/>
      <c r="K41" s="27"/>
      <c r="L41" s="27"/>
      <c r="M41" s="27"/>
      <c r="N41" s="27"/>
      <c r="O41" s="27"/>
      <c r="P41" s="27"/>
      <c r="Q41" s="27"/>
      <c r="R41" s="27"/>
      <c r="S41" s="27"/>
      <c r="T41" s="27"/>
    </row>
    <row r="42" spans="1:22">
      <c r="A42" s="27"/>
      <c r="B42" s="27"/>
      <c r="C42" s="27"/>
      <c r="D42" s="27"/>
      <c r="E42" s="27"/>
      <c r="F42" s="27"/>
      <c r="G42" s="27"/>
      <c r="H42" s="27"/>
      <c r="I42" s="27"/>
      <c r="J42" s="27"/>
      <c r="K42" s="27"/>
      <c r="L42" s="27"/>
      <c r="M42" s="27"/>
      <c r="N42" s="27"/>
      <c r="O42" s="27"/>
      <c r="P42" s="27"/>
      <c r="Q42" s="27"/>
      <c r="R42" s="27"/>
      <c r="S42" s="27"/>
      <c r="T42" s="27"/>
    </row>
    <row r="43" spans="1:22" ht="18">
      <c r="A43" s="27"/>
      <c r="B43" s="73" t="s">
        <v>1063</v>
      </c>
      <c r="C43" s="26"/>
      <c r="D43" s="26"/>
      <c r="E43" s="26"/>
      <c r="F43" s="26"/>
      <c r="G43" s="27"/>
      <c r="H43" s="27"/>
      <c r="I43" s="73" t="s">
        <v>1064</v>
      </c>
      <c r="J43" s="26"/>
      <c r="K43" s="26"/>
      <c r="L43" s="26"/>
      <c r="M43" s="26"/>
      <c r="N43" s="26"/>
      <c r="O43" s="26"/>
      <c r="P43" s="27"/>
      <c r="Q43" s="27"/>
      <c r="R43" s="27"/>
      <c r="S43" s="27"/>
      <c r="T43" s="27"/>
    </row>
    <row r="44" spans="1:22">
      <c r="A44" s="27"/>
      <c r="B44" s="74"/>
      <c r="C44" s="26"/>
      <c r="D44" s="26"/>
      <c r="E44" s="26"/>
      <c r="F44" s="26"/>
      <c r="G44" s="27"/>
      <c r="H44" s="27"/>
      <c r="I44" s="74"/>
      <c r="J44" s="26"/>
      <c r="K44" s="26"/>
      <c r="L44" s="26"/>
      <c r="M44" s="26"/>
      <c r="N44" s="26"/>
      <c r="O44" s="26"/>
      <c r="P44" s="27"/>
      <c r="Q44" s="27"/>
      <c r="R44" s="27"/>
      <c r="S44" s="27"/>
      <c r="T44" s="27"/>
    </row>
    <row r="45" spans="1:22">
      <c r="A45" s="27"/>
      <c r="B45" s="27"/>
      <c r="C45" s="27"/>
      <c r="D45" s="27"/>
      <c r="E45" s="27"/>
      <c r="F45" s="27"/>
      <c r="G45" s="27"/>
      <c r="H45" s="27"/>
      <c r="I45" s="27"/>
      <c r="J45" s="27"/>
      <c r="K45" s="27"/>
      <c r="L45" s="27"/>
      <c r="M45" s="27"/>
      <c r="N45" s="27"/>
      <c r="O45" s="27"/>
      <c r="P45" s="27"/>
      <c r="Q45" s="27"/>
      <c r="R45" s="27"/>
      <c r="S45" s="27"/>
      <c r="T45" s="27"/>
    </row>
    <row r="46" spans="1:22">
      <c r="A46" s="27"/>
      <c r="B46" s="259" t="s">
        <v>1013</v>
      </c>
      <c r="C46" s="260" t="s">
        <v>1014</v>
      </c>
      <c r="D46" s="261" t="s">
        <v>1012</v>
      </c>
      <c r="E46" s="262" t="s">
        <v>1019</v>
      </c>
      <c r="F46" s="183"/>
      <c r="G46" s="183"/>
      <c r="H46" s="183"/>
      <c r="I46" s="259" t="s">
        <v>1013</v>
      </c>
      <c r="J46" s="263"/>
      <c r="K46" s="261" t="s">
        <v>1014</v>
      </c>
      <c r="L46" s="261" t="s">
        <v>1012</v>
      </c>
      <c r="M46" s="262" t="s">
        <v>1019</v>
      </c>
      <c r="N46" s="183"/>
      <c r="O46" s="27"/>
      <c r="P46" s="27"/>
      <c r="Q46" s="27"/>
      <c r="R46" s="27"/>
      <c r="S46" s="27"/>
      <c r="T46" s="27"/>
    </row>
    <row r="47" spans="1:22">
      <c r="A47" s="206">
        <v>144</v>
      </c>
      <c r="B47" s="263" t="s">
        <v>54</v>
      </c>
      <c r="C47" s="264">
        <v>1.9E-3</v>
      </c>
      <c r="D47" s="264">
        <v>0</v>
      </c>
      <c r="E47" s="264">
        <v>0</v>
      </c>
      <c r="F47" s="183"/>
      <c r="G47" s="183"/>
      <c r="H47" s="258"/>
      <c r="I47" s="263" t="s">
        <v>1280</v>
      </c>
      <c r="J47" s="263"/>
      <c r="K47" s="264">
        <v>1.72E-2</v>
      </c>
      <c r="L47" s="264">
        <v>7.1999999999999998E-3</v>
      </c>
      <c r="M47" s="264">
        <v>6.0999999999999995E-3</v>
      </c>
      <c r="N47" s="183"/>
      <c r="O47" s="27"/>
      <c r="P47" s="27"/>
      <c r="Q47" s="27"/>
      <c r="R47" s="27"/>
      <c r="S47" s="27"/>
      <c r="T47" s="27"/>
      <c r="V47" s="206">
        <v>1</v>
      </c>
    </row>
    <row r="48" spans="1:22">
      <c r="A48" s="206">
        <v>135</v>
      </c>
      <c r="B48" s="263" t="s">
        <v>1390</v>
      </c>
      <c r="C48" s="264">
        <v>8.5000000000000006E-3</v>
      </c>
      <c r="D48" s="264">
        <v>2.9999999999999997E-4</v>
      </c>
      <c r="E48" s="264">
        <v>0</v>
      </c>
      <c r="F48" s="183"/>
      <c r="G48" s="183"/>
      <c r="H48" s="258"/>
      <c r="I48" s="263" t="s">
        <v>1966</v>
      </c>
      <c r="J48" s="263"/>
      <c r="K48" s="264">
        <v>2.53E-2</v>
      </c>
      <c r="L48" s="264">
        <v>4.5000000000000005E-3</v>
      </c>
      <c r="M48" s="264">
        <v>3.8E-3</v>
      </c>
      <c r="N48" s="183"/>
      <c r="O48" s="27"/>
      <c r="P48" s="27"/>
      <c r="Q48" s="27"/>
      <c r="R48" s="27"/>
      <c r="S48" s="27"/>
      <c r="T48" s="27"/>
      <c r="V48" s="206">
        <v>2</v>
      </c>
    </row>
    <row r="49" spans="1:22">
      <c r="A49" s="206">
        <v>134</v>
      </c>
      <c r="B49" s="263" t="s">
        <v>1377</v>
      </c>
      <c r="C49" s="264">
        <v>5.0000000000000001E-3</v>
      </c>
      <c r="D49" s="264">
        <v>0</v>
      </c>
      <c r="E49" s="264">
        <v>0</v>
      </c>
      <c r="F49" s="183"/>
      <c r="G49" s="183"/>
      <c r="H49" s="258"/>
      <c r="I49" s="263" t="s">
        <v>1270</v>
      </c>
      <c r="J49" s="263"/>
      <c r="K49" s="264">
        <v>2.1099999999999997E-2</v>
      </c>
      <c r="L49" s="264">
        <v>3.5999999999999999E-3</v>
      </c>
      <c r="M49" s="264">
        <v>3.4999999999999996E-3</v>
      </c>
      <c r="N49" s="183"/>
      <c r="O49" s="27"/>
      <c r="P49" s="27"/>
      <c r="Q49" s="27"/>
      <c r="R49" s="27"/>
      <c r="S49" s="27"/>
      <c r="T49" s="27"/>
      <c r="V49" s="206">
        <v>3</v>
      </c>
    </row>
    <row r="50" spans="1:22">
      <c r="A50" s="206">
        <v>133</v>
      </c>
      <c r="B50" s="263" t="s">
        <v>1353</v>
      </c>
      <c r="C50" s="264">
        <v>3.4999999999999996E-3</v>
      </c>
      <c r="D50" s="264">
        <v>0</v>
      </c>
      <c r="E50" s="264">
        <v>0</v>
      </c>
      <c r="F50" s="183"/>
      <c r="G50" s="183"/>
      <c r="H50" s="258"/>
      <c r="I50" s="263" t="s">
        <v>938</v>
      </c>
      <c r="J50" s="263"/>
      <c r="K50" s="264">
        <v>9.4999999999999998E-3</v>
      </c>
      <c r="L50" s="264">
        <v>2.7000000000000001E-3</v>
      </c>
      <c r="M50" s="264">
        <v>2.5999999999999999E-3</v>
      </c>
      <c r="N50" s="183"/>
      <c r="O50" s="27"/>
      <c r="P50" s="27"/>
      <c r="Q50" s="27"/>
      <c r="R50" s="27"/>
      <c r="S50" s="27"/>
      <c r="T50" s="27"/>
      <c r="V50" s="206">
        <v>4</v>
      </c>
    </row>
    <row r="51" spans="1:22">
      <c r="A51" s="206">
        <v>131</v>
      </c>
      <c r="B51" s="263" t="s">
        <v>1276</v>
      </c>
      <c r="C51" s="264">
        <v>8.5000000000000006E-3</v>
      </c>
      <c r="D51" s="264">
        <v>0</v>
      </c>
      <c r="E51" s="264">
        <v>0</v>
      </c>
      <c r="F51" s="183"/>
      <c r="G51" s="183"/>
      <c r="H51" s="258"/>
      <c r="I51" s="263" t="s">
        <v>1372</v>
      </c>
      <c r="J51" s="263"/>
      <c r="K51" s="264">
        <v>8.199999999999999E-3</v>
      </c>
      <c r="L51" s="264">
        <v>2.5999999999999999E-3</v>
      </c>
      <c r="M51" s="264">
        <v>2.3999999999999998E-3</v>
      </c>
      <c r="N51" s="183"/>
      <c r="O51" s="27"/>
      <c r="P51" s="27"/>
      <c r="Q51" s="27"/>
      <c r="R51" s="27"/>
      <c r="S51" s="27"/>
      <c r="T51" s="27"/>
      <c r="V51" s="206">
        <v>5</v>
      </c>
    </row>
    <row r="52" spans="1:22">
      <c r="A52" s="206">
        <v>130</v>
      </c>
      <c r="B52" s="263" t="s">
        <v>1347</v>
      </c>
      <c r="C52" s="264">
        <v>1.7000000000000001E-3</v>
      </c>
      <c r="D52" s="264">
        <v>0</v>
      </c>
      <c r="E52" s="264">
        <v>0</v>
      </c>
      <c r="F52" s="183"/>
      <c r="G52" s="183"/>
      <c r="H52" s="258"/>
      <c r="I52" s="263" t="s">
        <v>851</v>
      </c>
      <c r="J52" s="263"/>
      <c r="K52" s="264">
        <v>8.6999999999999994E-3</v>
      </c>
      <c r="L52" s="264">
        <v>3.2000000000000002E-3</v>
      </c>
      <c r="M52" s="264">
        <v>2.3E-3</v>
      </c>
      <c r="N52" s="183"/>
      <c r="O52" s="27"/>
      <c r="P52" s="27"/>
      <c r="Q52" s="27"/>
      <c r="R52" s="27"/>
      <c r="S52" s="27"/>
      <c r="T52" s="27"/>
      <c r="V52" s="206">
        <v>6</v>
      </c>
    </row>
    <row r="53" spans="1:22">
      <c r="A53" s="206">
        <v>129</v>
      </c>
      <c r="B53" s="263" t="s">
        <v>1337</v>
      </c>
      <c r="C53" s="264">
        <v>2.5999999999999999E-3</v>
      </c>
      <c r="D53" s="264">
        <v>0</v>
      </c>
      <c r="E53" s="264">
        <v>0</v>
      </c>
      <c r="F53" s="183"/>
      <c r="G53" s="183"/>
      <c r="H53" s="258"/>
      <c r="I53" s="263" t="s">
        <v>1114</v>
      </c>
      <c r="J53" s="263"/>
      <c r="K53" s="264">
        <v>5.1000000000000004E-3</v>
      </c>
      <c r="L53" s="264">
        <v>2.0999999999999999E-3</v>
      </c>
      <c r="M53" s="264">
        <v>1.9E-3</v>
      </c>
      <c r="N53" s="183"/>
      <c r="O53" s="27"/>
      <c r="P53" s="27"/>
      <c r="Q53" s="27"/>
      <c r="R53" s="27"/>
      <c r="S53" s="27"/>
      <c r="T53" s="27"/>
      <c r="V53" s="206">
        <v>7</v>
      </c>
    </row>
    <row r="54" spans="1:22">
      <c r="A54" s="206">
        <v>128</v>
      </c>
      <c r="B54" s="263" t="s">
        <v>862</v>
      </c>
      <c r="C54" s="264">
        <v>3.4999999999999996E-3</v>
      </c>
      <c r="D54" s="264">
        <v>0</v>
      </c>
      <c r="E54" s="264">
        <v>0</v>
      </c>
      <c r="F54" s="183"/>
      <c r="G54" s="183"/>
      <c r="H54" s="258"/>
      <c r="I54" s="263" t="s">
        <v>1363</v>
      </c>
      <c r="J54" s="263"/>
      <c r="K54" s="264">
        <v>8.1000000000000013E-3</v>
      </c>
      <c r="L54" s="264">
        <v>2E-3</v>
      </c>
      <c r="M54" s="264">
        <v>1.9E-3</v>
      </c>
      <c r="N54" s="183"/>
      <c r="O54" s="27"/>
      <c r="P54" s="27"/>
      <c r="Q54" s="27"/>
      <c r="R54" s="27"/>
      <c r="S54" s="27"/>
      <c r="T54" s="27"/>
      <c r="V54" s="206">
        <v>8</v>
      </c>
    </row>
    <row r="55" spans="1:22">
      <c r="A55" s="206">
        <v>127</v>
      </c>
      <c r="B55" s="263" t="s">
        <v>1085</v>
      </c>
      <c r="C55" s="264">
        <v>1.8E-3</v>
      </c>
      <c r="D55" s="264">
        <v>0</v>
      </c>
      <c r="E55" s="264">
        <v>0</v>
      </c>
      <c r="F55" s="183"/>
      <c r="G55" s="183"/>
      <c r="H55" s="258"/>
      <c r="I55" s="263" t="s">
        <v>1272</v>
      </c>
      <c r="J55" s="263"/>
      <c r="K55" s="264">
        <v>1.1899999999999999E-2</v>
      </c>
      <c r="L55" s="264">
        <v>2E-3</v>
      </c>
      <c r="M55" s="264">
        <v>1.9E-3</v>
      </c>
      <c r="N55" s="183"/>
      <c r="O55" s="27"/>
      <c r="P55" s="27"/>
      <c r="Q55" s="27"/>
      <c r="R55" s="27"/>
      <c r="S55" s="27"/>
      <c r="T55" s="27"/>
      <c r="V55" s="206">
        <v>9</v>
      </c>
    </row>
    <row r="56" spans="1:22">
      <c r="A56" s="206">
        <v>126</v>
      </c>
      <c r="B56" s="263" t="s">
        <v>867</v>
      </c>
      <c r="C56" s="264">
        <v>3.4000000000000002E-3</v>
      </c>
      <c r="D56" s="264">
        <v>0</v>
      </c>
      <c r="E56" s="264">
        <v>0</v>
      </c>
      <c r="F56" s="183"/>
      <c r="G56" s="183"/>
      <c r="H56" s="258"/>
      <c r="I56" s="263" t="s">
        <v>848</v>
      </c>
      <c r="J56" s="263"/>
      <c r="K56" s="264">
        <v>1.43E-2</v>
      </c>
      <c r="L56" s="264">
        <v>1.8E-3</v>
      </c>
      <c r="M56" s="264">
        <v>1.7000000000000001E-3</v>
      </c>
      <c r="N56" s="183"/>
      <c r="O56" s="27"/>
      <c r="P56" s="27"/>
      <c r="Q56" s="27"/>
      <c r="R56" s="27"/>
      <c r="S56" s="27"/>
      <c r="T56" s="27"/>
      <c r="V56" s="206">
        <v>10</v>
      </c>
    </row>
    <row r="57" spans="1:22">
      <c r="A57" s="27"/>
      <c r="B57" s="27"/>
      <c r="C57" s="27"/>
      <c r="D57" s="27"/>
      <c r="E57" s="27"/>
      <c r="F57" s="27"/>
      <c r="G57" s="27"/>
      <c r="H57" s="27"/>
      <c r="I57" s="27"/>
      <c r="J57" s="27"/>
      <c r="K57" s="27"/>
      <c r="L57" s="27"/>
      <c r="M57" s="27"/>
      <c r="N57" s="27"/>
      <c r="O57" s="27"/>
      <c r="P57" s="27"/>
      <c r="Q57" s="27"/>
      <c r="R57" s="27"/>
      <c r="S57" s="27"/>
      <c r="T57" s="27"/>
    </row>
    <row r="58" spans="1:22">
      <c r="A58" s="27"/>
      <c r="B58" s="27"/>
      <c r="C58" s="27"/>
      <c r="D58" s="27"/>
      <c r="E58" s="27"/>
      <c r="F58" s="27"/>
      <c r="G58" s="27"/>
      <c r="H58" s="27"/>
      <c r="I58" s="27"/>
      <c r="J58" s="27"/>
      <c r="K58" s="27"/>
      <c r="L58" s="27"/>
      <c r="M58" s="27"/>
      <c r="N58" s="27"/>
      <c r="O58" s="27"/>
      <c r="P58" s="27"/>
      <c r="Q58" s="27"/>
      <c r="R58" s="27"/>
      <c r="S58" s="27"/>
      <c r="T58" s="27"/>
    </row>
    <row r="59" spans="1:22">
      <c r="A59" s="27"/>
      <c r="B59" s="27"/>
      <c r="C59" s="27"/>
      <c r="D59" s="27"/>
      <c r="E59" s="27"/>
      <c r="F59" s="27"/>
      <c r="G59" s="27"/>
      <c r="H59" s="27"/>
      <c r="I59" s="27"/>
      <c r="J59" s="27"/>
      <c r="K59" s="27"/>
      <c r="L59" s="27"/>
      <c r="M59" s="27"/>
      <c r="N59" s="27"/>
      <c r="O59" s="27"/>
      <c r="P59" s="27"/>
      <c r="Q59" s="27"/>
      <c r="R59" s="27"/>
      <c r="S59" s="27"/>
      <c r="T59" s="27"/>
    </row>
    <row r="60" spans="1:22">
      <c r="A60" s="27"/>
      <c r="B60" s="27"/>
      <c r="C60" s="27"/>
      <c r="D60" s="27"/>
      <c r="E60" s="27"/>
      <c r="F60" s="27"/>
      <c r="G60" s="27"/>
      <c r="H60" s="27"/>
      <c r="I60" s="27"/>
      <c r="J60" s="27"/>
      <c r="K60" s="27"/>
      <c r="L60" s="27"/>
      <c r="M60" s="27"/>
      <c r="N60" s="27"/>
      <c r="O60" s="27"/>
      <c r="P60" s="27"/>
      <c r="Q60" s="27"/>
      <c r="R60" s="27"/>
      <c r="S60" s="27"/>
      <c r="T60" s="27"/>
    </row>
    <row r="61" spans="1:22">
      <c r="A61" s="27"/>
      <c r="B61" s="27"/>
      <c r="C61" s="27"/>
      <c r="D61" s="27"/>
      <c r="E61" s="27"/>
      <c r="F61" s="27"/>
      <c r="G61" s="27"/>
      <c r="H61" s="27"/>
      <c r="I61" s="27"/>
      <c r="J61" s="27"/>
      <c r="K61" s="27"/>
      <c r="L61" s="27"/>
      <c r="M61" s="27"/>
      <c r="N61" s="27"/>
      <c r="O61" s="27"/>
      <c r="P61" s="27"/>
      <c r="Q61" s="27"/>
      <c r="R61" s="27"/>
      <c r="S61" s="27"/>
      <c r="T61" s="27"/>
    </row>
    <row r="62" spans="1:22">
      <c r="A62" s="27"/>
      <c r="B62" s="27"/>
      <c r="C62" s="27"/>
      <c r="D62" s="27"/>
      <c r="E62" s="27"/>
      <c r="F62" s="27"/>
      <c r="G62" s="27"/>
      <c r="H62" s="27"/>
      <c r="I62" s="27"/>
      <c r="J62" s="27"/>
      <c r="K62" s="27"/>
      <c r="L62" s="27"/>
      <c r="M62" s="27"/>
      <c r="N62" s="27"/>
      <c r="O62" s="27"/>
      <c r="P62" s="27"/>
      <c r="Q62" s="27"/>
      <c r="R62" s="27"/>
      <c r="S62" s="27"/>
      <c r="T62" s="27"/>
    </row>
    <row r="63" spans="1:22">
      <c r="A63" s="27"/>
      <c r="B63" s="27"/>
      <c r="C63" s="27"/>
      <c r="D63" s="27"/>
      <c r="E63" s="27"/>
      <c r="F63" s="27"/>
      <c r="G63" s="27"/>
      <c r="H63" s="27"/>
      <c r="I63" s="27"/>
      <c r="J63" s="27"/>
      <c r="K63" s="27"/>
      <c r="L63" s="27"/>
      <c r="M63" s="27"/>
      <c r="N63" s="27"/>
      <c r="O63" s="27"/>
      <c r="P63" s="27"/>
      <c r="Q63" s="27"/>
      <c r="R63" s="27"/>
      <c r="S63" s="27"/>
      <c r="T63" s="27"/>
    </row>
    <row r="64" spans="1:22">
      <c r="A64" s="27"/>
      <c r="B64" s="27"/>
      <c r="C64" s="27"/>
      <c r="D64" s="27"/>
      <c r="E64" s="27"/>
      <c r="F64" s="27"/>
      <c r="G64" s="27"/>
      <c r="H64" s="27"/>
      <c r="I64" s="27"/>
      <c r="J64" s="27"/>
      <c r="K64" s="27"/>
      <c r="L64" s="27"/>
      <c r="M64" s="27"/>
      <c r="N64" s="27"/>
      <c r="O64" s="27"/>
      <c r="P64" s="27"/>
      <c r="Q64" s="27"/>
      <c r="R64" s="27"/>
      <c r="S64" s="27"/>
      <c r="T64" s="27"/>
    </row>
    <row r="65" spans="1:20">
      <c r="A65" s="27"/>
      <c r="B65" s="27"/>
      <c r="C65" s="27"/>
      <c r="D65" s="27"/>
      <c r="E65" s="27"/>
      <c r="F65" s="27"/>
      <c r="G65" s="27"/>
      <c r="H65" s="27"/>
      <c r="I65" s="27"/>
      <c r="J65" s="27"/>
      <c r="K65" s="27"/>
      <c r="L65" s="27"/>
      <c r="M65" s="27"/>
      <c r="N65" s="27"/>
      <c r="O65" s="27"/>
      <c r="P65" s="27"/>
      <c r="Q65" s="27"/>
      <c r="R65" s="27"/>
      <c r="S65" s="27"/>
      <c r="T65" s="27"/>
    </row>
    <row r="66" spans="1:20">
      <c r="A66" s="27"/>
      <c r="B66" s="27"/>
      <c r="C66" s="27"/>
      <c r="D66" s="27"/>
      <c r="E66" s="27"/>
      <c r="F66" s="27"/>
      <c r="G66" s="27"/>
      <c r="H66" s="27"/>
      <c r="I66" s="27"/>
      <c r="J66" s="27"/>
      <c r="K66" s="27"/>
      <c r="L66" s="27"/>
      <c r="M66" s="27"/>
      <c r="N66" s="27"/>
      <c r="O66" s="27"/>
      <c r="P66" s="27"/>
      <c r="Q66" s="27"/>
      <c r="R66" s="27"/>
      <c r="S66" s="27"/>
      <c r="T66" s="27"/>
    </row>
    <row r="67" spans="1:20">
      <c r="A67" s="27"/>
      <c r="B67" s="27"/>
      <c r="C67" s="27"/>
      <c r="D67" s="27"/>
      <c r="E67" s="27"/>
      <c r="F67" s="27"/>
      <c r="G67" s="27"/>
      <c r="H67" s="27"/>
      <c r="I67" s="27"/>
      <c r="J67" s="27"/>
      <c r="K67" s="27"/>
      <c r="L67" s="27"/>
      <c r="M67" s="27"/>
      <c r="N67" s="27"/>
      <c r="O67" s="27"/>
      <c r="P67" s="27"/>
      <c r="Q67" s="27"/>
      <c r="R67" s="27"/>
      <c r="S67" s="27"/>
      <c r="T67" s="27"/>
    </row>
    <row r="68" spans="1:20">
      <c r="A68" s="27"/>
      <c r="B68" s="27"/>
      <c r="C68" s="27"/>
      <c r="D68" s="27"/>
      <c r="E68" s="27"/>
      <c r="F68" s="27"/>
      <c r="G68" s="27"/>
      <c r="H68" s="27"/>
      <c r="I68" s="27"/>
      <c r="J68" s="27"/>
      <c r="K68" s="27"/>
      <c r="L68" s="27"/>
      <c r="M68" s="27"/>
      <c r="N68" s="27"/>
      <c r="O68" s="27"/>
      <c r="P68" s="27"/>
      <c r="Q68" s="27"/>
      <c r="R68" s="27"/>
      <c r="S68" s="27"/>
      <c r="T68" s="27"/>
    </row>
    <row r="69" spans="1:20">
      <c r="A69" s="27"/>
      <c r="B69" s="27"/>
      <c r="C69" s="27"/>
      <c r="D69" s="27"/>
      <c r="E69" s="27"/>
      <c r="F69" s="27"/>
      <c r="G69" s="27"/>
      <c r="H69" s="27"/>
      <c r="I69" s="27"/>
      <c r="J69" s="27"/>
      <c r="K69" s="27"/>
      <c r="L69" s="27"/>
      <c r="M69" s="27"/>
      <c r="N69" s="27"/>
      <c r="O69" s="27"/>
      <c r="P69" s="27"/>
      <c r="Q69" s="27"/>
      <c r="R69" s="27"/>
      <c r="S69" s="27"/>
      <c r="T69" s="27"/>
    </row>
    <row r="70" spans="1:20">
      <c r="A70" s="27"/>
      <c r="B70" s="27"/>
      <c r="C70" s="27"/>
      <c r="D70" s="27"/>
      <c r="E70" s="27"/>
      <c r="F70" s="27"/>
      <c r="G70" s="27"/>
      <c r="H70" s="27"/>
      <c r="I70" s="27"/>
      <c r="J70" s="27"/>
      <c r="K70" s="27"/>
      <c r="L70" s="27"/>
      <c r="M70" s="27"/>
      <c r="N70" s="27"/>
      <c r="O70" s="27"/>
      <c r="P70" s="27"/>
      <c r="Q70" s="27"/>
      <c r="R70" s="27"/>
      <c r="S70" s="27"/>
      <c r="T70" s="27"/>
    </row>
    <row r="71" spans="1:20">
      <c r="A71" s="27"/>
      <c r="B71" s="27"/>
      <c r="C71" s="27"/>
      <c r="D71" s="27"/>
      <c r="E71" s="27"/>
      <c r="F71" s="27"/>
      <c r="G71" s="27"/>
      <c r="H71" s="27"/>
      <c r="I71" s="27"/>
      <c r="J71" s="27"/>
      <c r="K71" s="27"/>
      <c r="L71" s="27"/>
      <c r="M71" s="27"/>
      <c r="N71" s="27"/>
      <c r="O71" s="27"/>
      <c r="P71" s="27"/>
      <c r="Q71" s="27"/>
      <c r="R71" s="27"/>
      <c r="S71" s="27"/>
      <c r="T71" s="27"/>
    </row>
    <row r="72" spans="1:20">
      <c r="A72" s="27"/>
      <c r="B72" s="27"/>
      <c r="C72" s="27"/>
      <c r="D72" s="27"/>
      <c r="E72" s="27"/>
      <c r="F72" s="27"/>
      <c r="G72" s="27"/>
      <c r="H72" s="27"/>
      <c r="I72" s="27"/>
      <c r="J72" s="27"/>
      <c r="K72" s="27"/>
      <c r="L72" s="27"/>
      <c r="M72" s="27"/>
      <c r="N72" s="27"/>
      <c r="O72" s="27"/>
      <c r="P72" s="27"/>
      <c r="Q72" s="27"/>
      <c r="R72" s="27"/>
      <c r="S72" s="27"/>
      <c r="T72" s="27"/>
    </row>
    <row r="73" spans="1:20">
      <c r="A73" s="27"/>
      <c r="B73" s="27"/>
      <c r="C73" s="27"/>
      <c r="D73" s="27"/>
      <c r="E73" s="27"/>
      <c r="F73" s="27"/>
      <c r="G73" s="27"/>
      <c r="H73" s="27"/>
      <c r="I73" s="27"/>
      <c r="J73" s="27"/>
      <c r="K73" s="27"/>
      <c r="L73" s="27"/>
      <c r="M73" s="27"/>
      <c r="N73" s="27"/>
      <c r="O73" s="27"/>
      <c r="P73" s="27"/>
      <c r="Q73" s="27"/>
      <c r="R73" s="27"/>
      <c r="S73" s="27"/>
      <c r="T73" s="27"/>
    </row>
    <row r="74" spans="1:20">
      <c r="A74" s="27"/>
      <c r="B74" s="27"/>
      <c r="C74" s="27"/>
      <c r="D74" s="27"/>
      <c r="E74" s="27"/>
      <c r="F74" s="27"/>
      <c r="G74" s="27"/>
      <c r="H74" s="27"/>
      <c r="I74" s="27"/>
      <c r="J74" s="27"/>
      <c r="K74" s="27"/>
      <c r="L74" s="27"/>
      <c r="M74" s="27"/>
      <c r="N74" s="27"/>
      <c r="O74" s="27"/>
      <c r="P74" s="27"/>
      <c r="Q74" s="27"/>
      <c r="R74" s="27"/>
      <c r="S74" s="27"/>
      <c r="T74" s="27"/>
    </row>
    <row r="75" spans="1:20">
      <c r="A75" s="27"/>
      <c r="B75" s="27"/>
      <c r="C75" s="27"/>
      <c r="D75" s="27"/>
      <c r="E75" s="27"/>
      <c r="F75" s="27"/>
      <c r="G75" s="27"/>
      <c r="H75" s="27"/>
      <c r="I75" s="27"/>
      <c r="J75" s="27"/>
      <c r="K75" s="27"/>
      <c r="L75" s="27"/>
      <c r="M75" s="27"/>
      <c r="N75" s="27"/>
      <c r="O75" s="27"/>
      <c r="P75" s="27"/>
      <c r="Q75" s="27"/>
      <c r="R75" s="27"/>
      <c r="S75" s="27"/>
      <c r="T75" s="27"/>
    </row>
    <row r="76" spans="1:20">
      <c r="A76" s="27"/>
      <c r="B76" s="27"/>
      <c r="C76" s="27"/>
      <c r="D76" s="27"/>
      <c r="E76" s="27"/>
      <c r="F76" s="27"/>
      <c r="G76" s="27"/>
      <c r="H76" s="27"/>
      <c r="I76" s="27"/>
      <c r="J76" s="27"/>
      <c r="K76" s="27"/>
      <c r="L76" s="27"/>
      <c r="M76" s="27"/>
      <c r="N76" s="27"/>
      <c r="O76" s="27"/>
      <c r="P76" s="27"/>
      <c r="Q76" s="27"/>
      <c r="R76" s="27"/>
      <c r="S76" s="27"/>
      <c r="T76" s="27"/>
    </row>
    <row r="77" spans="1:20">
      <c r="A77" s="27"/>
      <c r="B77" s="27"/>
      <c r="C77" s="27"/>
      <c r="D77" s="27"/>
      <c r="E77" s="27"/>
      <c r="F77" s="27"/>
      <c r="G77" s="27"/>
      <c r="H77" s="27"/>
      <c r="I77" s="27"/>
      <c r="J77" s="27"/>
      <c r="K77" s="27"/>
      <c r="L77" s="27"/>
      <c r="M77" s="27"/>
      <c r="N77" s="27"/>
      <c r="O77" s="27"/>
      <c r="P77" s="27"/>
      <c r="Q77" s="27"/>
      <c r="R77" s="27"/>
      <c r="S77" s="27"/>
      <c r="T77" s="27"/>
    </row>
    <row r="78" spans="1:20">
      <c r="A78" s="27"/>
      <c r="B78" s="27"/>
      <c r="C78" s="27"/>
      <c r="D78" s="27"/>
      <c r="E78" s="27"/>
      <c r="F78" s="27"/>
      <c r="G78" s="27"/>
      <c r="H78" s="27"/>
      <c r="I78" s="27"/>
      <c r="J78" s="27"/>
      <c r="K78" s="27"/>
      <c r="L78" s="27"/>
      <c r="M78" s="27"/>
      <c r="N78" s="27"/>
      <c r="O78" s="27"/>
      <c r="P78" s="27"/>
      <c r="Q78" s="27"/>
      <c r="R78" s="27"/>
      <c r="S78" s="27"/>
      <c r="T78" s="27"/>
    </row>
    <row r="79" spans="1:20">
      <c r="A79" s="27"/>
      <c r="B79" s="27"/>
      <c r="C79" s="27"/>
      <c r="D79" s="27"/>
      <c r="E79" s="27"/>
      <c r="F79" s="27"/>
      <c r="G79" s="27"/>
      <c r="H79" s="27"/>
      <c r="I79" s="27"/>
      <c r="J79" s="27"/>
      <c r="K79" s="27"/>
      <c r="L79" s="27"/>
      <c r="M79" s="27"/>
      <c r="N79" s="27"/>
      <c r="O79" s="27"/>
      <c r="P79" s="27"/>
      <c r="Q79" s="27"/>
      <c r="R79" s="27"/>
      <c r="S79" s="27"/>
      <c r="T79" s="27"/>
    </row>
    <row r="80" spans="1:20">
      <c r="A80" s="27"/>
      <c r="B80" s="27"/>
      <c r="C80" s="27"/>
      <c r="D80" s="27"/>
      <c r="E80" s="27"/>
      <c r="F80" s="27"/>
      <c r="G80" s="27"/>
      <c r="H80" s="27"/>
      <c r="I80" s="27"/>
      <c r="J80" s="27"/>
      <c r="K80" s="27"/>
      <c r="L80" s="27"/>
      <c r="M80" s="27"/>
      <c r="N80" s="27"/>
      <c r="O80" s="27"/>
      <c r="P80" s="27"/>
      <c r="Q80" s="27"/>
      <c r="R80" s="27"/>
      <c r="S80" s="27"/>
      <c r="T80" s="27"/>
    </row>
    <row r="81" spans="1:20">
      <c r="A81" s="27"/>
      <c r="B81" s="27"/>
      <c r="C81" s="27"/>
      <c r="D81" s="27"/>
      <c r="E81" s="27"/>
      <c r="F81" s="27"/>
      <c r="G81" s="27"/>
      <c r="H81" s="27"/>
      <c r="I81" s="27"/>
      <c r="J81" s="27"/>
      <c r="K81" s="27"/>
      <c r="L81" s="27"/>
      <c r="M81" s="27"/>
      <c r="N81" s="27"/>
      <c r="O81" s="27"/>
      <c r="P81" s="27"/>
      <c r="Q81" s="27"/>
      <c r="R81" s="27"/>
      <c r="S81" s="27"/>
      <c r="T81" s="27"/>
    </row>
    <row r="82" spans="1:20">
      <c r="A82" s="27"/>
      <c r="B82" s="27"/>
      <c r="C82" s="27"/>
      <c r="D82" s="27"/>
      <c r="E82" s="27"/>
      <c r="F82" s="27"/>
      <c r="G82" s="27"/>
      <c r="H82" s="27"/>
      <c r="I82" s="27"/>
      <c r="J82" s="27"/>
      <c r="K82" s="27"/>
      <c r="L82" s="27"/>
      <c r="M82" s="27"/>
      <c r="N82" s="27"/>
      <c r="O82" s="27"/>
      <c r="P82" s="27"/>
      <c r="Q82" s="27"/>
      <c r="R82" s="27"/>
      <c r="S82" s="27"/>
      <c r="T82" s="27"/>
    </row>
    <row r="83" spans="1:20">
      <c r="A83" s="27"/>
      <c r="B83" s="27"/>
      <c r="C83" s="27"/>
      <c r="D83" s="27"/>
      <c r="E83" s="27"/>
      <c r="F83" s="27"/>
      <c r="G83" s="27"/>
      <c r="H83" s="27"/>
      <c r="I83" s="27"/>
      <c r="J83" s="27"/>
      <c r="K83" s="27"/>
      <c r="L83" s="27"/>
      <c r="M83" s="27"/>
      <c r="N83" s="27"/>
      <c r="O83" s="27"/>
      <c r="P83" s="27"/>
      <c r="Q83" s="27"/>
      <c r="R83" s="27"/>
      <c r="S83" s="27"/>
      <c r="T83" s="27"/>
    </row>
    <row r="84" spans="1:20">
      <c r="A84" s="27"/>
      <c r="B84" s="27"/>
      <c r="C84" s="27"/>
      <c r="D84" s="27"/>
      <c r="E84" s="27"/>
      <c r="F84" s="27"/>
      <c r="G84" s="27"/>
      <c r="H84" s="27"/>
      <c r="I84" s="27"/>
      <c r="J84" s="27"/>
      <c r="K84" s="27"/>
      <c r="L84" s="27"/>
      <c r="M84" s="27"/>
      <c r="N84" s="27"/>
      <c r="O84" s="27"/>
      <c r="P84" s="27"/>
      <c r="Q84" s="27"/>
      <c r="R84" s="27"/>
      <c r="S84" s="27"/>
      <c r="T84" s="27"/>
    </row>
    <row r="85" spans="1:20">
      <c r="A85" s="27"/>
      <c r="B85" s="27"/>
      <c r="C85" s="27"/>
      <c r="D85" s="27"/>
      <c r="E85" s="27"/>
      <c r="F85" s="27"/>
      <c r="G85" s="27"/>
      <c r="H85" s="27"/>
      <c r="I85" s="27"/>
      <c r="J85" s="27"/>
      <c r="K85" s="27"/>
      <c r="L85" s="27"/>
      <c r="M85" s="27"/>
      <c r="N85" s="27"/>
      <c r="O85" s="27"/>
      <c r="P85" s="27"/>
      <c r="Q85" s="27"/>
      <c r="R85" s="27"/>
      <c r="S85" s="27"/>
      <c r="T85" s="27"/>
    </row>
    <row r="86" spans="1:20">
      <c r="A86" s="27"/>
      <c r="B86" s="27"/>
      <c r="C86" s="27"/>
      <c r="D86" s="27"/>
      <c r="E86" s="27"/>
      <c r="F86" s="27"/>
      <c r="G86" s="27"/>
      <c r="H86" s="27"/>
      <c r="I86" s="27"/>
      <c r="J86" s="27"/>
      <c r="K86" s="27"/>
      <c r="L86" s="27"/>
      <c r="M86" s="27"/>
      <c r="N86" s="27"/>
      <c r="O86" s="27"/>
      <c r="P86" s="27"/>
      <c r="Q86" s="27"/>
      <c r="R86" s="27"/>
      <c r="S86" s="27"/>
      <c r="T86" s="27"/>
    </row>
    <row r="87" spans="1:20">
      <c r="A87" s="27"/>
      <c r="B87" s="27"/>
      <c r="C87" s="27"/>
      <c r="D87" s="27"/>
      <c r="E87" s="27"/>
      <c r="F87" s="27"/>
      <c r="G87" s="27"/>
      <c r="H87" s="27"/>
      <c r="I87" s="27"/>
      <c r="J87" s="27"/>
      <c r="K87" s="27"/>
      <c r="L87" s="27"/>
      <c r="M87" s="27"/>
      <c r="N87" s="27"/>
      <c r="O87" s="27"/>
      <c r="P87" s="27"/>
      <c r="Q87" s="27"/>
      <c r="R87" s="27"/>
      <c r="S87" s="27"/>
      <c r="T87" s="27"/>
    </row>
    <row r="88" spans="1:20">
      <c r="A88" s="27"/>
      <c r="B88" s="27"/>
      <c r="C88" s="27"/>
      <c r="D88" s="27"/>
      <c r="E88" s="27"/>
      <c r="F88" s="27"/>
      <c r="G88" s="27"/>
      <c r="H88" s="27"/>
      <c r="I88" s="27"/>
      <c r="J88" s="27"/>
      <c r="K88" s="27"/>
      <c r="L88" s="27"/>
      <c r="M88" s="27"/>
      <c r="N88" s="27"/>
      <c r="O88" s="27"/>
      <c r="P88" s="27"/>
      <c r="Q88" s="27"/>
      <c r="R88" s="27"/>
      <c r="S88" s="27"/>
      <c r="T88" s="27"/>
    </row>
    <row r="89" spans="1:20">
      <c r="A89" s="27"/>
      <c r="B89" s="27"/>
      <c r="C89" s="27"/>
      <c r="D89" s="27"/>
      <c r="E89" s="27"/>
      <c r="F89" s="27"/>
      <c r="G89" s="27"/>
      <c r="H89" s="27"/>
      <c r="I89" s="27"/>
      <c r="J89" s="27"/>
      <c r="K89" s="27"/>
      <c r="L89" s="27"/>
      <c r="M89" s="27"/>
      <c r="N89" s="27"/>
      <c r="O89" s="27"/>
      <c r="P89" s="27"/>
      <c r="Q89" s="27"/>
      <c r="R89" s="27"/>
      <c r="S89" s="27"/>
      <c r="T89" s="27"/>
    </row>
    <row r="90" spans="1:20">
      <c r="A90" s="27"/>
      <c r="B90" s="27"/>
      <c r="C90" s="27"/>
      <c r="D90" s="27"/>
      <c r="E90" s="27"/>
      <c r="F90" s="27"/>
      <c r="G90" s="27"/>
      <c r="H90" s="27"/>
      <c r="I90" s="27"/>
      <c r="J90" s="27"/>
      <c r="K90" s="27"/>
      <c r="L90" s="27"/>
      <c r="M90" s="27"/>
      <c r="N90" s="27"/>
      <c r="O90" s="27"/>
      <c r="P90" s="27"/>
      <c r="Q90" s="27"/>
      <c r="R90" s="27"/>
      <c r="S90" s="27"/>
      <c r="T90" s="27"/>
    </row>
    <row r="91" spans="1:20">
      <c r="A91" s="27"/>
      <c r="B91" s="27"/>
      <c r="C91" s="27"/>
      <c r="D91" s="27"/>
      <c r="E91" s="27"/>
      <c r="F91" s="27"/>
      <c r="G91" s="27"/>
      <c r="H91" s="27"/>
      <c r="I91" s="27"/>
      <c r="J91" s="27"/>
      <c r="K91" s="27"/>
      <c r="L91" s="27"/>
      <c r="M91" s="27"/>
      <c r="N91" s="27"/>
      <c r="O91" s="27"/>
      <c r="P91" s="27"/>
      <c r="Q91" s="27"/>
      <c r="R91" s="27"/>
      <c r="S91" s="27"/>
      <c r="T91" s="27"/>
    </row>
    <row r="92" spans="1:20">
      <c r="A92" s="27"/>
      <c r="B92" s="27"/>
      <c r="C92" s="27"/>
      <c r="D92" s="27"/>
      <c r="E92" s="27"/>
      <c r="F92" s="27"/>
      <c r="G92" s="27"/>
      <c r="H92" s="27"/>
      <c r="I92" s="27"/>
      <c r="J92" s="27"/>
      <c r="K92" s="27"/>
      <c r="L92" s="27"/>
      <c r="M92" s="27"/>
      <c r="N92" s="27"/>
      <c r="O92" s="27"/>
      <c r="P92" s="27"/>
      <c r="Q92" s="27"/>
      <c r="R92" s="27"/>
      <c r="S92" s="27"/>
      <c r="T92" s="27"/>
    </row>
    <row r="93" spans="1:20">
      <c r="A93" s="27"/>
      <c r="B93" s="27"/>
      <c r="C93" s="27"/>
      <c r="D93" s="27"/>
      <c r="E93" s="27"/>
      <c r="F93" s="27"/>
      <c r="G93" s="27"/>
      <c r="H93" s="27"/>
      <c r="I93" s="27"/>
      <c r="J93" s="27"/>
      <c r="K93" s="27"/>
      <c r="L93" s="27"/>
      <c r="M93" s="27"/>
      <c r="N93" s="27"/>
      <c r="O93" s="27"/>
      <c r="P93" s="27"/>
      <c r="Q93" s="27"/>
      <c r="R93" s="27"/>
      <c r="S93" s="27"/>
      <c r="T93" s="27"/>
    </row>
    <row r="94" spans="1:20">
      <c r="A94" s="27"/>
      <c r="B94" s="27"/>
      <c r="C94" s="27"/>
      <c r="D94" s="27"/>
      <c r="E94" s="27"/>
      <c r="F94" s="27"/>
      <c r="G94" s="27"/>
      <c r="H94" s="27"/>
      <c r="I94" s="27"/>
      <c r="J94" s="27"/>
      <c r="K94" s="27"/>
      <c r="L94" s="27"/>
      <c r="M94" s="27"/>
      <c r="N94" s="27"/>
      <c r="O94" s="27"/>
      <c r="P94" s="27"/>
      <c r="Q94" s="27"/>
      <c r="R94" s="27"/>
      <c r="S94" s="27"/>
      <c r="T94" s="27"/>
    </row>
    <row r="95" spans="1:20">
      <c r="A95" s="27"/>
      <c r="B95" s="27"/>
      <c r="C95" s="27"/>
      <c r="D95" s="27"/>
      <c r="E95" s="27"/>
      <c r="F95" s="27"/>
      <c r="G95" s="27"/>
      <c r="H95" s="27"/>
      <c r="I95" s="27"/>
      <c r="J95" s="27"/>
      <c r="K95" s="27"/>
      <c r="L95" s="27"/>
      <c r="M95" s="27"/>
      <c r="N95" s="27"/>
      <c r="O95" s="27"/>
      <c r="P95" s="27"/>
      <c r="Q95" s="27"/>
      <c r="R95" s="27"/>
      <c r="S95" s="27"/>
      <c r="T95" s="27"/>
    </row>
    <row r="96" spans="1:20">
      <c r="A96" s="27"/>
      <c r="B96" s="27"/>
      <c r="C96" s="27"/>
      <c r="D96" s="27"/>
      <c r="E96" s="27"/>
      <c r="F96" s="27"/>
      <c r="G96" s="27"/>
      <c r="H96" s="27"/>
      <c r="I96" s="27"/>
      <c r="J96" s="27"/>
      <c r="K96" s="27"/>
      <c r="L96" s="27"/>
      <c r="M96" s="27"/>
      <c r="N96" s="27"/>
      <c r="O96" s="27"/>
      <c r="P96" s="27"/>
      <c r="Q96" s="27"/>
      <c r="R96" s="27"/>
      <c r="S96" s="27"/>
      <c r="T96" s="27"/>
    </row>
    <row r="97" spans="1:20">
      <c r="A97" s="27"/>
      <c r="B97" s="27"/>
      <c r="C97" s="27"/>
      <c r="D97" s="27"/>
      <c r="E97" s="27"/>
      <c r="F97" s="27"/>
      <c r="G97" s="27"/>
      <c r="H97" s="27"/>
      <c r="I97" s="27"/>
      <c r="J97" s="27"/>
      <c r="K97" s="27"/>
      <c r="L97" s="27"/>
      <c r="M97" s="27"/>
      <c r="N97" s="27"/>
      <c r="O97" s="27"/>
      <c r="P97" s="27"/>
      <c r="Q97" s="27"/>
      <c r="R97" s="27"/>
      <c r="S97" s="27"/>
      <c r="T97" s="27"/>
    </row>
    <row r="98" spans="1:20">
      <c r="A98" s="27"/>
      <c r="B98" s="27"/>
      <c r="C98" s="27"/>
      <c r="D98" s="27"/>
      <c r="E98" s="27"/>
      <c r="F98" s="27"/>
      <c r="G98" s="27"/>
      <c r="H98" s="27"/>
      <c r="I98" s="27"/>
      <c r="J98" s="27"/>
      <c r="K98" s="27"/>
      <c r="L98" s="27"/>
      <c r="M98" s="27"/>
      <c r="N98" s="27"/>
      <c r="O98" s="27"/>
      <c r="P98" s="27"/>
      <c r="Q98" s="27"/>
      <c r="R98" s="27"/>
      <c r="S98" s="27"/>
      <c r="T98" s="27"/>
    </row>
    <row r="99" spans="1:20">
      <c r="A99" s="27"/>
      <c r="B99" s="27"/>
      <c r="C99" s="27"/>
      <c r="D99" s="27"/>
      <c r="E99" s="27"/>
      <c r="F99" s="27"/>
      <c r="G99" s="27"/>
      <c r="H99" s="27"/>
      <c r="I99" s="27"/>
      <c r="J99" s="27"/>
      <c r="K99" s="27"/>
      <c r="L99" s="27"/>
      <c r="M99" s="27"/>
      <c r="N99" s="27"/>
      <c r="O99" s="27"/>
      <c r="P99" s="27"/>
      <c r="Q99" s="27"/>
      <c r="R99" s="27"/>
      <c r="S99" s="27"/>
      <c r="T99" s="27"/>
    </row>
    <row r="100" spans="1:20">
      <c r="A100" s="27"/>
      <c r="B100" s="27"/>
      <c r="C100" s="27"/>
      <c r="D100" s="27"/>
      <c r="E100" s="27"/>
      <c r="F100" s="27"/>
      <c r="G100" s="27"/>
      <c r="H100" s="27"/>
      <c r="I100" s="27"/>
      <c r="J100" s="27"/>
      <c r="K100" s="27"/>
      <c r="L100" s="27"/>
      <c r="M100" s="27"/>
      <c r="N100" s="27"/>
      <c r="O100" s="27"/>
      <c r="P100" s="27"/>
      <c r="Q100" s="27"/>
      <c r="R100" s="27"/>
      <c r="S100" s="27"/>
      <c r="T100" s="27"/>
    </row>
    <row r="101" spans="1:20">
      <c r="A101" s="27"/>
      <c r="B101" s="27"/>
      <c r="C101" s="27"/>
      <c r="D101" s="27"/>
      <c r="E101" s="27"/>
      <c r="F101" s="27"/>
      <c r="G101" s="27"/>
      <c r="H101" s="27"/>
      <c r="I101" s="27"/>
      <c r="J101" s="27"/>
      <c r="K101" s="27"/>
      <c r="L101" s="27"/>
      <c r="M101" s="27"/>
      <c r="N101" s="27"/>
      <c r="O101" s="27"/>
      <c r="P101" s="27"/>
      <c r="Q101" s="27"/>
      <c r="R101" s="27"/>
      <c r="S101" s="27"/>
      <c r="T101" s="27"/>
    </row>
    <row r="102" spans="1:20">
      <c r="A102" s="27"/>
      <c r="B102" s="27"/>
      <c r="C102" s="27"/>
      <c r="D102" s="27"/>
      <c r="E102" s="27"/>
      <c r="F102" s="27"/>
      <c r="G102" s="27"/>
      <c r="H102" s="27"/>
      <c r="I102" s="27"/>
      <c r="J102" s="27"/>
      <c r="K102" s="27"/>
      <c r="L102" s="27"/>
      <c r="M102" s="27"/>
      <c r="N102" s="27"/>
      <c r="O102" s="27"/>
      <c r="P102" s="27"/>
      <c r="Q102" s="27"/>
      <c r="R102" s="27"/>
      <c r="S102" s="27"/>
      <c r="T102" s="27"/>
    </row>
    <row r="103" spans="1:20">
      <c r="A103" s="27"/>
      <c r="B103" s="27"/>
      <c r="C103" s="27"/>
      <c r="D103" s="27"/>
      <c r="E103" s="27"/>
      <c r="F103" s="27"/>
      <c r="G103" s="27"/>
      <c r="H103" s="27"/>
      <c r="I103" s="27"/>
      <c r="J103" s="27"/>
      <c r="K103" s="27"/>
      <c r="L103" s="27"/>
      <c r="M103" s="27"/>
      <c r="N103" s="27"/>
      <c r="O103" s="27"/>
      <c r="P103" s="27"/>
      <c r="Q103" s="27"/>
      <c r="R103" s="27"/>
      <c r="S103" s="27"/>
      <c r="T103" s="27"/>
    </row>
    <row r="104" spans="1:20">
      <c r="A104" s="27"/>
      <c r="B104" s="27"/>
      <c r="C104" s="27"/>
      <c r="D104" s="27"/>
      <c r="E104" s="27"/>
      <c r="F104" s="27"/>
      <c r="G104" s="27"/>
      <c r="H104" s="27"/>
      <c r="I104" s="27"/>
      <c r="J104" s="27"/>
      <c r="K104" s="27"/>
      <c r="L104" s="27"/>
      <c r="M104" s="27"/>
      <c r="N104" s="27"/>
      <c r="O104" s="27"/>
      <c r="P104" s="27"/>
      <c r="Q104" s="27"/>
      <c r="R104" s="27"/>
      <c r="S104" s="27"/>
      <c r="T104" s="27"/>
    </row>
    <row r="105" spans="1:20">
      <c r="A105" s="27"/>
      <c r="B105" s="27"/>
      <c r="C105" s="27"/>
      <c r="D105" s="27"/>
      <c r="E105" s="27"/>
      <c r="F105" s="27"/>
      <c r="G105" s="27"/>
      <c r="H105" s="27"/>
      <c r="I105" s="27"/>
      <c r="J105" s="27"/>
      <c r="K105" s="27"/>
      <c r="L105" s="27"/>
      <c r="M105" s="27"/>
      <c r="N105" s="27"/>
      <c r="O105" s="27"/>
      <c r="P105" s="27"/>
      <c r="Q105" s="27"/>
      <c r="R105" s="27"/>
      <c r="S105" s="27"/>
      <c r="T105" s="27"/>
    </row>
    <row r="106" spans="1:20">
      <c r="A106" s="27"/>
      <c r="B106" s="27"/>
      <c r="C106" s="27"/>
      <c r="D106" s="27"/>
      <c r="E106" s="27"/>
      <c r="F106" s="27"/>
      <c r="G106" s="27"/>
      <c r="H106" s="27"/>
      <c r="I106" s="27"/>
      <c r="J106" s="27"/>
      <c r="K106" s="27"/>
      <c r="L106" s="27"/>
      <c r="M106" s="27"/>
      <c r="N106" s="27"/>
      <c r="O106" s="27"/>
      <c r="P106" s="27"/>
      <c r="Q106" s="27"/>
      <c r="R106" s="27"/>
      <c r="S106" s="27"/>
      <c r="T106" s="27"/>
    </row>
    <row r="107" spans="1:20">
      <c r="A107" s="27"/>
      <c r="B107" s="27"/>
      <c r="C107" s="27"/>
      <c r="D107" s="27"/>
      <c r="E107" s="27"/>
      <c r="F107" s="27"/>
      <c r="G107" s="27"/>
      <c r="H107" s="27"/>
      <c r="I107" s="27"/>
      <c r="J107" s="27"/>
      <c r="K107" s="27"/>
      <c r="L107" s="27"/>
      <c r="M107" s="27"/>
      <c r="N107" s="27"/>
      <c r="O107" s="27"/>
      <c r="P107" s="27"/>
      <c r="Q107" s="27"/>
      <c r="R107" s="27"/>
      <c r="S107" s="27"/>
      <c r="T107" s="27"/>
    </row>
    <row r="108" spans="1:20">
      <c r="A108" s="27"/>
      <c r="B108" s="27"/>
      <c r="C108" s="27"/>
      <c r="D108" s="27"/>
      <c r="E108" s="27"/>
      <c r="F108" s="27"/>
      <c r="G108" s="27"/>
      <c r="H108" s="27"/>
      <c r="I108" s="27"/>
      <c r="J108" s="27"/>
      <c r="K108" s="27"/>
      <c r="L108" s="27"/>
      <c r="M108" s="27"/>
      <c r="N108" s="27"/>
      <c r="O108" s="27"/>
      <c r="P108" s="27"/>
      <c r="Q108" s="27"/>
      <c r="R108" s="27"/>
      <c r="S108" s="27"/>
      <c r="T108" s="27"/>
    </row>
    <row r="109" spans="1:20">
      <c r="A109" s="27"/>
      <c r="B109" s="27"/>
      <c r="C109" s="27"/>
      <c r="D109" s="27"/>
      <c r="E109" s="27"/>
      <c r="F109" s="27"/>
      <c r="G109" s="27"/>
      <c r="H109" s="27"/>
      <c r="I109" s="27"/>
      <c r="J109" s="27"/>
      <c r="K109" s="27"/>
      <c r="L109" s="27"/>
      <c r="M109" s="27"/>
      <c r="N109" s="27"/>
      <c r="O109" s="27"/>
      <c r="P109" s="27"/>
      <c r="Q109" s="27"/>
      <c r="R109" s="27"/>
      <c r="S109" s="27"/>
      <c r="T109" s="27"/>
    </row>
    <row r="110" spans="1:20">
      <c r="A110" s="27"/>
      <c r="B110" s="27"/>
      <c r="C110" s="27"/>
      <c r="D110" s="27"/>
      <c r="E110" s="27"/>
      <c r="F110" s="27"/>
      <c r="G110" s="27"/>
      <c r="H110" s="27"/>
      <c r="I110" s="27"/>
      <c r="J110" s="27"/>
      <c r="K110" s="27"/>
      <c r="L110" s="27"/>
      <c r="M110" s="27"/>
      <c r="N110" s="27"/>
      <c r="O110" s="27"/>
      <c r="P110" s="27"/>
      <c r="Q110" s="27"/>
      <c r="R110" s="27"/>
      <c r="S110" s="27"/>
      <c r="T110" s="27"/>
    </row>
    <row r="111" spans="1:20">
      <c r="A111" s="27"/>
      <c r="B111" s="27"/>
      <c r="C111" s="27"/>
      <c r="D111" s="27"/>
      <c r="E111" s="27"/>
      <c r="F111" s="27"/>
      <c r="G111" s="27"/>
      <c r="H111" s="27"/>
      <c r="I111" s="27"/>
      <c r="J111" s="27"/>
      <c r="K111" s="27"/>
      <c r="L111" s="27"/>
      <c r="M111" s="27"/>
      <c r="N111" s="27"/>
      <c r="O111" s="27"/>
      <c r="P111" s="27"/>
      <c r="Q111" s="27"/>
      <c r="R111" s="27"/>
      <c r="S111" s="27"/>
      <c r="T111" s="27"/>
    </row>
    <row r="112" spans="1:20">
      <c r="A112" s="27"/>
      <c r="B112" s="27"/>
      <c r="C112" s="27"/>
      <c r="D112" s="27"/>
      <c r="E112" s="27"/>
      <c r="F112" s="27"/>
      <c r="G112" s="27"/>
      <c r="H112" s="27"/>
      <c r="I112" s="27"/>
      <c r="J112" s="27"/>
      <c r="K112" s="27"/>
      <c r="L112" s="27"/>
      <c r="M112" s="27"/>
      <c r="N112" s="27"/>
      <c r="O112" s="27"/>
      <c r="P112" s="27"/>
      <c r="Q112" s="27"/>
      <c r="R112" s="27"/>
      <c r="S112" s="27"/>
      <c r="T112" s="27"/>
    </row>
    <row r="113" spans="1:20">
      <c r="A113" s="27"/>
      <c r="B113" s="27"/>
      <c r="C113" s="27"/>
      <c r="D113" s="27"/>
      <c r="E113" s="27"/>
      <c r="F113" s="27"/>
      <c r="G113" s="27"/>
      <c r="H113" s="27"/>
      <c r="I113" s="27"/>
      <c r="J113" s="27"/>
      <c r="K113" s="27"/>
      <c r="L113" s="27"/>
      <c r="M113" s="27"/>
      <c r="N113" s="27"/>
      <c r="O113" s="27"/>
      <c r="P113" s="27"/>
      <c r="Q113" s="27"/>
      <c r="R113" s="27"/>
      <c r="S113" s="27"/>
      <c r="T113" s="27"/>
    </row>
    <row r="114" spans="1:20">
      <c r="A114" s="27"/>
      <c r="B114" s="27"/>
      <c r="C114" s="27"/>
      <c r="D114" s="27"/>
      <c r="E114" s="27"/>
      <c r="F114" s="27"/>
      <c r="G114" s="27"/>
      <c r="H114" s="27"/>
      <c r="I114" s="27"/>
      <c r="J114" s="27"/>
      <c r="K114" s="27"/>
      <c r="L114" s="27"/>
      <c r="M114" s="27"/>
      <c r="N114" s="27"/>
      <c r="O114" s="27"/>
      <c r="P114" s="27"/>
      <c r="Q114" s="27"/>
      <c r="R114" s="27"/>
      <c r="S114" s="27"/>
      <c r="T114" s="27"/>
    </row>
    <row r="115" spans="1:20">
      <c r="A115" s="27"/>
      <c r="B115" s="27"/>
      <c r="C115" s="27"/>
      <c r="D115" s="27"/>
      <c r="E115" s="27"/>
      <c r="F115" s="27"/>
      <c r="G115" s="27"/>
      <c r="H115" s="27"/>
      <c r="I115" s="27"/>
      <c r="J115" s="27"/>
      <c r="K115" s="27"/>
      <c r="L115" s="27"/>
      <c r="M115" s="27"/>
      <c r="N115" s="27"/>
      <c r="O115" s="27"/>
      <c r="P115" s="27"/>
      <c r="Q115" s="27"/>
      <c r="R115" s="27"/>
      <c r="S115" s="27"/>
      <c r="T115" s="27"/>
    </row>
    <row r="116" spans="1:20">
      <c r="A116" s="27"/>
      <c r="B116" s="27"/>
      <c r="C116" s="27"/>
      <c r="D116" s="27"/>
      <c r="E116" s="27"/>
      <c r="F116" s="27"/>
      <c r="G116" s="27"/>
      <c r="H116" s="27"/>
      <c r="I116" s="27"/>
      <c r="J116" s="27"/>
      <c r="K116" s="27"/>
      <c r="L116" s="27"/>
      <c r="M116" s="27"/>
      <c r="N116" s="27"/>
      <c r="O116" s="27"/>
      <c r="P116" s="27"/>
      <c r="Q116" s="27"/>
      <c r="R116" s="27"/>
      <c r="S116" s="27"/>
      <c r="T116" s="27"/>
    </row>
    <row r="117" spans="1:20">
      <c r="A117" s="27"/>
      <c r="B117" s="27"/>
      <c r="C117" s="27"/>
      <c r="D117" s="27"/>
      <c r="E117" s="27"/>
      <c r="F117" s="27"/>
      <c r="G117" s="27"/>
      <c r="H117" s="27"/>
      <c r="I117" s="27"/>
      <c r="J117" s="27"/>
      <c r="K117" s="27"/>
      <c r="L117" s="27"/>
      <c r="M117" s="27"/>
      <c r="N117" s="27"/>
      <c r="O117" s="27"/>
      <c r="P117" s="27"/>
      <c r="Q117" s="27"/>
      <c r="R117" s="27"/>
      <c r="S117" s="27"/>
      <c r="T117" s="27"/>
    </row>
    <row r="118" spans="1:20">
      <c r="A118" s="27"/>
      <c r="B118" s="27"/>
      <c r="C118" s="27"/>
      <c r="D118" s="27"/>
      <c r="E118" s="27"/>
      <c r="F118" s="27"/>
      <c r="G118" s="27"/>
      <c r="H118" s="27"/>
      <c r="I118" s="27"/>
      <c r="J118" s="27"/>
      <c r="K118" s="27"/>
      <c r="L118" s="27"/>
      <c r="M118" s="27"/>
      <c r="N118" s="27"/>
      <c r="O118" s="27"/>
      <c r="P118" s="27"/>
      <c r="Q118" s="27"/>
      <c r="R118" s="27"/>
      <c r="S118" s="27"/>
      <c r="T118" s="27"/>
    </row>
    <row r="119" spans="1:20">
      <c r="A119" s="27"/>
      <c r="B119" s="27"/>
      <c r="C119" s="27"/>
      <c r="D119" s="27"/>
      <c r="E119" s="27"/>
      <c r="F119" s="27"/>
      <c r="G119" s="27"/>
      <c r="H119" s="27"/>
      <c r="I119" s="27"/>
      <c r="J119" s="27"/>
      <c r="K119" s="27"/>
      <c r="L119" s="27"/>
      <c r="M119" s="27"/>
      <c r="N119" s="27"/>
      <c r="O119" s="27"/>
      <c r="P119" s="27"/>
      <c r="Q119" s="27"/>
      <c r="R119" s="27"/>
      <c r="S119" s="27"/>
      <c r="T119" s="27"/>
    </row>
    <row r="120" spans="1:20">
      <c r="A120" s="27"/>
      <c r="B120" s="27"/>
      <c r="C120" s="27"/>
      <c r="D120" s="27"/>
      <c r="E120" s="27"/>
      <c r="F120" s="27"/>
      <c r="G120" s="27"/>
      <c r="H120" s="27"/>
      <c r="I120" s="27"/>
      <c r="J120" s="27"/>
      <c r="K120" s="27"/>
      <c r="L120" s="27"/>
      <c r="M120" s="27"/>
      <c r="N120" s="27"/>
      <c r="O120" s="27"/>
      <c r="P120" s="27"/>
      <c r="Q120" s="27"/>
      <c r="R120" s="27"/>
      <c r="S120" s="27"/>
      <c r="T120" s="27"/>
    </row>
    <row r="121" spans="1:20">
      <c r="A121" s="27"/>
      <c r="B121" s="27"/>
      <c r="C121" s="27"/>
      <c r="D121" s="27"/>
      <c r="E121" s="27"/>
      <c r="F121" s="27"/>
      <c r="G121" s="27"/>
      <c r="H121" s="27"/>
      <c r="I121" s="27"/>
      <c r="J121" s="27"/>
      <c r="K121" s="27"/>
      <c r="L121" s="27"/>
      <c r="M121" s="27"/>
      <c r="N121" s="27"/>
      <c r="O121" s="27"/>
      <c r="P121" s="27"/>
      <c r="Q121" s="27"/>
      <c r="R121" s="27"/>
      <c r="S121" s="27"/>
      <c r="T121" s="27"/>
    </row>
    <row r="122" spans="1:20">
      <c r="A122" s="27"/>
      <c r="B122" s="27"/>
      <c r="C122" s="27"/>
      <c r="D122" s="27"/>
      <c r="E122" s="27"/>
      <c r="F122" s="27"/>
      <c r="G122" s="27"/>
      <c r="H122" s="27"/>
      <c r="I122" s="27"/>
      <c r="J122" s="27"/>
      <c r="K122" s="27"/>
      <c r="L122" s="27"/>
      <c r="M122" s="27"/>
      <c r="N122" s="27"/>
      <c r="O122" s="27"/>
      <c r="P122" s="27"/>
      <c r="Q122" s="27"/>
      <c r="R122" s="27"/>
      <c r="S122" s="27"/>
      <c r="T122" s="27"/>
    </row>
    <row r="123" spans="1:20">
      <c r="A123" s="27"/>
      <c r="B123" s="27"/>
      <c r="C123" s="27"/>
      <c r="D123" s="27"/>
      <c r="E123" s="27"/>
      <c r="F123" s="27"/>
      <c r="G123" s="27"/>
      <c r="H123" s="27"/>
      <c r="I123" s="27"/>
      <c r="J123" s="27"/>
      <c r="K123" s="27"/>
      <c r="L123" s="27"/>
      <c r="M123" s="27"/>
      <c r="N123" s="27"/>
      <c r="O123" s="27"/>
      <c r="P123" s="27"/>
      <c r="Q123" s="27"/>
      <c r="R123" s="27"/>
      <c r="S123" s="27"/>
      <c r="T123" s="27"/>
    </row>
    <row r="124" spans="1:20">
      <c r="A124" s="27"/>
      <c r="C124" s="27"/>
      <c r="D124" s="27"/>
      <c r="E124" s="27"/>
      <c r="F124" s="27"/>
      <c r="G124" s="27"/>
      <c r="H124" s="27"/>
      <c r="I124" s="27"/>
      <c r="J124" s="27"/>
      <c r="K124" s="27"/>
      <c r="L124" s="27"/>
      <c r="M124" s="27"/>
      <c r="N124" s="27"/>
      <c r="O124" s="27"/>
      <c r="P124" s="27"/>
      <c r="Q124" s="27"/>
      <c r="R124" s="27"/>
      <c r="S124" s="27"/>
      <c r="T124" s="27"/>
    </row>
    <row r="125" spans="1:20" ht="18">
      <c r="A125" s="27"/>
      <c r="B125" s="199"/>
      <c r="C125" s="27"/>
      <c r="D125" s="27"/>
      <c r="E125" s="27"/>
      <c r="F125" s="27"/>
      <c r="G125" s="27"/>
      <c r="H125" s="27"/>
      <c r="I125" s="27"/>
      <c r="J125" s="27"/>
      <c r="K125" s="27"/>
      <c r="L125" s="27"/>
      <c r="M125" s="27"/>
      <c r="N125" s="27"/>
      <c r="O125" s="27"/>
      <c r="P125" s="27"/>
      <c r="Q125" s="27"/>
      <c r="R125" s="27"/>
      <c r="S125" s="27"/>
      <c r="T125" s="27"/>
    </row>
    <row r="126" spans="1:20">
      <c r="A126" s="27"/>
      <c r="B126" s="200"/>
      <c r="C126" s="27"/>
      <c r="D126" s="27"/>
      <c r="E126" s="27"/>
      <c r="F126" s="27"/>
      <c r="G126" s="27"/>
      <c r="H126" s="27"/>
      <c r="I126" s="27"/>
      <c r="J126" s="27"/>
      <c r="K126" s="27"/>
      <c r="L126" s="27"/>
      <c r="M126" s="27"/>
      <c r="N126" s="27"/>
      <c r="O126" s="27"/>
      <c r="P126" s="27"/>
      <c r="Q126" s="27"/>
      <c r="R126" s="27"/>
      <c r="S126" s="27"/>
      <c r="T126" s="27"/>
    </row>
    <row r="127" spans="1:20">
      <c r="A127" s="27"/>
      <c r="B127" s="27"/>
      <c r="C127" s="27"/>
      <c r="D127" s="27"/>
      <c r="E127" s="27"/>
      <c r="F127" s="27"/>
      <c r="G127" s="27"/>
      <c r="H127" s="27"/>
      <c r="I127" s="27"/>
      <c r="J127" s="27"/>
      <c r="K127" s="27"/>
      <c r="L127" s="27"/>
      <c r="M127" s="27"/>
      <c r="N127" s="27"/>
      <c r="O127" s="27"/>
      <c r="P127" s="27"/>
      <c r="Q127" s="27"/>
      <c r="R127" s="27"/>
      <c r="S127" s="27"/>
      <c r="T127" s="27"/>
    </row>
    <row r="128" spans="1:20">
      <c r="A128" s="27"/>
      <c r="B128" s="28"/>
      <c r="C128" s="179"/>
      <c r="D128" s="179"/>
      <c r="E128" s="179"/>
      <c r="F128" s="27"/>
      <c r="G128" s="27"/>
      <c r="H128" s="27"/>
      <c r="I128" s="28"/>
      <c r="J128" s="193"/>
      <c r="K128" s="28"/>
      <c r="L128" s="28"/>
      <c r="M128" s="27"/>
      <c r="N128" s="27"/>
      <c r="O128" s="27"/>
      <c r="P128" s="27"/>
      <c r="Q128" s="27"/>
      <c r="R128" s="27"/>
      <c r="S128" s="27"/>
      <c r="T128" s="27"/>
    </row>
    <row r="129" spans="1:20">
      <c r="A129" s="27"/>
      <c r="B129" s="27"/>
      <c r="C129" s="203"/>
      <c r="D129" s="203"/>
      <c r="E129" s="203"/>
      <c r="F129" s="28"/>
      <c r="G129" s="27"/>
      <c r="H129" s="27"/>
      <c r="I129" s="27"/>
      <c r="J129" s="27"/>
      <c r="K129" s="27"/>
      <c r="L129" s="27"/>
      <c r="M129" s="27"/>
      <c r="N129" s="27"/>
      <c r="O129" s="27"/>
      <c r="P129" s="27"/>
      <c r="Q129" s="27"/>
      <c r="R129" s="27"/>
      <c r="S129" s="27"/>
      <c r="T129" s="27"/>
    </row>
    <row r="130" spans="1:20">
      <c r="A130" s="27"/>
      <c r="B130" s="198"/>
      <c r="C130" s="204"/>
      <c r="D130" s="204"/>
      <c r="E130" s="204"/>
      <c r="F130" s="182"/>
      <c r="G130" s="27"/>
      <c r="H130" s="27"/>
      <c r="I130" s="27"/>
      <c r="J130" s="27"/>
      <c r="K130" s="27"/>
      <c r="L130" s="27"/>
      <c r="M130" s="27"/>
      <c r="N130" s="27"/>
      <c r="O130" s="27"/>
      <c r="P130" s="27"/>
      <c r="Q130" s="27"/>
      <c r="R130" s="27"/>
      <c r="S130" s="27"/>
      <c r="T130" s="27"/>
    </row>
    <row r="131" spans="1:20">
      <c r="A131" s="27"/>
      <c r="B131" s="202"/>
      <c r="C131" s="204"/>
      <c r="D131" s="204"/>
      <c r="E131" s="205"/>
      <c r="F131" s="27"/>
      <c r="G131" s="27"/>
      <c r="H131" s="27"/>
      <c r="I131" s="27"/>
      <c r="J131" s="27"/>
      <c r="K131" s="27"/>
      <c r="L131" s="27"/>
      <c r="M131" s="27"/>
      <c r="N131" s="27"/>
      <c r="O131" s="27"/>
      <c r="P131" s="27"/>
      <c r="Q131" s="27"/>
      <c r="R131" s="27"/>
      <c r="S131" s="27"/>
      <c r="T131" s="27"/>
    </row>
    <row r="132" spans="1:20">
      <c r="A132" s="27"/>
      <c r="B132" s="202"/>
      <c r="C132" s="204"/>
      <c r="D132" s="204"/>
      <c r="E132" s="205"/>
      <c r="F132" s="27"/>
      <c r="G132" s="27"/>
      <c r="H132" s="27"/>
      <c r="I132" s="27"/>
      <c r="J132" s="27"/>
      <c r="K132" s="27"/>
      <c r="L132" s="27"/>
      <c r="M132" s="27"/>
      <c r="N132" s="27"/>
      <c r="O132" s="27"/>
      <c r="P132" s="27"/>
      <c r="Q132" s="27"/>
      <c r="R132" s="27"/>
      <c r="S132" s="27"/>
      <c r="T132" s="27"/>
    </row>
    <row r="133" spans="1:20">
      <c r="A133" s="27"/>
      <c r="B133" s="202"/>
      <c r="C133" s="204"/>
      <c r="D133" s="204"/>
      <c r="E133" s="205"/>
      <c r="F133" s="27"/>
      <c r="G133" s="27"/>
      <c r="H133" s="27"/>
      <c r="I133" s="27"/>
      <c r="J133" s="27"/>
      <c r="K133" s="27"/>
      <c r="L133" s="27"/>
      <c r="M133" s="27"/>
      <c r="N133" s="27"/>
      <c r="O133" s="27"/>
      <c r="P133" s="27"/>
      <c r="Q133" s="27"/>
      <c r="R133" s="27"/>
      <c r="S133" s="27"/>
      <c r="T133" s="27"/>
    </row>
    <row r="134" spans="1:20">
      <c r="A134" s="27"/>
      <c r="B134" s="198"/>
      <c r="C134" s="204"/>
      <c r="D134" s="204"/>
      <c r="E134" s="204"/>
      <c r="F134" s="182"/>
      <c r="G134" s="27"/>
      <c r="H134" s="27"/>
      <c r="I134" s="27"/>
      <c r="J134" s="27"/>
      <c r="K134" s="27"/>
      <c r="L134" s="27"/>
      <c r="M134" s="27"/>
      <c r="N134" s="27"/>
      <c r="O134" s="27"/>
      <c r="P134" s="27"/>
      <c r="Q134" s="27"/>
      <c r="R134" s="27"/>
      <c r="S134" s="27"/>
      <c r="T134" s="27"/>
    </row>
    <row r="135" spans="1:20">
      <c r="A135" s="27"/>
      <c r="B135" s="197"/>
      <c r="C135" s="196"/>
      <c r="D135" s="196"/>
      <c r="E135" s="205"/>
      <c r="F135" s="27"/>
      <c r="G135" s="27"/>
      <c r="H135" s="27"/>
      <c r="I135" s="27"/>
      <c r="J135" s="27"/>
      <c r="K135" s="27"/>
      <c r="L135" s="27"/>
      <c r="M135" s="27"/>
      <c r="N135" s="27"/>
      <c r="O135" s="27"/>
      <c r="P135" s="27"/>
      <c r="Q135" s="27"/>
      <c r="R135" s="27"/>
      <c r="S135" s="27"/>
      <c r="T135" s="27"/>
    </row>
    <row r="136" spans="1:20">
      <c r="A136" s="27"/>
      <c r="B136" s="197"/>
      <c r="C136" s="196"/>
      <c r="D136" s="196"/>
      <c r="E136" s="205"/>
      <c r="F136" s="27"/>
      <c r="G136" s="27"/>
      <c r="H136" s="27"/>
      <c r="I136" s="27"/>
      <c r="J136" s="27"/>
      <c r="K136" s="27"/>
      <c r="L136" s="27"/>
      <c r="M136" s="27"/>
      <c r="N136" s="27"/>
      <c r="O136" s="27"/>
      <c r="P136" s="27"/>
      <c r="Q136" s="27"/>
      <c r="R136" s="27"/>
      <c r="S136" s="27"/>
      <c r="T136" s="27"/>
    </row>
    <row r="137" spans="1:20">
      <c r="A137" s="27"/>
      <c r="B137" s="198"/>
      <c r="C137" s="204"/>
      <c r="D137" s="204"/>
      <c r="E137" s="204"/>
      <c r="F137" s="27"/>
      <c r="G137" s="27"/>
      <c r="H137" s="27"/>
      <c r="I137" s="27"/>
      <c r="J137" s="27"/>
      <c r="K137" s="27"/>
      <c r="L137" s="27"/>
      <c r="M137" s="27"/>
      <c r="N137" s="27"/>
      <c r="O137" s="27"/>
      <c r="P137" s="27"/>
      <c r="Q137" s="27"/>
      <c r="R137" s="27"/>
      <c r="S137" s="27"/>
      <c r="T137" s="27"/>
    </row>
    <row r="138" spans="1:20">
      <c r="A138" s="27"/>
      <c r="B138" s="198"/>
      <c r="C138" s="204"/>
      <c r="D138" s="204"/>
      <c r="E138" s="204"/>
      <c r="F138" s="27"/>
      <c r="G138" s="27"/>
      <c r="H138" s="27"/>
      <c r="I138" s="27"/>
      <c r="J138" s="27"/>
      <c r="K138" s="27"/>
      <c r="L138" s="27"/>
      <c r="M138" s="27"/>
      <c r="N138" s="27"/>
      <c r="O138" s="27"/>
      <c r="P138" s="27"/>
      <c r="Q138" s="27"/>
      <c r="R138" s="27"/>
      <c r="S138" s="27"/>
      <c r="T138" s="27"/>
    </row>
    <row r="139" spans="1:20">
      <c r="A139" s="27"/>
      <c r="B139" s="198"/>
      <c r="C139" s="204"/>
      <c r="D139" s="204"/>
      <c r="E139" s="204"/>
      <c r="F139" s="27"/>
      <c r="G139" s="27"/>
      <c r="H139" s="27"/>
      <c r="I139" s="27"/>
      <c r="J139" s="27"/>
      <c r="K139" s="27"/>
      <c r="L139" s="27"/>
      <c r="M139" s="27"/>
      <c r="N139" s="27"/>
      <c r="O139" s="27"/>
      <c r="P139" s="27"/>
      <c r="Q139" s="27"/>
      <c r="R139" s="27"/>
      <c r="S139" s="27"/>
      <c r="T139" s="27"/>
    </row>
    <row r="140" spans="1:20">
      <c r="A140" s="27"/>
      <c r="B140" s="27"/>
      <c r="C140" s="203"/>
      <c r="D140" s="203"/>
      <c r="E140" s="203"/>
      <c r="F140" s="27"/>
      <c r="G140" s="27"/>
      <c r="H140" s="27"/>
      <c r="I140" s="27"/>
      <c r="J140" s="27"/>
      <c r="K140" s="27"/>
      <c r="L140" s="27"/>
      <c r="M140" s="27"/>
      <c r="N140" s="27"/>
      <c r="O140" s="27"/>
      <c r="P140" s="27"/>
      <c r="Q140" s="27"/>
      <c r="R140" s="27"/>
      <c r="S140" s="27"/>
      <c r="T140" s="27"/>
    </row>
    <row r="141" spans="1:20">
      <c r="A141" s="27"/>
      <c r="B141" s="28"/>
      <c r="C141" s="203"/>
      <c r="D141" s="203"/>
      <c r="E141" s="196"/>
      <c r="F141" s="27"/>
      <c r="G141" s="27"/>
      <c r="H141" s="27"/>
      <c r="I141" s="27"/>
      <c r="J141" s="27"/>
      <c r="K141" s="27"/>
      <c r="L141" s="27"/>
      <c r="M141" s="27"/>
      <c r="N141" s="27"/>
      <c r="O141" s="27"/>
      <c r="P141" s="27"/>
      <c r="Q141" s="27"/>
      <c r="R141" s="27"/>
      <c r="S141" s="27"/>
      <c r="T141" s="27"/>
    </row>
    <row r="142" spans="1:20">
      <c r="A142" s="27"/>
      <c r="B142" s="28"/>
      <c r="C142" s="203"/>
      <c r="D142" s="203"/>
      <c r="E142" s="203"/>
      <c r="F142" s="27"/>
      <c r="G142" s="27"/>
      <c r="H142" s="27"/>
      <c r="I142" s="27"/>
      <c r="J142" s="27"/>
      <c r="K142" s="27"/>
      <c r="L142" s="27"/>
      <c r="M142" s="27"/>
      <c r="N142" s="27"/>
      <c r="O142" s="27"/>
      <c r="P142" s="27"/>
      <c r="Q142" s="27"/>
      <c r="R142" s="27"/>
      <c r="S142" s="27"/>
      <c r="T142" s="27"/>
    </row>
    <row r="143" spans="1:20">
      <c r="A143" s="27"/>
      <c r="B143" s="28"/>
      <c r="C143" s="203"/>
      <c r="D143" s="196"/>
      <c r="E143" s="196"/>
      <c r="F143" s="27"/>
      <c r="G143" s="27"/>
      <c r="H143" s="27"/>
      <c r="I143" s="27"/>
      <c r="J143" s="27"/>
      <c r="K143" s="27"/>
      <c r="L143" s="27"/>
      <c r="M143" s="27"/>
      <c r="N143" s="27"/>
      <c r="O143" s="27"/>
      <c r="P143" s="27"/>
      <c r="Q143" s="27"/>
      <c r="R143" s="27"/>
      <c r="S143" s="27"/>
      <c r="T143" s="27"/>
    </row>
    <row r="144" spans="1:20" ht="18">
      <c r="A144" s="27"/>
      <c r="B144" s="27"/>
      <c r="C144" s="27"/>
      <c r="D144" s="27"/>
      <c r="E144" s="27"/>
      <c r="F144" s="27"/>
      <c r="G144" s="27"/>
      <c r="H144" s="27"/>
      <c r="I144" s="199"/>
      <c r="J144" s="27"/>
      <c r="K144" s="27"/>
      <c r="L144" s="27"/>
      <c r="M144" s="27"/>
      <c r="N144" s="27"/>
      <c r="O144" s="27"/>
      <c r="P144" s="27"/>
      <c r="Q144" s="27"/>
      <c r="R144" s="27"/>
      <c r="S144" s="27"/>
      <c r="T144" s="27"/>
    </row>
    <row r="145" spans="1:20" ht="18">
      <c r="A145" s="27"/>
      <c r="B145" s="27"/>
      <c r="C145" s="27"/>
      <c r="D145" s="27"/>
      <c r="E145" s="27"/>
      <c r="F145" s="27"/>
      <c r="G145" s="27"/>
      <c r="H145" s="27"/>
      <c r="I145" s="199"/>
      <c r="J145" s="27"/>
      <c r="K145" s="27"/>
      <c r="L145" s="27"/>
      <c r="M145" s="27"/>
      <c r="N145" s="27"/>
      <c r="O145" s="27"/>
      <c r="P145" s="27"/>
      <c r="Q145" s="27"/>
      <c r="R145" s="27"/>
      <c r="S145" s="27"/>
      <c r="T145" s="27"/>
    </row>
    <row r="146" spans="1:20" ht="18">
      <c r="A146" s="27"/>
      <c r="B146" s="27"/>
      <c r="C146" s="27"/>
      <c r="D146" s="27"/>
      <c r="E146" s="27"/>
      <c r="F146" s="27"/>
      <c r="G146" s="27"/>
      <c r="H146" s="27"/>
      <c r="I146" s="199"/>
      <c r="J146" s="27"/>
      <c r="K146" s="27"/>
      <c r="L146" s="27"/>
      <c r="M146" s="27"/>
      <c r="N146" s="27"/>
      <c r="O146" s="27"/>
      <c r="P146" s="27"/>
      <c r="Q146" s="27"/>
      <c r="R146" s="27"/>
      <c r="S146" s="27"/>
      <c r="T146" s="27"/>
    </row>
    <row r="147" spans="1:20" ht="18">
      <c r="A147" s="27"/>
      <c r="B147" s="27"/>
      <c r="C147" s="27"/>
      <c r="D147" s="27"/>
      <c r="E147" s="27"/>
      <c r="F147" s="27"/>
      <c r="G147" s="27"/>
      <c r="H147" s="27"/>
      <c r="I147" s="199"/>
      <c r="J147" s="27"/>
      <c r="K147" s="27"/>
      <c r="L147" s="27"/>
      <c r="M147" s="27"/>
      <c r="N147" s="27"/>
      <c r="O147" s="27"/>
      <c r="P147" s="27"/>
      <c r="Q147" s="27"/>
      <c r="R147" s="27"/>
      <c r="S147" s="27"/>
      <c r="T147" s="27"/>
    </row>
    <row r="148" spans="1:20" ht="18">
      <c r="A148" s="27"/>
      <c r="B148" s="27"/>
      <c r="C148" s="27"/>
      <c r="D148" s="27"/>
      <c r="E148" s="27"/>
      <c r="F148" s="27"/>
      <c r="G148" s="27"/>
      <c r="H148" s="27"/>
      <c r="I148" s="199"/>
      <c r="J148" s="27"/>
      <c r="K148" s="27"/>
      <c r="L148" s="27"/>
      <c r="M148" s="27"/>
      <c r="N148" s="27"/>
      <c r="O148" s="27"/>
      <c r="P148" s="27"/>
      <c r="Q148" s="27"/>
      <c r="R148" s="27"/>
      <c r="S148" s="27"/>
      <c r="T148" s="27"/>
    </row>
    <row r="149" spans="1:20" ht="18">
      <c r="A149" s="27"/>
      <c r="B149" s="27"/>
      <c r="C149" s="27"/>
      <c r="D149" s="27"/>
      <c r="E149" s="27"/>
      <c r="F149" s="27"/>
      <c r="G149" s="27"/>
      <c r="H149" s="27"/>
      <c r="I149" s="199"/>
      <c r="J149" s="27"/>
      <c r="K149" s="27"/>
      <c r="L149" s="27"/>
      <c r="M149" s="27"/>
      <c r="N149" s="27"/>
      <c r="O149" s="27"/>
      <c r="P149" s="27"/>
      <c r="Q149" s="27"/>
      <c r="R149" s="27"/>
      <c r="S149" s="27"/>
      <c r="T149" s="27"/>
    </row>
    <row r="150" spans="1:20" ht="18">
      <c r="A150" s="27"/>
      <c r="B150" s="27"/>
      <c r="C150" s="27"/>
      <c r="D150" s="27"/>
      <c r="E150" s="27"/>
      <c r="F150" s="27"/>
      <c r="G150" s="27"/>
      <c r="H150" s="27"/>
      <c r="I150" s="199"/>
      <c r="J150" s="27"/>
      <c r="K150" s="27"/>
      <c r="L150" s="27"/>
      <c r="M150" s="27"/>
      <c r="N150" s="27"/>
      <c r="O150" s="27"/>
      <c r="P150" s="27"/>
      <c r="Q150" s="27"/>
      <c r="R150" s="27"/>
      <c r="S150" s="27"/>
      <c r="T150" s="27"/>
    </row>
    <row r="151" spans="1:20" ht="18">
      <c r="A151" s="27"/>
      <c r="B151" s="27"/>
      <c r="C151" s="27"/>
      <c r="D151" s="27"/>
      <c r="E151" s="27"/>
      <c r="F151" s="27"/>
      <c r="G151" s="27"/>
      <c r="H151" s="27"/>
      <c r="I151" s="199"/>
      <c r="J151" s="27"/>
      <c r="K151" s="27"/>
      <c r="L151" s="27"/>
      <c r="M151" s="27"/>
      <c r="N151" s="27"/>
      <c r="O151" s="27"/>
      <c r="P151" s="27"/>
      <c r="Q151" s="27"/>
      <c r="R151" s="27"/>
      <c r="S151" s="27"/>
      <c r="T151" s="27"/>
    </row>
    <row r="152" spans="1:20" ht="18">
      <c r="A152" s="27"/>
      <c r="B152" s="27"/>
      <c r="C152" s="27"/>
      <c r="D152" s="27"/>
      <c r="E152" s="27"/>
      <c r="F152" s="27"/>
      <c r="G152" s="27"/>
      <c r="H152" s="27"/>
      <c r="I152" s="199"/>
      <c r="J152" s="27"/>
      <c r="K152" s="27"/>
      <c r="L152" s="27"/>
      <c r="M152" s="27"/>
      <c r="N152" s="27"/>
      <c r="O152" s="27"/>
      <c r="P152" s="27"/>
      <c r="Q152" s="27"/>
      <c r="R152" s="27"/>
      <c r="S152" s="27"/>
      <c r="T152" s="27"/>
    </row>
    <row r="153" spans="1:20" ht="18">
      <c r="A153" s="27"/>
      <c r="B153" s="27"/>
      <c r="C153" s="27"/>
      <c r="D153" s="27"/>
      <c r="E153" s="27"/>
      <c r="F153" s="27"/>
      <c r="G153" s="27"/>
      <c r="H153" s="27"/>
      <c r="I153" s="199"/>
      <c r="J153" s="27"/>
      <c r="K153" s="27"/>
      <c r="L153" s="27"/>
      <c r="M153" s="27"/>
      <c r="N153" s="27"/>
      <c r="O153" s="27"/>
      <c r="P153" s="27"/>
      <c r="Q153" s="27"/>
      <c r="R153" s="27"/>
      <c r="S153" s="27"/>
      <c r="T153" s="27"/>
    </row>
    <row r="154" spans="1:20" ht="18">
      <c r="A154" s="27"/>
      <c r="B154" s="27"/>
      <c r="C154" s="27"/>
      <c r="D154" s="27"/>
      <c r="E154" s="27"/>
      <c r="F154" s="27"/>
      <c r="G154" s="27"/>
      <c r="H154" s="27"/>
      <c r="I154" s="199"/>
      <c r="J154" s="27"/>
      <c r="K154" s="27"/>
      <c r="L154" s="27"/>
      <c r="M154" s="27"/>
      <c r="N154" s="27"/>
      <c r="O154" s="27"/>
      <c r="P154" s="27"/>
      <c r="Q154" s="27"/>
      <c r="R154" s="27"/>
      <c r="S154" s="27"/>
      <c r="T154" s="27"/>
    </row>
    <row r="155" spans="1:20" ht="18">
      <c r="A155" s="27"/>
      <c r="B155" s="27"/>
      <c r="C155" s="27"/>
      <c r="D155" s="27"/>
      <c r="E155" s="27"/>
      <c r="F155" s="27"/>
      <c r="G155" s="27"/>
      <c r="H155" s="27"/>
      <c r="I155" s="199"/>
      <c r="J155" s="27"/>
      <c r="K155" s="27"/>
      <c r="L155" s="27"/>
      <c r="M155" s="27"/>
      <c r="N155" s="27"/>
      <c r="O155" s="27"/>
      <c r="P155" s="27"/>
      <c r="Q155" s="27"/>
      <c r="R155" s="27"/>
      <c r="S155" s="27"/>
      <c r="T155" s="27"/>
    </row>
    <row r="156" spans="1:20" ht="18">
      <c r="A156" s="27"/>
      <c r="B156" s="199" t="s">
        <v>1011</v>
      </c>
      <c r="C156" s="27"/>
      <c r="D156" s="27"/>
      <c r="E156" s="192"/>
      <c r="F156" s="27"/>
      <c r="G156" s="27"/>
      <c r="H156" s="27"/>
      <c r="I156" s="27"/>
      <c r="J156" s="199"/>
      <c r="K156" s="27"/>
      <c r="L156" s="182"/>
      <c r="M156" s="27"/>
      <c r="N156" s="27"/>
      <c r="O156" s="27"/>
      <c r="P156" s="27"/>
      <c r="Q156" s="27"/>
      <c r="R156" s="27"/>
      <c r="S156" s="27"/>
      <c r="T156" s="27"/>
    </row>
    <row r="157" spans="1:20">
      <c r="A157" s="27"/>
      <c r="B157" s="200"/>
      <c r="C157" s="27"/>
      <c r="D157" s="27"/>
      <c r="E157" s="192"/>
      <c r="F157" s="27"/>
      <c r="G157" s="27"/>
      <c r="H157" s="27"/>
      <c r="I157" s="27"/>
      <c r="J157" s="200"/>
      <c r="K157" s="27"/>
      <c r="L157" s="182"/>
      <c r="M157" s="27"/>
      <c r="N157" s="27"/>
      <c r="O157" s="27"/>
      <c r="P157" s="27"/>
      <c r="Q157" s="27"/>
      <c r="R157" s="27"/>
      <c r="S157" s="27"/>
      <c r="T157" s="27"/>
    </row>
    <row r="158" spans="1:20">
      <c r="A158" s="27"/>
      <c r="B158" s="27"/>
      <c r="C158" s="27"/>
      <c r="D158" s="27"/>
      <c r="E158" s="27"/>
      <c r="F158" s="27"/>
      <c r="G158" s="27"/>
      <c r="H158" s="27"/>
      <c r="I158" s="27"/>
      <c r="J158" s="27"/>
      <c r="K158" s="27"/>
      <c r="L158" s="27"/>
      <c r="M158" s="27"/>
      <c r="N158" s="27"/>
      <c r="O158" s="27"/>
      <c r="P158" s="27"/>
      <c r="Q158" s="27"/>
      <c r="R158" s="27"/>
      <c r="S158" s="27"/>
      <c r="T158" s="27"/>
    </row>
    <row r="159" spans="1:20">
      <c r="A159" s="27"/>
      <c r="B159" s="27"/>
      <c r="C159" s="27"/>
      <c r="D159" s="27"/>
      <c r="E159" s="27"/>
      <c r="F159" s="27"/>
      <c r="G159" s="27"/>
      <c r="H159" s="27"/>
      <c r="I159" s="27"/>
      <c r="J159" s="27"/>
      <c r="K159" s="27"/>
      <c r="L159" s="27"/>
      <c r="M159" s="27"/>
      <c r="N159" s="27"/>
      <c r="O159" s="27"/>
      <c r="P159" s="27"/>
      <c r="Q159" s="27"/>
      <c r="R159" s="27"/>
      <c r="S159" s="27"/>
      <c r="T159" s="27"/>
    </row>
    <row r="160" spans="1:20" ht="18">
      <c r="A160" s="27"/>
      <c r="B160" s="27"/>
      <c r="C160" s="27"/>
      <c r="D160" s="27"/>
      <c r="E160" s="27"/>
      <c r="F160" s="27"/>
      <c r="G160" s="27"/>
      <c r="H160" s="27"/>
      <c r="I160" s="199"/>
      <c r="J160" s="27"/>
      <c r="K160" s="27"/>
      <c r="L160" s="27"/>
      <c r="M160" s="27"/>
      <c r="N160" s="27"/>
      <c r="O160" s="27"/>
      <c r="P160" s="27"/>
      <c r="Q160" s="27"/>
      <c r="R160" s="27"/>
      <c r="S160" s="27"/>
      <c r="T160" s="27"/>
    </row>
    <row r="161" spans="1:20" ht="18">
      <c r="A161" s="27"/>
      <c r="B161" s="27"/>
      <c r="C161" s="27"/>
      <c r="D161" s="27"/>
      <c r="E161" s="27"/>
      <c r="F161" s="27"/>
      <c r="G161" s="27"/>
      <c r="H161" s="27"/>
      <c r="I161" s="199"/>
      <c r="J161" s="27"/>
      <c r="K161" s="27"/>
      <c r="L161" s="27"/>
      <c r="M161" s="27"/>
      <c r="N161" s="27"/>
      <c r="O161" s="27"/>
      <c r="P161" s="27"/>
      <c r="Q161" s="27"/>
      <c r="R161" s="27"/>
      <c r="S161" s="27"/>
      <c r="T161" s="27"/>
    </row>
    <row r="162" spans="1:20" ht="18">
      <c r="A162" s="27"/>
      <c r="B162" s="27"/>
      <c r="C162" s="27"/>
      <c r="D162" s="27"/>
      <c r="E162" s="27"/>
      <c r="F162" s="27"/>
      <c r="G162" s="27"/>
      <c r="H162" s="27"/>
      <c r="I162" s="199"/>
      <c r="J162" s="27"/>
      <c r="K162" s="27"/>
      <c r="L162" s="27"/>
      <c r="M162" s="27"/>
      <c r="N162" s="27"/>
      <c r="O162" s="27"/>
      <c r="P162" s="27"/>
      <c r="Q162" s="27"/>
      <c r="R162" s="27"/>
      <c r="S162" s="27"/>
      <c r="T162" s="27"/>
    </row>
    <row r="163" spans="1:20" ht="18">
      <c r="A163" s="27"/>
      <c r="B163" s="27"/>
      <c r="C163" s="27"/>
      <c r="D163" s="27"/>
      <c r="E163" s="27"/>
      <c r="F163" s="27"/>
      <c r="G163" s="27"/>
      <c r="H163" s="27"/>
      <c r="I163" s="199"/>
      <c r="J163" s="27"/>
      <c r="K163" s="27"/>
      <c r="L163" s="27"/>
      <c r="M163" s="27"/>
      <c r="N163" s="27"/>
      <c r="O163" s="27"/>
      <c r="P163" s="27"/>
      <c r="Q163" s="27"/>
      <c r="R163" s="27"/>
      <c r="S163" s="27"/>
      <c r="T163" s="27"/>
    </row>
    <row r="164" spans="1:20" ht="18">
      <c r="A164" s="27"/>
      <c r="B164" s="27"/>
      <c r="C164" s="27"/>
      <c r="D164" s="27"/>
      <c r="E164" s="27"/>
      <c r="F164" s="27"/>
      <c r="G164" s="27"/>
      <c r="H164" s="27"/>
      <c r="I164" s="199"/>
      <c r="J164" s="27"/>
      <c r="K164" s="27"/>
      <c r="L164" s="27"/>
      <c r="M164" s="27"/>
      <c r="N164" s="27"/>
      <c r="O164" s="27"/>
      <c r="P164" s="27"/>
      <c r="Q164" s="27"/>
      <c r="R164" s="27"/>
      <c r="S164" s="27"/>
      <c r="T164" s="27"/>
    </row>
    <row r="165" spans="1:20" ht="18">
      <c r="A165" s="27"/>
      <c r="B165" s="27"/>
      <c r="C165" s="27"/>
      <c r="D165" s="27"/>
      <c r="E165" s="27"/>
      <c r="F165" s="27"/>
      <c r="G165" s="27"/>
      <c r="H165" s="27"/>
      <c r="I165" s="199"/>
      <c r="J165" s="27"/>
      <c r="K165" s="27"/>
      <c r="L165" s="27"/>
      <c r="M165" s="27"/>
      <c r="N165" s="27"/>
      <c r="O165" s="27"/>
      <c r="P165" s="27"/>
      <c r="Q165" s="27"/>
      <c r="R165" s="27"/>
      <c r="S165" s="27"/>
      <c r="T165" s="27"/>
    </row>
    <row r="166" spans="1:20" ht="18">
      <c r="A166" s="27"/>
      <c r="B166" s="27"/>
      <c r="C166" s="27"/>
      <c r="D166" s="27"/>
      <c r="E166" s="27"/>
      <c r="F166" s="27"/>
      <c r="G166" s="27"/>
      <c r="H166" s="27"/>
      <c r="I166" s="199"/>
      <c r="J166" s="27"/>
      <c r="K166" s="27"/>
      <c r="L166" s="27"/>
      <c r="M166" s="27"/>
      <c r="N166" s="27"/>
      <c r="O166" s="27"/>
      <c r="P166" s="27"/>
      <c r="Q166" s="27"/>
      <c r="R166" s="27"/>
      <c r="S166" s="27"/>
      <c r="T166" s="27"/>
    </row>
    <row r="167" spans="1:20" ht="18">
      <c r="A167" s="27"/>
      <c r="B167" s="27"/>
      <c r="C167" s="27"/>
      <c r="D167" s="27"/>
      <c r="E167" s="27"/>
      <c r="F167" s="27"/>
      <c r="G167" s="27"/>
      <c r="H167" s="27"/>
      <c r="I167" s="199"/>
      <c r="J167" s="27"/>
      <c r="K167" s="27"/>
      <c r="L167" s="27"/>
      <c r="M167" s="27"/>
      <c r="N167" s="27"/>
      <c r="O167" s="27"/>
      <c r="P167" s="27"/>
      <c r="Q167" s="27"/>
      <c r="R167" s="27"/>
      <c r="S167" s="27"/>
      <c r="T167" s="27"/>
    </row>
    <row r="168" spans="1:20" ht="18">
      <c r="A168" s="27"/>
      <c r="B168" s="27"/>
      <c r="C168" s="27"/>
      <c r="D168" s="27"/>
      <c r="E168" s="27"/>
      <c r="F168" s="27"/>
      <c r="G168" s="27"/>
      <c r="H168" s="27"/>
      <c r="I168" s="199"/>
      <c r="J168" s="27"/>
      <c r="K168" s="27"/>
      <c r="L168" s="27"/>
      <c r="M168" s="27"/>
      <c r="N168" s="27"/>
      <c r="O168" s="27"/>
      <c r="P168" s="27"/>
      <c r="Q168" s="27"/>
      <c r="R168" s="27"/>
      <c r="S168" s="27"/>
      <c r="T168" s="27"/>
    </row>
    <row r="169" spans="1:20" ht="18">
      <c r="A169" s="27"/>
      <c r="B169" s="27"/>
      <c r="C169" s="27"/>
      <c r="D169" s="27"/>
      <c r="E169" s="27"/>
      <c r="F169" s="27"/>
      <c r="G169" s="27"/>
      <c r="H169" s="27"/>
      <c r="I169" s="199"/>
      <c r="J169" s="27"/>
      <c r="K169" s="27"/>
      <c r="L169" s="27"/>
      <c r="M169" s="27"/>
      <c r="N169" s="27"/>
      <c r="O169" s="27"/>
      <c r="P169" s="27"/>
      <c r="Q169" s="27"/>
      <c r="R169" s="27"/>
      <c r="S169" s="27"/>
      <c r="T169" s="27"/>
    </row>
    <row r="170" spans="1:20" ht="18">
      <c r="A170" s="27"/>
      <c r="B170" s="27"/>
      <c r="C170" s="27"/>
      <c r="D170" s="27"/>
      <c r="E170" s="27"/>
      <c r="F170" s="27"/>
      <c r="G170" s="27"/>
      <c r="H170" s="27"/>
      <c r="I170" s="199"/>
      <c r="J170" s="27"/>
      <c r="K170" s="27"/>
      <c r="L170" s="27"/>
      <c r="M170" s="27"/>
      <c r="N170" s="27"/>
      <c r="O170" s="27"/>
      <c r="P170" s="27"/>
      <c r="Q170" s="27"/>
      <c r="R170" s="27"/>
      <c r="S170" s="27"/>
      <c r="T170" s="27"/>
    </row>
    <row r="171" spans="1:20" ht="18">
      <c r="A171" s="27"/>
      <c r="B171" s="27"/>
      <c r="C171" s="27"/>
      <c r="D171" s="27"/>
      <c r="E171" s="27"/>
      <c r="F171" s="27"/>
      <c r="G171" s="27"/>
      <c r="H171" s="27"/>
      <c r="I171" s="199"/>
      <c r="J171" s="27"/>
      <c r="K171" s="27"/>
      <c r="L171" s="27"/>
      <c r="M171" s="27"/>
      <c r="N171" s="27"/>
      <c r="O171" s="27"/>
      <c r="P171" s="27"/>
      <c r="Q171" s="27"/>
      <c r="R171" s="27"/>
      <c r="S171" s="27"/>
      <c r="T171" s="27"/>
    </row>
    <row r="172" spans="1:20" ht="18">
      <c r="A172" s="27"/>
      <c r="B172" s="27"/>
      <c r="C172" s="27"/>
      <c r="D172" s="27"/>
      <c r="E172" s="27"/>
      <c r="F172" s="27"/>
      <c r="G172" s="27"/>
      <c r="H172" s="27"/>
      <c r="I172" s="199"/>
      <c r="J172" s="27"/>
      <c r="K172" s="27"/>
      <c r="L172" s="27"/>
      <c r="M172" s="27"/>
      <c r="N172" s="27"/>
      <c r="O172" s="27"/>
      <c r="P172" s="27"/>
      <c r="Q172" s="27"/>
      <c r="R172" s="27"/>
      <c r="S172" s="27"/>
      <c r="T172" s="27"/>
    </row>
    <row r="173" spans="1:20" ht="18">
      <c r="A173" s="27"/>
      <c r="B173" s="27"/>
      <c r="C173" s="27"/>
      <c r="D173" s="27"/>
      <c r="E173" s="27"/>
      <c r="F173" s="27"/>
      <c r="G173" s="27"/>
      <c r="H173" s="27"/>
      <c r="I173" s="199"/>
      <c r="J173" s="27"/>
      <c r="K173" s="27"/>
      <c r="L173" s="27"/>
      <c r="M173" s="27"/>
      <c r="N173" s="27"/>
      <c r="O173" s="27"/>
      <c r="P173" s="27"/>
      <c r="Q173" s="27"/>
      <c r="R173" s="27"/>
      <c r="S173" s="27"/>
      <c r="T173" s="27"/>
    </row>
    <row r="174" spans="1:20" ht="18">
      <c r="A174" s="27"/>
      <c r="B174" s="27"/>
      <c r="C174" s="27"/>
      <c r="D174" s="27"/>
      <c r="E174" s="27"/>
      <c r="F174" s="27"/>
      <c r="G174" s="27"/>
      <c r="H174" s="27"/>
      <c r="I174" s="199"/>
      <c r="J174" s="27"/>
      <c r="K174" s="27"/>
      <c r="L174" s="27"/>
      <c r="M174" s="27"/>
      <c r="N174" s="27"/>
      <c r="O174" s="27"/>
      <c r="P174" s="27"/>
      <c r="Q174" s="27"/>
      <c r="R174" s="27"/>
      <c r="S174" s="27"/>
      <c r="T174" s="27"/>
    </row>
    <row r="175" spans="1:20" ht="18">
      <c r="A175" s="27"/>
      <c r="B175" s="27"/>
      <c r="C175" s="27"/>
      <c r="D175" s="27"/>
      <c r="E175" s="27"/>
      <c r="F175" s="27"/>
      <c r="G175" s="27"/>
      <c r="H175" s="27"/>
      <c r="I175" s="199"/>
      <c r="J175" s="27"/>
      <c r="K175" s="27"/>
      <c r="L175" s="27"/>
      <c r="M175" s="27"/>
      <c r="N175" s="27"/>
      <c r="O175" s="27"/>
      <c r="P175" s="27"/>
      <c r="Q175" s="27"/>
      <c r="R175" s="27"/>
      <c r="S175" s="27"/>
      <c r="T175" s="27"/>
    </row>
    <row r="176" spans="1:20" ht="18">
      <c r="A176" s="27"/>
      <c r="B176" s="27"/>
      <c r="C176" s="27"/>
      <c r="D176" s="27"/>
      <c r="E176" s="27"/>
      <c r="F176" s="27"/>
      <c r="G176" s="27"/>
      <c r="H176" s="27"/>
      <c r="I176" s="199"/>
      <c r="J176" s="27"/>
      <c r="K176" s="27"/>
      <c r="L176" s="27"/>
      <c r="M176" s="27"/>
      <c r="N176" s="27"/>
      <c r="O176" s="27"/>
      <c r="P176" s="27"/>
      <c r="Q176" s="27"/>
      <c r="R176" s="27"/>
      <c r="S176" s="27"/>
      <c r="T176" s="27"/>
    </row>
    <row r="177" spans="1:20" ht="18">
      <c r="A177" s="27"/>
      <c r="B177" s="199"/>
      <c r="C177" s="27"/>
      <c r="D177" s="27"/>
      <c r="E177" s="27"/>
      <c r="F177" s="27"/>
      <c r="G177" s="27"/>
      <c r="H177" s="27"/>
      <c r="I177" s="200"/>
      <c r="J177" s="27"/>
      <c r="K177" s="27"/>
      <c r="L177" s="27"/>
      <c r="M177" s="27"/>
      <c r="N177" s="27"/>
      <c r="O177" s="27"/>
      <c r="P177" s="27"/>
      <c r="Q177" s="27"/>
      <c r="R177" s="27"/>
      <c r="S177" s="27"/>
      <c r="T177" s="27"/>
    </row>
    <row r="178" spans="1:20">
      <c r="A178" s="27"/>
      <c r="B178" s="200"/>
      <c r="C178" s="27"/>
      <c r="D178" s="27"/>
      <c r="E178" s="27"/>
      <c r="F178" s="27"/>
      <c r="G178" s="27"/>
      <c r="H178" s="27"/>
      <c r="I178" s="27"/>
      <c r="J178" s="27"/>
      <c r="K178" s="27"/>
      <c r="L178" s="27"/>
      <c r="M178" s="27"/>
      <c r="N178" s="27"/>
      <c r="O178" s="27"/>
      <c r="P178" s="27"/>
      <c r="Q178" s="27"/>
      <c r="R178" s="27"/>
      <c r="S178" s="27"/>
      <c r="T178" s="27"/>
    </row>
    <row r="179" spans="1:20">
      <c r="A179" s="27"/>
      <c r="B179" s="27"/>
      <c r="C179" s="27"/>
      <c r="D179" s="27"/>
      <c r="E179" s="27"/>
      <c r="F179" s="27"/>
      <c r="G179" s="27"/>
      <c r="H179" s="27"/>
      <c r="I179" s="27"/>
      <c r="J179" s="27"/>
      <c r="K179" s="27"/>
      <c r="L179" s="27"/>
      <c r="M179" s="27"/>
      <c r="N179" s="27"/>
      <c r="O179" s="27"/>
      <c r="P179" s="27"/>
      <c r="Q179" s="27"/>
      <c r="R179" s="27"/>
      <c r="S179" s="27"/>
      <c r="T179" s="27"/>
    </row>
    <row r="180" spans="1:20">
      <c r="A180" s="27"/>
      <c r="B180" s="28"/>
      <c r="C180" s="194"/>
      <c r="D180" s="28"/>
      <c r="E180" s="28"/>
      <c r="F180" s="27"/>
      <c r="G180" s="27"/>
      <c r="H180" s="27"/>
      <c r="I180" s="28"/>
      <c r="J180" s="28"/>
      <c r="K180" s="28"/>
      <c r="L180" s="28"/>
      <c r="M180" s="27"/>
      <c r="N180" s="27"/>
      <c r="O180" s="27"/>
      <c r="P180" s="27"/>
      <c r="Q180" s="27"/>
      <c r="R180" s="27"/>
      <c r="S180" s="27"/>
      <c r="T180" s="27"/>
    </row>
    <row r="181" spans="1:20">
      <c r="A181" s="27"/>
      <c r="B181" s="27"/>
      <c r="C181" s="27"/>
      <c r="D181" s="27"/>
      <c r="E181" s="27"/>
      <c r="F181" s="27"/>
      <c r="G181" s="27"/>
      <c r="H181" s="27"/>
      <c r="I181" s="27"/>
      <c r="J181" s="27"/>
      <c r="K181" s="27"/>
      <c r="L181" s="27"/>
      <c r="M181" s="27"/>
      <c r="N181" s="27"/>
      <c r="O181" s="27"/>
      <c r="P181" s="27"/>
      <c r="Q181" s="27"/>
      <c r="R181" s="27"/>
      <c r="S181" s="27"/>
      <c r="T181" s="27"/>
    </row>
    <row r="182" spans="1:20">
      <c r="A182" s="27"/>
      <c r="B182" s="27"/>
      <c r="C182" s="27"/>
      <c r="D182" s="195"/>
      <c r="E182" s="192"/>
      <c r="F182" s="27"/>
      <c r="G182" s="27"/>
      <c r="H182" s="27"/>
      <c r="I182" s="27"/>
      <c r="J182" s="27"/>
      <c r="K182" s="27"/>
      <c r="L182" s="182"/>
      <c r="M182" s="27"/>
      <c r="N182" s="27"/>
      <c r="O182" s="27"/>
      <c r="P182" s="27"/>
      <c r="Q182" s="27"/>
      <c r="R182" s="27"/>
      <c r="S182" s="27"/>
      <c r="T182" s="27"/>
    </row>
    <row r="183" spans="1:20">
      <c r="A183" s="27"/>
      <c r="B183" s="27"/>
      <c r="C183" s="27"/>
      <c r="D183" s="27"/>
      <c r="E183" s="192"/>
      <c r="F183" s="27"/>
      <c r="G183" s="27"/>
      <c r="H183" s="27"/>
      <c r="I183" s="27"/>
      <c r="J183" s="27"/>
      <c r="K183" s="27"/>
      <c r="L183" s="27"/>
      <c r="M183" s="27"/>
      <c r="N183" s="27"/>
      <c r="O183" s="27"/>
      <c r="P183" s="27"/>
      <c r="Q183" s="27"/>
      <c r="R183" s="27"/>
      <c r="S183" s="27"/>
      <c r="T183" s="27"/>
    </row>
    <row r="184" spans="1:20">
      <c r="A184" s="27"/>
      <c r="M184" s="27"/>
      <c r="N184" s="27"/>
      <c r="O184" s="27"/>
      <c r="P184" s="27"/>
      <c r="Q184" s="27"/>
      <c r="R184" s="27"/>
      <c r="S184" s="27"/>
      <c r="T184" s="27"/>
    </row>
    <row r="185" spans="1:20">
      <c r="A185" s="27"/>
      <c r="M185" s="27"/>
      <c r="N185" s="27"/>
      <c r="O185" s="27"/>
      <c r="P185" s="27"/>
      <c r="Q185" s="27"/>
      <c r="R185" s="27"/>
      <c r="S185" s="27"/>
      <c r="T185" s="27"/>
    </row>
    <row r="186" spans="1:20">
      <c r="A186" s="27"/>
      <c r="B186" s="27"/>
      <c r="C186" s="27"/>
      <c r="D186" s="27"/>
      <c r="E186" s="192"/>
      <c r="F186" s="27"/>
      <c r="G186" s="27"/>
      <c r="H186" s="27"/>
      <c r="I186" s="27"/>
      <c r="J186" s="27"/>
      <c r="K186" s="27"/>
      <c r="L186" s="182"/>
      <c r="M186" s="27"/>
      <c r="N186" s="27"/>
      <c r="O186" s="27"/>
      <c r="P186" s="27"/>
      <c r="Q186" s="27"/>
      <c r="R186" s="27"/>
      <c r="S186" s="27"/>
      <c r="T186" s="27"/>
    </row>
    <row r="187" spans="1:20">
      <c r="A187" s="27"/>
      <c r="B187" s="27"/>
      <c r="C187" s="27"/>
      <c r="D187" s="27"/>
      <c r="E187" s="192"/>
      <c r="F187" s="27"/>
      <c r="G187" s="27"/>
      <c r="H187" s="27"/>
      <c r="I187" s="27"/>
      <c r="J187" s="27"/>
      <c r="K187" s="27"/>
      <c r="L187" s="182"/>
      <c r="M187" s="27"/>
      <c r="N187" s="27"/>
      <c r="O187" s="27"/>
      <c r="P187" s="27"/>
      <c r="Q187" s="27"/>
      <c r="R187" s="27"/>
      <c r="S187" s="27"/>
      <c r="T187" s="27"/>
    </row>
    <row r="188" spans="1:20">
      <c r="A188" s="27"/>
      <c r="B188" s="27"/>
      <c r="C188" s="27"/>
      <c r="D188" s="27"/>
      <c r="E188" s="192"/>
      <c r="F188" s="27"/>
      <c r="G188" s="27"/>
      <c r="H188" s="27"/>
      <c r="I188" s="27"/>
      <c r="J188" s="27"/>
      <c r="K188" s="27"/>
      <c r="L188" s="182"/>
      <c r="M188" s="27"/>
      <c r="N188" s="27"/>
      <c r="O188" s="27"/>
      <c r="P188" s="27"/>
      <c r="Q188" s="27"/>
      <c r="R188" s="27"/>
      <c r="S188" s="27"/>
      <c r="T188" s="27"/>
    </row>
    <row r="189" spans="1:20">
      <c r="A189" s="27"/>
      <c r="B189" s="27"/>
      <c r="C189" s="27"/>
      <c r="D189" s="27"/>
      <c r="E189" s="192"/>
      <c r="F189" s="27"/>
      <c r="G189" s="27"/>
      <c r="H189" s="27"/>
      <c r="I189" s="27"/>
      <c r="J189" s="27"/>
      <c r="K189" s="27"/>
      <c r="L189" s="182"/>
      <c r="M189" s="27"/>
      <c r="N189" s="27"/>
      <c r="O189" s="27"/>
      <c r="P189" s="27"/>
      <c r="Q189" s="27"/>
      <c r="R189" s="27"/>
      <c r="S189" s="27"/>
      <c r="T189" s="27"/>
    </row>
    <row r="190" spans="1:20">
      <c r="A190" s="27"/>
      <c r="B190" s="27"/>
      <c r="C190" s="27"/>
      <c r="D190" s="27"/>
      <c r="E190" s="192"/>
      <c r="F190" s="27"/>
      <c r="G190" s="27"/>
      <c r="H190" s="27"/>
      <c r="I190" s="27"/>
      <c r="J190" s="27"/>
      <c r="K190" s="27"/>
      <c r="L190" s="182"/>
      <c r="M190" s="27"/>
      <c r="N190" s="27"/>
      <c r="O190" s="27"/>
      <c r="P190" s="27"/>
      <c r="Q190" s="27"/>
      <c r="R190" s="27"/>
      <c r="S190" s="27"/>
      <c r="T190" s="27"/>
    </row>
    <row r="191" spans="1:20">
      <c r="A191" s="27"/>
      <c r="B191" s="27"/>
      <c r="C191" s="27"/>
      <c r="D191" s="27"/>
      <c r="E191" s="192"/>
      <c r="F191" s="27"/>
      <c r="G191" s="27"/>
      <c r="H191" s="27"/>
      <c r="I191" s="27"/>
      <c r="J191" s="27"/>
      <c r="K191" s="27"/>
      <c r="L191" s="182"/>
      <c r="M191" s="27"/>
      <c r="N191" s="27"/>
      <c r="O191" s="27"/>
      <c r="P191" s="27"/>
      <c r="Q191" s="27"/>
      <c r="R191" s="27"/>
      <c r="S191" s="27"/>
      <c r="T191" s="27"/>
    </row>
    <row r="192" spans="1:20">
      <c r="A192" s="27"/>
      <c r="B192" s="27"/>
      <c r="C192" s="27"/>
      <c r="D192" s="27"/>
      <c r="E192" s="192"/>
      <c r="F192" s="27"/>
      <c r="G192" s="27"/>
      <c r="H192" s="27"/>
      <c r="I192" s="27"/>
      <c r="J192" s="27"/>
      <c r="K192" s="27"/>
      <c r="L192" s="182"/>
      <c r="M192" s="27"/>
      <c r="N192" s="27"/>
      <c r="O192" s="27"/>
      <c r="P192" s="27"/>
      <c r="Q192" s="27"/>
      <c r="R192" s="27"/>
      <c r="S192" s="27"/>
      <c r="T192" s="27"/>
    </row>
    <row r="193" spans="1:20">
      <c r="A193" s="27"/>
      <c r="B193" s="27"/>
      <c r="C193" s="27"/>
      <c r="D193" s="27"/>
      <c r="E193" s="192"/>
      <c r="F193" s="27"/>
      <c r="G193" s="27"/>
      <c r="H193" s="27"/>
      <c r="I193" s="27"/>
      <c r="J193" s="27"/>
      <c r="K193" s="27"/>
      <c r="L193" s="182"/>
      <c r="M193" s="27"/>
      <c r="N193" s="27"/>
      <c r="O193" s="27"/>
      <c r="P193" s="27"/>
      <c r="Q193" s="27"/>
      <c r="R193" s="27"/>
      <c r="S193" s="27"/>
      <c r="T193" s="27"/>
    </row>
    <row r="194" spans="1:20">
      <c r="A194" s="27"/>
      <c r="B194" s="27"/>
      <c r="C194" s="27"/>
      <c r="D194" s="27"/>
      <c r="E194" s="192"/>
      <c r="F194" s="27"/>
      <c r="G194" s="27"/>
      <c r="H194" s="27"/>
      <c r="I194" s="27"/>
      <c r="J194" s="27"/>
      <c r="K194" s="27"/>
      <c r="L194" s="182"/>
      <c r="M194" s="27"/>
      <c r="N194" s="27"/>
      <c r="O194" s="27"/>
      <c r="P194" s="27"/>
      <c r="Q194" s="27"/>
      <c r="R194" s="27"/>
      <c r="S194" s="27"/>
      <c r="T194" s="27"/>
    </row>
    <row r="195" spans="1:20">
      <c r="A195" s="27"/>
      <c r="B195" s="27"/>
      <c r="C195" s="27"/>
      <c r="D195" s="27"/>
      <c r="E195" s="192"/>
      <c r="F195" s="27"/>
      <c r="G195" s="27"/>
      <c r="H195" s="27"/>
      <c r="I195" s="27"/>
      <c r="J195" s="27"/>
      <c r="K195" s="27"/>
      <c r="L195" s="182"/>
      <c r="M195" s="27"/>
      <c r="N195" s="27"/>
      <c r="O195" s="27"/>
      <c r="P195" s="27"/>
      <c r="Q195" s="27"/>
      <c r="R195" s="27"/>
      <c r="S195" s="27"/>
      <c r="T195" s="27"/>
    </row>
    <row r="196" spans="1:20">
      <c r="A196" s="27"/>
      <c r="B196" s="27"/>
      <c r="C196" s="27"/>
      <c r="D196" s="27"/>
      <c r="E196" s="192"/>
      <c r="F196" s="27"/>
      <c r="G196" s="27"/>
      <c r="H196" s="27"/>
      <c r="I196" s="27"/>
      <c r="J196" s="27"/>
      <c r="K196" s="27"/>
      <c r="L196" s="182"/>
      <c r="M196" s="27"/>
      <c r="N196" s="27"/>
      <c r="O196" s="27"/>
      <c r="P196" s="27"/>
      <c r="Q196" s="27"/>
      <c r="R196" s="27"/>
      <c r="S196" s="27"/>
      <c r="T196" s="27"/>
    </row>
    <row r="197" spans="1:20">
      <c r="A197" s="27"/>
      <c r="B197" s="27"/>
      <c r="C197" s="27"/>
      <c r="D197" s="27"/>
      <c r="E197" s="192"/>
      <c r="F197" s="27"/>
      <c r="G197" s="27"/>
      <c r="H197" s="27"/>
      <c r="I197" s="27"/>
      <c r="J197" s="27"/>
      <c r="K197" s="27"/>
      <c r="L197" s="182"/>
      <c r="M197" s="27"/>
      <c r="N197" s="27"/>
      <c r="O197" s="27"/>
      <c r="P197" s="27"/>
      <c r="Q197" s="27"/>
      <c r="R197" s="27"/>
      <c r="S197" s="27"/>
      <c r="T197" s="27"/>
    </row>
    <row r="198" spans="1:20">
      <c r="A198" s="27"/>
      <c r="B198" s="27"/>
      <c r="C198" s="27"/>
      <c r="D198" s="27"/>
      <c r="E198" s="192"/>
      <c r="F198" s="27"/>
      <c r="G198" s="27"/>
      <c r="H198" s="27"/>
      <c r="I198" s="27"/>
      <c r="J198" s="27"/>
      <c r="K198" s="27"/>
      <c r="L198" s="182"/>
      <c r="M198" s="27"/>
      <c r="N198" s="27"/>
      <c r="O198" s="27"/>
      <c r="P198" s="27"/>
      <c r="Q198" s="27"/>
      <c r="R198" s="27"/>
      <c r="S198" s="27"/>
      <c r="T198" s="27"/>
    </row>
    <row r="199" spans="1:20">
      <c r="A199" s="27"/>
      <c r="B199" s="27"/>
      <c r="C199" s="27"/>
      <c r="D199" s="27"/>
      <c r="E199" s="192"/>
      <c r="F199" s="27"/>
      <c r="G199" s="27"/>
      <c r="H199" s="27"/>
      <c r="I199" s="27"/>
      <c r="J199" s="27"/>
      <c r="K199" s="27"/>
      <c r="L199" s="182"/>
      <c r="M199" s="27"/>
      <c r="N199" s="27"/>
      <c r="O199" s="27"/>
      <c r="P199" s="27"/>
      <c r="Q199" s="27"/>
      <c r="R199" s="27"/>
      <c r="S199" s="27"/>
      <c r="T199" s="27"/>
    </row>
    <row r="200" spans="1:20">
      <c r="A200" s="27"/>
      <c r="B200" s="27"/>
      <c r="C200" s="27"/>
      <c r="D200" s="27"/>
      <c r="E200" s="192"/>
      <c r="F200" s="27"/>
      <c r="G200" s="27"/>
      <c r="H200" s="27"/>
      <c r="I200" s="27"/>
      <c r="J200" s="27"/>
      <c r="K200" s="27"/>
      <c r="L200" s="182"/>
      <c r="M200" s="27"/>
      <c r="N200" s="27"/>
      <c r="O200" s="27"/>
      <c r="P200" s="27"/>
      <c r="Q200" s="27"/>
      <c r="R200" s="27"/>
      <c r="S200" s="27"/>
      <c r="T200" s="27"/>
    </row>
    <row r="201" spans="1:20">
      <c r="A201" s="27"/>
      <c r="B201" s="27"/>
      <c r="C201" s="27"/>
      <c r="D201" s="27"/>
      <c r="E201" s="192"/>
      <c r="F201" s="27"/>
      <c r="G201" s="27"/>
      <c r="H201" s="27"/>
      <c r="I201" s="27"/>
      <c r="J201" s="27"/>
      <c r="K201" s="27"/>
      <c r="L201" s="182"/>
      <c r="M201" s="27"/>
      <c r="N201" s="27"/>
      <c r="O201" s="27"/>
      <c r="P201" s="27"/>
      <c r="Q201" s="27"/>
      <c r="R201" s="27"/>
      <c r="S201" s="27"/>
      <c r="T201" s="27"/>
    </row>
    <row r="202" spans="1:20">
      <c r="A202" s="27"/>
      <c r="B202" s="27"/>
      <c r="C202" s="27"/>
      <c r="D202" s="27"/>
      <c r="E202" s="192"/>
      <c r="F202" s="27"/>
      <c r="G202" s="27"/>
      <c r="H202" s="27"/>
      <c r="I202" s="27"/>
      <c r="J202" s="27"/>
      <c r="K202" s="27"/>
      <c r="L202" s="27"/>
      <c r="M202" s="27"/>
      <c r="N202" s="27"/>
      <c r="O202" s="27"/>
      <c r="P202" s="27"/>
      <c r="Q202" s="27"/>
      <c r="R202" s="27"/>
      <c r="S202" s="27"/>
      <c r="T202" s="27"/>
    </row>
    <row r="203" spans="1:20">
      <c r="A203" s="27"/>
      <c r="B203" s="27"/>
      <c r="C203" s="27"/>
      <c r="D203" s="27"/>
      <c r="E203" s="201"/>
      <c r="F203" s="27"/>
      <c r="G203" s="27"/>
      <c r="H203" s="27"/>
      <c r="I203" s="27"/>
      <c r="J203" s="27"/>
      <c r="K203" s="27"/>
      <c r="L203" s="196"/>
      <c r="M203" s="27"/>
      <c r="N203" s="27"/>
      <c r="O203" s="27"/>
      <c r="P203" s="27"/>
      <c r="Q203" s="27"/>
      <c r="R203" s="27"/>
      <c r="S203" s="27"/>
      <c r="T203" s="27"/>
    </row>
    <row r="204" spans="1:20">
      <c r="A204" s="27"/>
      <c r="B204" s="27"/>
      <c r="C204" s="27"/>
      <c r="D204" s="27"/>
      <c r="E204" s="27"/>
      <c r="F204" s="27"/>
      <c r="G204" s="27"/>
      <c r="H204" s="27"/>
      <c r="I204" s="27"/>
      <c r="J204" s="27"/>
      <c r="K204" s="27"/>
      <c r="L204" s="27"/>
      <c r="M204" s="27"/>
      <c r="N204" s="27"/>
      <c r="O204" s="27"/>
      <c r="P204" s="27"/>
      <c r="Q204" s="27"/>
      <c r="R204" s="27"/>
      <c r="S204" s="27"/>
      <c r="T204" s="27"/>
    </row>
    <row r="205" spans="1:20">
      <c r="A205" s="27"/>
      <c r="B205" s="27"/>
      <c r="C205" s="27"/>
      <c r="D205" s="27"/>
      <c r="E205" s="27"/>
      <c r="F205" s="27"/>
      <c r="G205" s="27"/>
      <c r="H205" s="27"/>
      <c r="I205" s="27"/>
      <c r="J205" s="27"/>
      <c r="K205" s="27"/>
      <c r="L205" s="27"/>
      <c r="M205" s="27"/>
      <c r="N205" s="27"/>
      <c r="O205" s="27"/>
      <c r="P205" s="27"/>
      <c r="Q205" s="27"/>
      <c r="R205" s="27"/>
      <c r="S205" s="27"/>
      <c r="T205" s="27"/>
    </row>
    <row r="206" spans="1:20">
      <c r="A206" s="27"/>
      <c r="B206" s="27"/>
      <c r="C206" s="27"/>
      <c r="D206" s="27"/>
      <c r="E206" s="27"/>
      <c r="F206" s="27"/>
      <c r="G206" s="27"/>
      <c r="H206" s="27"/>
      <c r="I206" s="27"/>
      <c r="J206" s="27"/>
      <c r="K206" s="27"/>
      <c r="L206" s="27"/>
      <c r="M206" s="27"/>
      <c r="N206" s="27"/>
      <c r="O206" s="27"/>
      <c r="P206" s="27"/>
      <c r="Q206" s="27"/>
      <c r="R206" s="27"/>
      <c r="S206" s="27"/>
      <c r="T206" s="27"/>
    </row>
    <row r="207" spans="1:20">
      <c r="A207" s="27"/>
      <c r="B207" s="27"/>
      <c r="C207" s="27"/>
      <c r="D207" s="27"/>
      <c r="E207" s="27"/>
      <c r="F207" s="27"/>
      <c r="G207" s="27"/>
      <c r="H207" s="27"/>
      <c r="I207" s="27"/>
      <c r="J207" s="27"/>
      <c r="K207" s="27"/>
      <c r="L207" s="27"/>
      <c r="M207" s="27"/>
      <c r="N207" s="27"/>
      <c r="O207" s="27"/>
      <c r="P207" s="27"/>
      <c r="Q207" s="27"/>
      <c r="R207" s="27"/>
      <c r="S207" s="27"/>
      <c r="T207" s="27"/>
    </row>
    <row r="208" spans="1:20">
      <c r="A208" s="27"/>
      <c r="B208" s="27"/>
      <c r="C208" s="27"/>
      <c r="D208" s="27"/>
      <c r="E208" s="27"/>
      <c r="F208" s="27"/>
      <c r="G208" s="27"/>
      <c r="H208" s="27"/>
      <c r="I208" s="27"/>
      <c r="J208" s="27"/>
      <c r="K208" s="27"/>
      <c r="L208" s="27"/>
      <c r="M208" s="27"/>
      <c r="N208" s="27"/>
      <c r="O208" s="27"/>
      <c r="P208" s="27"/>
      <c r="Q208" s="27"/>
      <c r="R208" s="27"/>
      <c r="S208" s="27"/>
      <c r="T208" s="27"/>
    </row>
    <row r="209" spans="1:20">
      <c r="A209" s="27"/>
      <c r="B209" s="27"/>
      <c r="C209" s="27"/>
      <c r="D209" s="27"/>
      <c r="E209" s="27"/>
      <c r="F209" s="27"/>
      <c r="G209" s="27"/>
      <c r="H209" s="27"/>
      <c r="I209" s="27"/>
      <c r="J209" s="27"/>
      <c r="K209" s="27"/>
      <c r="L209" s="27"/>
      <c r="M209" s="27"/>
      <c r="N209" s="27"/>
      <c r="O209" s="27"/>
      <c r="P209" s="27"/>
      <c r="Q209" s="27"/>
      <c r="R209" s="27"/>
      <c r="S209" s="27"/>
      <c r="T209" s="27"/>
    </row>
    <row r="210" spans="1:20">
      <c r="A210" s="27"/>
      <c r="B210" s="27"/>
      <c r="C210" s="27"/>
      <c r="D210" s="27"/>
      <c r="E210" s="27"/>
      <c r="F210" s="27"/>
      <c r="G210" s="27"/>
      <c r="H210" s="27"/>
      <c r="I210" s="27"/>
      <c r="J210" s="27"/>
      <c r="K210" s="27"/>
      <c r="L210" s="27"/>
      <c r="M210" s="27"/>
      <c r="N210" s="27"/>
      <c r="O210" s="27"/>
      <c r="P210" s="27"/>
      <c r="Q210" s="27"/>
      <c r="R210" s="27"/>
      <c r="S210" s="27"/>
      <c r="T210" s="27"/>
    </row>
    <row r="211" spans="1:20">
      <c r="A211" s="27"/>
      <c r="B211" s="27"/>
      <c r="C211" s="27"/>
      <c r="D211" s="27"/>
      <c r="E211" s="27"/>
      <c r="F211" s="27"/>
      <c r="G211" s="27"/>
      <c r="H211" s="27"/>
      <c r="I211" s="27"/>
      <c r="J211" s="27"/>
      <c r="K211" s="27"/>
      <c r="L211" s="27"/>
      <c r="M211" s="27"/>
      <c r="N211" s="27"/>
      <c r="O211" s="27"/>
      <c r="P211" s="27"/>
      <c r="Q211" s="27"/>
      <c r="R211" s="27"/>
      <c r="S211" s="27"/>
      <c r="T211" s="27"/>
    </row>
    <row r="212" spans="1:20">
      <c r="A212" s="27"/>
      <c r="B212" s="27"/>
      <c r="C212" s="27"/>
      <c r="D212" s="27"/>
      <c r="E212" s="27"/>
      <c r="F212" s="27"/>
      <c r="G212" s="27"/>
      <c r="H212" s="27"/>
      <c r="I212" s="27"/>
      <c r="J212" s="27"/>
      <c r="K212" s="27"/>
      <c r="L212" s="27"/>
      <c r="M212" s="27"/>
      <c r="N212" s="27"/>
      <c r="O212" s="27"/>
      <c r="P212" s="27"/>
      <c r="Q212" s="27"/>
      <c r="R212" s="27"/>
      <c r="S212" s="27"/>
      <c r="T212" s="27"/>
    </row>
    <row r="213" spans="1:20">
      <c r="A213" s="27"/>
      <c r="B213" s="27"/>
      <c r="C213" s="27"/>
      <c r="D213" s="27"/>
      <c r="E213" s="27"/>
      <c r="F213" s="27"/>
      <c r="G213" s="27"/>
      <c r="H213" s="27"/>
      <c r="I213" s="27"/>
      <c r="J213" s="27"/>
      <c r="K213" s="27"/>
      <c r="L213" s="27"/>
      <c r="M213" s="27"/>
      <c r="N213" s="27"/>
      <c r="O213" s="27"/>
      <c r="P213" s="27"/>
      <c r="Q213" s="27"/>
      <c r="R213" s="27"/>
      <c r="S213" s="27"/>
      <c r="T213" s="27"/>
    </row>
    <row r="214" spans="1:20">
      <c r="A214" s="27"/>
      <c r="B214" s="27"/>
      <c r="C214" s="27"/>
      <c r="D214" s="27"/>
      <c r="E214" s="27"/>
      <c r="F214" s="27"/>
      <c r="G214" s="27"/>
      <c r="H214" s="27"/>
      <c r="I214" s="27"/>
      <c r="J214" s="27"/>
      <c r="K214" s="27"/>
      <c r="L214" s="27"/>
      <c r="M214" s="27"/>
      <c r="N214" s="27"/>
      <c r="O214" s="27"/>
      <c r="P214" s="27"/>
      <c r="Q214" s="27"/>
      <c r="R214" s="27"/>
      <c r="S214" s="27"/>
      <c r="T214" s="27"/>
    </row>
    <row r="215" spans="1:20">
      <c r="A215" s="27"/>
      <c r="B215" s="27"/>
      <c r="C215" s="27"/>
      <c r="D215" s="27"/>
      <c r="E215" s="27"/>
      <c r="F215" s="27"/>
      <c r="G215" s="27"/>
      <c r="H215" s="27"/>
      <c r="I215" s="27"/>
      <c r="J215" s="27"/>
      <c r="K215" s="27"/>
      <c r="L215" s="27"/>
      <c r="M215" s="27"/>
      <c r="N215" s="27"/>
      <c r="O215" s="27"/>
      <c r="P215" s="27"/>
      <c r="Q215" s="27"/>
      <c r="R215" s="27"/>
      <c r="S215" s="27"/>
      <c r="T215" s="27"/>
    </row>
    <row r="216" spans="1:20">
      <c r="A216" s="27"/>
      <c r="B216" s="27"/>
      <c r="C216" s="27"/>
      <c r="D216" s="27"/>
      <c r="E216" s="27"/>
      <c r="F216" s="27"/>
      <c r="G216" s="27"/>
      <c r="H216" s="27"/>
      <c r="I216" s="27"/>
      <c r="J216" s="27"/>
      <c r="K216" s="27"/>
      <c r="L216" s="27"/>
      <c r="M216" s="27"/>
      <c r="N216" s="27"/>
      <c r="O216" s="27"/>
      <c r="P216" s="27"/>
      <c r="Q216" s="27"/>
      <c r="R216" s="27"/>
      <c r="S216" s="27"/>
      <c r="T216" s="27"/>
    </row>
    <row r="217" spans="1:20">
      <c r="A217" s="27"/>
      <c r="B217" s="27"/>
      <c r="C217" s="27"/>
      <c r="D217" s="27"/>
      <c r="E217" s="27"/>
      <c r="F217" s="27"/>
      <c r="G217" s="27"/>
      <c r="H217" s="27"/>
      <c r="I217" s="27"/>
      <c r="J217" s="27"/>
      <c r="K217" s="27"/>
      <c r="L217" s="27"/>
      <c r="M217" s="27"/>
      <c r="N217" s="27"/>
      <c r="O217" s="27"/>
      <c r="P217" s="27"/>
      <c r="Q217" s="27"/>
      <c r="R217" s="27"/>
      <c r="S217" s="27"/>
      <c r="T217" s="27"/>
    </row>
    <row r="218" spans="1:20">
      <c r="A218" s="27"/>
      <c r="B218" s="27"/>
      <c r="C218" s="27"/>
      <c r="D218" s="27"/>
      <c r="E218" s="27"/>
      <c r="F218" s="27"/>
      <c r="G218" s="27"/>
      <c r="H218" s="27"/>
      <c r="I218" s="27"/>
      <c r="J218" s="27"/>
      <c r="K218" s="27"/>
      <c r="L218" s="27"/>
      <c r="M218" s="27"/>
      <c r="N218" s="27"/>
      <c r="O218" s="27"/>
      <c r="P218" s="27"/>
      <c r="Q218" s="27"/>
      <c r="R218" s="27"/>
      <c r="S218" s="27"/>
      <c r="T218" s="27"/>
    </row>
    <row r="219" spans="1:20">
      <c r="A219" s="27"/>
      <c r="B219" s="27"/>
      <c r="C219" s="27"/>
      <c r="D219" s="27"/>
      <c r="E219" s="27"/>
      <c r="F219" s="27"/>
      <c r="G219" s="27"/>
      <c r="H219" s="27"/>
      <c r="I219" s="27"/>
      <c r="J219" s="27"/>
      <c r="K219" s="27"/>
      <c r="L219" s="27"/>
      <c r="M219" s="27"/>
      <c r="N219" s="27"/>
      <c r="O219" s="27"/>
      <c r="P219" s="27"/>
      <c r="Q219" s="27"/>
      <c r="R219" s="27"/>
      <c r="S219" s="27"/>
      <c r="T219" s="27"/>
    </row>
    <row r="220" spans="1:20">
      <c r="A220" s="27"/>
      <c r="B220" s="27"/>
      <c r="C220" s="27"/>
      <c r="D220" s="27"/>
      <c r="E220" s="27"/>
      <c r="F220" s="27"/>
      <c r="G220" s="27"/>
      <c r="H220" s="27"/>
      <c r="I220" s="27"/>
      <c r="J220" s="27"/>
      <c r="K220" s="27"/>
      <c r="L220" s="27"/>
      <c r="M220" s="27"/>
      <c r="N220" s="27"/>
      <c r="O220" s="27"/>
      <c r="P220" s="27"/>
      <c r="Q220" s="27"/>
      <c r="R220" s="27"/>
      <c r="S220" s="27"/>
      <c r="T220" s="27"/>
    </row>
    <row r="221" spans="1:20">
      <c r="A221" s="27"/>
      <c r="B221" s="27"/>
      <c r="C221" s="27"/>
      <c r="D221" s="27"/>
      <c r="E221" s="27"/>
      <c r="F221" s="27"/>
      <c r="G221" s="27"/>
      <c r="H221" s="27"/>
      <c r="I221" s="27"/>
      <c r="J221" s="27"/>
      <c r="K221" s="27"/>
      <c r="L221" s="27"/>
      <c r="M221" s="27"/>
      <c r="N221" s="27"/>
      <c r="O221" s="27"/>
      <c r="P221" s="27"/>
      <c r="Q221" s="27"/>
      <c r="R221" s="27"/>
      <c r="S221" s="27"/>
      <c r="T221" s="27"/>
    </row>
    <row r="222" spans="1:20">
      <c r="A222" s="27"/>
      <c r="C222" s="27"/>
      <c r="D222" s="27"/>
      <c r="E222" s="27"/>
      <c r="F222" s="27"/>
      <c r="G222" s="27"/>
      <c r="H222" s="27"/>
      <c r="I222" s="27"/>
      <c r="J222" s="27"/>
      <c r="K222" s="27"/>
      <c r="L222" s="27"/>
      <c r="M222" s="27"/>
      <c r="N222" s="27"/>
      <c r="O222" s="27"/>
      <c r="P222" s="27"/>
      <c r="Q222" s="27"/>
      <c r="R222" s="27"/>
      <c r="S222" s="27"/>
      <c r="T222" s="27"/>
    </row>
    <row r="223" spans="1:20">
      <c r="A223" s="27"/>
      <c r="B223" s="27"/>
      <c r="C223" s="27"/>
      <c r="D223" s="27"/>
      <c r="E223" s="27"/>
      <c r="F223" s="27"/>
      <c r="G223" s="27"/>
      <c r="H223" s="27"/>
      <c r="I223" s="27"/>
      <c r="J223" s="27"/>
      <c r="K223" s="27"/>
      <c r="L223" s="27"/>
      <c r="M223" s="27"/>
      <c r="N223" s="27"/>
      <c r="O223" s="27"/>
      <c r="P223" s="27"/>
      <c r="Q223" s="27"/>
      <c r="R223" s="27"/>
      <c r="S223" s="27"/>
      <c r="T223" s="27"/>
    </row>
    <row r="224" spans="1:20">
      <c r="A224" s="27"/>
      <c r="B224" s="27"/>
      <c r="C224" s="27"/>
      <c r="D224" s="27"/>
      <c r="E224" s="27"/>
      <c r="F224" s="27"/>
      <c r="G224" s="27"/>
      <c r="H224" s="27"/>
      <c r="I224" s="27"/>
      <c r="J224" s="27"/>
      <c r="K224" s="27"/>
      <c r="L224" s="27"/>
      <c r="M224" s="27"/>
      <c r="N224" s="27"/>
      <c r="O224" s="27"/>
      <c r="P224" s="27"/>
      <c r="Q224" s="27"/>
      <c r="R224" s="27"/>
      <c r="S224" s="27"/>
      <c r="T224" s="27"/>
    </row>
    <row r="225" spans="1:20">
      <c r="A225" s="27"/>
      <c r="B225" s="27"/>
      <c r="C225" s="27"/>
      <c r="D225" s="27"/>
      <c r="E225" s="27"/>
      <c r="F225" s="27"/>
      <c r="G225" s="27"/>
      <c r="H225" s="27"/>
      <c r="I225" s="27"/>
      <c r="J225" s="27"/>
      <c r="K225" s="27"/>
      <c r="L225" s="27"/>
      <c r="M225" s="27"/>
      <c r="N225" s="27"/>
      <c r="O225" s="27"/>
      <c r="P225" s="27"/>
      <c r="Q225" s="27"/>
      <c r="R225" s="27"/>
      <c r="S225" s="27"/>
      <c r="T225" s="27"/>
    </row>
    <row r="226" spans="1:20">
      <c r="A226" s="27"/>
      <c r="B226" s="27"/>
      <c r="C226" s="27"/>
      <c r="D226" s="27"/>
      <c r="E226" s="27"/>
      <c r="F226" s="27"/>
      <c r="G226" s="27"/>
      <c r="H226" s="27"/>
      <c r="I226" s="27"/>
      <c r="J226" s="27"/>
      <c r="K226" s="27"/>
      <c r="L226" s="27"/>
      <c r="M226" s="27"/>
      <c r="N226" s="27"/>
      <c r="O226" s="27"/>
      <c r="P226" s="27"/>
      <c r="Q226" s="27"/>
      <c r="R226" s="27"/>
      <c r="S226" s="27"/>
      <c r="T226" s="27"/>
    </row>
    <row r="227" spans="1:20">
      <c r="A227" s="27"/>
      <c r="B227" s="27"/>
      <c r="C227" s="27"/>
      <c r="D227" s="27"/>
      <c r="E227" s="27"/>
      <c r="F227" s="27"/>
      <c r="G227" s="27"/>
      <c r="H227" s="27"/>
      <c r="I227" s="27"/>
      <c r="J227" s="27"/>
      <c r="K227" s="27"/>
      <c r="L227" s="27"/>
      <c r="M227" s="27"/>
      <c r="N227" s="27"/>
      <c r="O227" s="27"/>
      <c r="P227" s="27"/>
      <c r="Q227" s="27"/>
      <c r="R227" s="27"/>
      <c r="S227" s="27"/>
      <c r="T227" s="27"/>
    </row>
    <row r="228" spans="1:20">
      <c r="A228" s="27"/>
      <c r="B228" s="27"/>
      <c r="C228" s="27"/>
      <c r="D228" s="27"/>
      <c r="E228" s="27"/>
      <c r="F228" s="27"/>
      <c r="G228" s="27"/>
      <c r="H228" s="27"/>
      <c r="I228" s="27"/>
      <c r="J228" s="27"/>
      <c r="K228" s="27"/>
      <c r="L228" s="27"/>
      <c r="M228" s="27"/>
      <c r="N228" s="27"/>
      <c r="O228" s="27"/>
      <c r="P228" s="27"/>
      <c r="Q228" s="27"/>
      <c r="R228" s="27"/>
      <c r="S228" s="27"/>
      <c r="T228" s="27"/>
    </row>
    <row r="229" spans="1:20">
      <c r="A229" s="27"/>
      <c r="B229" s="27"/>
      <c r="C229" s="27"/>
      <c r="D229" s="27"/>
      <c r="E229" s="27"/>
      <c r="F229" s="27"/>
      <c r="G229" s="27"/>
      <c r="H229" s="27"/>
      <c r="I229" s="27"/>
      <c r="J229" s="27"/>
      <c r="K229" s="27"/>
      <c r="L229" s="27"/>
      <c r="M229" s="27"/>
      <c r="N229" s="27"/>
      <c r="O229" s="27"/>
      <c r="P229" s="27"/>
      <c r="Q229" s="27"/>
      <c r="R229" s="27"/>
      <c r="S229" s="27"/>
      <c r="T229" s="27"/>
    </row>
    <row r="230" spans="1:20">
      <c r="A230" s="27"/>
      <c r="B230" s="27"/>
      <c r="C230" s="27"/>
      <c r="D230" s="27"/>
      <c r="E230" s="27"/>
      <c r="F230" s="27"/>
      <c r="G230" s="27"/>
      <c r="H230" s="27"/>
      <c r="I230" s="27"/>
      <c r="J230" s="27"/>
      <c r="K230" s="27"/>
      <c r="L230" s="27"/>
      <c r="M230" s="27"/>
      <c r="N230" s="27"/>
      <c r="O230" s="27"/>
      <c r="P230" s="27"/>
      <c r="Q230" s="27"/>
      <c r="R230" s="27"/>
      <c r="S230" s="27"/>
      <c r="T230" s="27"/>
    </row>
    <row r="231" spans="1:20">
      <c r="A231" s="27"/>
      <c r="B231" s="27"/>
      <c r="C231" s="27"/>
      <c r="D231" s="27"/>
      <c r="E231" s="27"/>
      <c r="F231" s="27"/>
      <c r="G231" s="27"/>
      <c r="H231" s="27"/>
      <c r="I231" s="27"/>
      <c r="J231" s="27"/>
      <c r="K231" s="27"/>
      <c r="L231" s="27"/>
      <c r="M231" s="27"/>
      <c r="N231" s="27"/>
      <c r="O231" s="27"/>
      <c r="P231" s="27"/>
      <c r="Q231" s="27"/>
      <c r="R231" s="27"/>
      <c r="S231" s="27"/>
      <c r="T231" s="27"/>
    </row>
    <row r="232" spans="1:20">
      <c r="A232" s="27"/>
      <c r="B232" s="27"/>
      <c r="C232" s="27"/>
      <c r="D232" s="27"/>
      <c r="E232" s="27"/>
      <c r="F232" s="27"/>
      <c r="G232" s="27"/>
      <c r="H232" s="27"/>
      <c r="I232" s="27"/>
      <c r="J232" s="27"/>
      <c r="K232" s="27"/>
      <c r="L232" s="27"/>
      <c r="M232" s="27"/>
      <c r="N232" s="27"/>
      <c r="O232" s="27"/>
      <c r="P232" s="27"/>
      <c r="Q232" s="27"/>
      <c r="R232" s="27"/>
      <c r="S232" s="27"/>
      <c r="T232" s="27"/>
    </row>
    <row r="233" spans="1:20">
      <c r="A233" s="27"/>
      <c r="B233" s="27"/>
      <c r="C233" s="27"/>
      <c r="D233" s="27"/>
      <c r="E233" s="27"/>
      <c r="F233" s="27"/>
      <c r="G233" s="27"/>
      <c r="H233" s="27"/>
      <c r="I233" s="27"/>
      <c r="J233" s="27"/>
      <c r="K233" s="27"/>
      <c r="L233" s="27"/>
      <c r="M233" s="27"/>
      <c r="N233" s="27"/>
      <c r="O233" s="27"/>
      <c r="P233" s="27"/>
      <c r="Q233" s="27"/>
      <c r="R233" s="27"/>
      <c r="S233" s="27"/>
      <c r="T233" s="27"/>
    </row>
    <row r="234" spans="1:20">
      <c r="A234" s="27"/>
      <c r="B234" s="27"/>
      <c r="C234" s="27"/>
      <c r="D234" s="27"/>
      <c r="E234" s="27"/>
      <c r="F234" s="27"/>
      <c r="G234" s="27"/>
      <c r="H234" s="27"/>
      <c r="I234" s="27"/>
      <c r="J234" s="27"/>
      <c r="K234" s="27"/>
      <c r="L234" s="27"/>
      <c r="M234" s="27"/>
      <c r="N234" s="27"/>
      <c r="O234" s="27"/>
      <c r="P234" s="27"/>
      <c r="Q234" s="27"/>
      <c r="R234" s="27"/>
      <c r="S234" s="27"/>
      <c r="T234" s="27"/>
    </row>
    <row r="235" spans="1:20">
      <c r="A235" s="27"/>
      <c r="B235" s="27"/>
      <c r="C235" s="27"/>
      <c r="D235" s="27"/>
      <c r="E235" s="27"/>
      <c r="F235" s="27"/>
      <c r="G235" s="27"/>
      <c r="H235" s="27"/>
      <c r="I235" s="27"/>
      <c r="J235" s="27"/>
      <c r="K235" s="27"/>
      <c r="L235" s="27"/>
      <c r="M235" s="27"/>
      <c r="N235" s="27"/>
      <c r="O235" s="27"/>
      <c r="P235" s="27"/>
      <c r="Q235" s="27"/>
      <c r="R235" s="27"/>
      <c r="S235" s="27"/>
      <c r="T235" s="27"/>
    </row>
    <row r="236" spans="1:20">
      <c r="A236" s="27"/>
      <c r="B236" s="27"/>
      <c r="C236" s="27"/>
      <c r="D236" s="27"/>
      <c r="E236" s="27"/>
      <c r="F236" s="27"/>
      <c r="G236" s="27"/>
      <c r="H236" s="27"/>
      <c r="I236" s="27"/>
      <c r="J236" s="27"/>
      <c r="K236" s="27"/>
      <c r="L236" s="27"/>
      <c r="M236" s="27"/>
      <c r="N236" s="27"/>
      <c r="O236" s="27"/>
      <c r="P236" s="27"/>
      <c r="Q236" s="27"/>
      <c r="R236" s="27"/>
      <c r="S236" s="27"/>
      <c r="T236" s="27"/>
    </row>
    <row r="237" spans="1:20">
      <c r="A237" s="27"/>
      <c r="B237" s="27"/>
      <c r="C237" s="27"/>
      <c r="D237" s="27"/>
      <c r="E237" s="27"/>
      <c r="F237" s="27"/>
      <c r="G237" s="27"/>
      <c r="H237" s="27"/>
      <c r="I237" s="27"/>
      <c r="J237" s="27"/>
      <c r="K237" s="27"/>
      <c r="L237" s="27"/>
      <c r="M237" s="27"/>
      <c r="N237" s="27"/>
      <c r="O237" s="27"/>
      <c r="P237" s="27"/>
      <c r="Q237" s="27"/>
      <c r="R237" s="27"/>
      <c r="S237" s="27"/>
      <c r="T237" s="27"/>
    </row>
    <row r="238" spans="1:20">
      <c r="A238" s="27"/>
      <c r="B238" s="27"/>
      <c r="C238" s="27"/>
      <c r="D238" s="27"/>
      <c r="E238" s="27"/>
      <c r="F238" s="27"/>
      <c r="G238" s="27"/>
      <c r="H238" s="27"/>
      <c r="I238" s="27"/>
      <c r="J238" s="27"/>
      <c r="K238" s="27"/>
      <c r="L238" s="27"/>
      <c r="M238" s="27"/>
      <c r="N238" s="27"/>
      <c r="O238" s="27"/>
      <c r="P238" s="27"/>
      <c r="Q238" s="27"/>
      <c r="R238" s="27"/>
      <c r="S238" s="27"/>
      <c r="T238" s="27"/>
    </row>
    <row r="239" spans="1:20">
      <c r="A239" s="27"/>
      <c r="B239" s="27"/>
      <c r="C239" s="27"/>
      <c r="D239" s="27"/>
      <c r="E239" s="27"/>
      <c r="F239" s="27"/>
      <c r="G239" s="27"/>
      <c r="H239" s="27"/>
      <c r="I239" s="27"/>
      <c r="J239" s="27"/>
      <c r="K239" s="27"/>
      <c r="L239" s="27"/>
      <c r="M239" s="27"/>
      <c r="N239" s="27"/>
      <c r="O239" s="27"/>
      <c r="P239" s="27"/>
      <c r="Q239" s="27"/>
      <c r="R239" s="27"/>
      <c r="S239" s="27"/>
      <c r="T239" s="27"/>
    </row>
    <row r="240" spans="1:20">
      <c r="A240" s="27"/>
      <c r="B240" s="27"/>
      <c r="C240" s="27"/>
      <c r="D240" s="27"/>
      <c r="E240" s="27"/>
      <c r="F240" s="27"/>
      <c r="G240" s="27"/>
      <c r="H240" s="27"/>
      <c r="I240" s="27"/>
      <c r="J240" s="27"/>
      <c r="K240" s="27"/>
      <c r="L240" s="27"/>
      <c r="M240" s="27"/>
      <c r="N240" s="27"/>
      <c r="O240" s="27"/>
      <c r="P240" s="27"/>
      <c r="Q240" s="27"/>
      <c r="R240" s="27"/>
      <c r="S240" s="27"/>
      <c r="T240" s="27"/>
    </row>
    <row r="241" spans="1:20">
      <c r="A241" s="27"/>
      <c r="B241" s="27"/>
      <c r="C241" s="27"/>
      <c r="D241" s="27"/>
      <c r="E241" s="27"/>
      <c r="F241" s="27"/>
      <c r="G241" s="27"/>
      <c r="H241" s="27"/>
      <c r="I241" s="27"/>
      <c r="J241" s="27"/>
      <c r="K241" s="27"/>
      <c r="L241" s="27"/>
      <c r="M241" s="27"/>
      <c r="N241" s="27"/>
      <c r="O241" s="27"/>
      <c r="P241" s="27"/>
      <c r="Q241" s="27"/>
      <c r="R241" s="27"/>
      <c r="S241" s="27"/>
      <c r="T241" s="27"/>
    </row>
    <row r="242" spans="1:20">
      <c r="A242" s="27"/>
      <c r="B242" s="27"/>
      <c r="C242" s="27"/>
      <c r="D242" s="27"/>
      <c r="E242" s="27"/>
      <c r="F242" s="27"/>
      <c r="G242" s="27"/>
      <c r="H242" s="27"/>
      <c r="I242" s="27"/>
      <c r="J242" s="27"/>
      <c r="K242" s="27"/>
      <c r="L242" s="27"/>
      <c r="M242" s="27"/>
      <c r="N242" s="27"/>
      <c r="O242" s="27"/>
      <c r="P242" s="27"/>
      <c r="Q242" s="27"/>
      <c r="R242" s="27"/>
      <c r="S242" s="27"/>
      <c r="T242" s="27"/>
    </row>
    <row r="243" spans="1:20">
      <c r="A243" s="27"/>
      <c r="B243" s="27"/>
      <c r="C243" s="27"/>
      <c r="D243" s="27"/>
      <c r="E243" s="27"/>
      <c r="F243" s="27"/>
      <c r="G243" s="27"/>
      <c r="H243" s="27"/>
      <c r="I243" s="27"/>
      <c r="J243" s="27"/>
      <c r="K243" s="27"/>
      <c r="L243" s="27"/>
      <c r="M243" s="27"/>
      <c r="N243" s="27"/>
      <c r="O243" s="27"/>
      <c r="P243" s="27"/>
      <c r="Q243" s="27"/>
      <c r="R243" s="27"/>
      <c r="S243" s="27"/>
      <c r="T243" s="27"/>
    </row>
    <row r="244" spans="1:20">
      <c r="A244" s="27"/>
      <c r="B244" s="27"/>
      <c r="C244" s="27"/>
      <c r="D244" s="27"/>
      <c r="E244" s="27"/>
      <c r="F244" s="27"/>
      <c r="G244" s="27"/>
      <c r="H244" s="27"/>
      <c r="I244" s="27"/>
      <c r="J244" s="27"/>
      <c r="K244" s="27"/>
      <c r="L244" s="27"/>
      <c r="M244" s="27"/>
      <c r="N244" s="27"/>
      <c r="O244" s="27"/>
      <c r="P244" s="27"/>
      <c r="Q244" s="27"/>
      <c r="R244" s="27"/>
      <c r="S244" s="27"/>
      <c r="T244" s="27"/>
    </row>
    <row r="245" spans="1:20">
      <c r="A245" s="27"/>
      <c r="B245" s="27"/>
      <c r="C245" s="27"/>
      <c r="D245" s="27"/>
      <c r="E245" s="27"/>
      <c r="F245" s="27"/>
      <c r="G245" s="27"/>
      <c r="H245" s="27"/>
      <c r="I245" s="27"/>
      <c r="J245" s="27"/>
      <c r="K245" s="27"/>
      <c r="L245" s="27"/>
      <c r="M245" s="27"/>
      <c r="N245" s="27"/>
      <c r="O245" s="27"/>
      <c r="P245" s="27"/>
      <c r="Q245" s="27"/>
      <c r="R245" s="27"/>
      <c r="S245" s="27"/>
      <c r="T245" s="27"/>
    </row>
    <row r="246" spans="1:20">
      <c r="A246" s="27"/>
      <c r="B246" s="27"/>
      <c r="C246" s="27"/>
      <c r="D246" s="27"/>
      <c r="E246" s="27"/>
      <c r="F246" s="27"/>
      <c r="G246" s="27"/>
      <c r="H246" s="27"/>
      <c r="I246" s="27"/>
      <c r="J246" s="27"/>
      <c r="K246" s="27"/>
      <c r="L246" s="27"/>
      <c r="M246" s="27"/>
      <c r="N246" s="27"/>
      <c r="O246" s="27"/>
      <c r="P246" s="27"/>
      <c r="Q246" s="27"/>
      <c r="R246" s="27"/>
      <c r="S246" s="27"/>
      <c r="T246" s="27"/>
    </row>
    <row r="247" spans="1:20">
      <c r="A247" s="27"/>
      <c r="B247" s="27"/>
      <c r="C247" s="27"/>
      <c r="D247" s="27"/>
      <c r="E247" s="27"/>
      <c r="F247" s="27"/>
      <c r="G247" s="27"/>
      <c r="H247" s="27"/>
      <c r="I247" s="27"/>
      <c r="J247" s="27"/>
      <c r="K247" s="27"/>
      <c r="L247" s="27"/>
      <c r="M247" s="27"/>
      <c r="N247" s="27"/>
      <c r="O247" s="27"/>
      <c r="P247" s="27"/>
      <c r="Q247" s="27"/>
      <c r="R247" s="27"/>
      <c r="S247" s="27"/>
      <c r="T247" s="27"/>
    </row>
    <row r="248" spans="1:20">
      <c r="A248" s="27"/>
      <c r="B248" s="27"/>
      <c r="C248" s="27"/>
      <c r="D248" s="27"/>
      <c r="E248" s="27"/>
      <c r="F248" s="27"/>
      <c r="G248" s="27"/>
      <c r="H248" s="27"/>
      <c r="I248" s="27"/>
      <c r="J248" s="27"/>
      <c r="K248" s="27"/>
      <c r="L248" s="27"/>
      <c r="M248" s="27"/>
      <c r="N248" s="27"/>
      <c r="O248" s="27"/>
      <c r="P248" s="27"/>
      <c r="Q248" s="27"/>
      <c r="R248" s="27"/>
      <c r="S248" s="27"/>
      <c r="T248" s="27"/>
    </row>
    <row r="249" spans="1:20">
      <c r="A249" s="27"/>
      <c r="B249" s="27"/>
      <c r="C249" s="27"/>
      <c r="D249" s="27"/>
      <c r="E249" s="27"/>
      <c r="F249" s="27"/>
      <c r="G249" s="27"/>
      <c r="H249" s="27"/>
      <c r="I249" s="27"/>
      <c r="J249" s="27"/>
      <c r="K249" s="27"/>
      <c r="L249" s="27"/>
      <c r="M249" s="27"/>
      <c r="N249" s="27"/>
      <c r="O249" s="27"/>
      <c r="P249" s="27"/>
      <c r="Q249" s="27"/>
      <c r="R249" s="27"/>
      <c r="S249" s="27"/>
      <c r="T249" s="27"/>
    </row>
    <row r="250" spans="1:20">
      <c r="A250" s="27"/>
      <c r="B250" s="27"/>
      <c r="C250" s="27"/>
      <c r="D250" s="27"/>
      <c r="E250" s="27"/>
      <c r="F250" s="27"/>
      <c r="G250" s="27"/>
      <c r="H250" s="27"/>
      <c r="I250" s="27"/>
      <c r="J250" s="27"/>
      <c r="K250" s="27"/>
      <c r="L250" s="27"/>
      <c r="M250" s="27"/>
      <c r="N250" s="27"/>
      <c r="O250" s="27"/>
      <c r="P250" s="27"/>
      <c r="Q250" s="27"/>
      <c r="R250" s="27"/>
      <c r="S250" s="27"/>
      <c r="T250" s="27"/>
    </row>
    <row r="251" spans="1:20">
      <c r="A251" s="27"/>
      <c r="B251" s="27"/>
      <c r="C251" s="27"/>
      <c r="D251" s="27"/>
      <c r="E251" s="27"/>
      <c r="F251" s="27"/>
      <c r="G251" s="27"/>
      <c r="H251" s="27"/>
      <c r="I251" s="27"/>
      <c r="J251" s="27"/>
      <c r="K251" s="27"/>
      <c r="L251" s="27"/>
      <c r="M251" s="27"/>
      <c r="N251" s="27"/>
      <c r="O251" s="27"/>
      <c r="P251" s="27"/>
      <c r="Q251" s="27"/>
      <c r="R251" s="27"/>
      <c r="S251" s="27"/>
      <c r="T251" s="27"/>
    </row>
    <row r="252" spans="1:20">
      <c r="A252" s="27"/>
      <c r="B252" s="27"/>
      <c r="C252" s="27"/>
      <c r="D252" s="27"/>
      <c r="E252" s="27"/>
      <c r="F252" s="27"/>
      <c r="G252" s="27"/>
      <c r="H252" s="27"/>
      <c r="I252" s="27"/>
      <c r="J252" s="27"/>
      <c r="K252" s="27"/>
      <c r="L252" s="27"/>
      <c r="M252" s="27"/>
      <c r="N252" s="27"/>
      <c r="O252" s="27"/>
      <c r="P252" s="27"/>
      <c r="Q252" s="27"/>
      <c r="R252" s="27"/>
      <c r="S252" s="27"/>
      <c r="T252" s="27"/>
    </row>
    <row r="253" spans="1:20">
      <c r="A253" s="27"/>
      <c r="B253" s="27"/>
      <c r="C253" s="27"/>
      <c r="D253" s="27"/>
      <c r="E253" s="27"/>
      <c r="F253" s="27"/>
      <c r="G253" s="27"/>
      <c r="H253" s="27"/>
      <c r="I253" s="27"/>
      <c r="J253" s="27"/>
      <c r="K253" s="27"/>
      <c r="L253" s="27"/>
      <c r="M253" s="27"/>
      <c r="N253" s="27"/>
      <c r="O253" s="27"/>
      <c r="P253" s="27"/>
      <c r="Q253" s="27"/>
      <c r="R253" s="27"/>
      <c r="S253" s="27"/>
      <c r="T253" s="27"/>
    </row>
    <row r="254" spans="1:20">
      <c r="A254" s="27"/>
      <c r="B254" s="27"/>
      <c r="C254" s="27"/>
      <c r="D254" s="27"/>
      <c r="E254" s="27"/>
      <c r="F254" s="27"/>
      <c r="G254" s="27"/>
      <c r="H254" s="27"/>
      <c r="I254" s="27"/>
      <c r="J254" s="27"/>
      <c r="K254" s="27"/>
      <c r="L254" s="27"/>
      <c r="M254" s="27"/>
      <c r="N254" s="27"/>
      <c r="O254" s="27"/>
      <c r="P254" s="27"/>
      <c r="Q254" s="27"/>
      <c r="R254" s="27"/>
      <c r="S254" s="27"/>
      <c r="T254" s="27"/>
    </row>
    <row r="255" spans="1:20">
      <c r="A255" s="27"/>
      <c r="B255" s="27"/>
      <c r="C255" s="27"/>
      <c r="D255" s="27"/>
      <c r="E255" s="27"/>
      <c r="F255" s="27"/>
      <c r="G255" s="27"/>
      <c r="H255" s="27"/>
      <c r="I255" s="27"/>
      <c r="J255" s="27"/>
      <c r="K255" s="27"/>
      <c r="L255" s="27"/>
      <c r="M255" s="27"/>
      <c r="N255" s="27"/>
      <c r="O255" s="27"/>
      <c r="P255" s="27"/>
      <c r="Q255" s="27"/>
      <c r="R255" s="27"/>
      <c r="S255" s="27"/>
      <c r="T255" s="27"/>
    </row>
    <row r="256" spans="1:20">
      <c r="A256" s="27"/>
      <c r="B256" s="27"/>
      <c r="C256" s="27"/>
      <c r="D256" s="27"/>
      <c r="E256" s="27"/>
      <c r="F256" s="27"/>
      <c r="G256" s="27"/>
      <c r="H256" s="27"/>
      <c r="I256" s="27"/>
      <c r="J256" s="27"/>
      <c r="K256" s="27"/>
      <c r="L256" s="27"/>
      <c r="M256" s="27"/>
      <c r="N256" s="27"/>
      <c r="O256" s="27"/>
      <c r="P256" s="27"/>
      <c r="Q256" s="27"/>
      <c r="R256" s="27"/>
      <c r="S256" s="27"/>
      <c r="T256" s="27"/>
    </row>
    <row r="257" spans="1:20">
      <c r="A257" s="27"/>
      <c r="B257" s="27"/>
      <c r="C257" s="27"/>
      <c r="D257" s="27"/>
      <c r="E257" s="27"/>
      <c r="F257" s="27"/>
      <c r="G257" s="27"/>
      <c r="H257" s="27"/>
      <c r="I257" s="27"/>
      <c r="J257" s="27"/>
      <c r="K257" s="27"/>
      <c r="L257" s="27"/>
      <c r="M257" s="27"/>
      <c r="N257" s="27"/>
      <c r="O257" s="27"/>
      <c r="P257" s="27"/>
      <c r="Q257" s="27"/>
      <c r="R257" s="27"/>
      <c r="S257" s="27"/>
      <c r="T257" s="27"/>
    </row>
    <row r="258" spans="1:20">
      <c r="A258" s="27"/>
      <c r="B258" s="27"/>
      <c r="C258" s="27"/>
      <c r="D258" s="27"/>
      <c r="E258" s="27"/>
      <c r="F258" s="27"/>
      <c r="G258" s="27"/>
      <c r="H258" s="27"/>
      <c r="I258" s="27"/>
      <c r="J258" s="27"/>
      <c r="K258" s="27"/>
      <c r="L258" s="27"/>
      <c r="M258" s="27"/>
      <c r="N258" s="27"/>
      <c r="O258" s="27"/>
      <c r="P258" s="27"/>
      <c r="Q258" s="27"/>
      <c r="R258" s="27"/>
      <c r="S258" s="27"/>
      <c r="T258" s="27"/>
    </row>
    <row r="259" spans="1:20">
      <c r="A259" s="27"/>
      <c r="B259" s="27"/>
      <c r="C259" s="27"/>
      <c r="D259" s="27"/>
      <c r="E259" s="27"/>
      <c r="F259" s="27"/>
      <c r="G259" s="27"/>
      <c r="H259" s="27"/>
      <c r="I259" s="27"/>
      <c r="J259" s="27"/>
      <c r="K259" s="27"/>
      <c r="L259" s="27"/>
      <c r="M259" s="27"/>
      <c r="N259" s="27"/>
      <c r="O259" s="27"/>
      <c r="P259" s="27"/>
      <c r="Q259" s="27"/>
      <c r="R259" s="27"/>
      <c r="S259" s="27"/>
      <c r="T259" s="27"/>
    </row>
    <row r="260" spans="1:20">
      <c r="A260" s="27"/>
      <c r="B260" s="27" t="s">
        <v>1025</v>
      </c>
      <c r="C260" s="27"/>
      <c r="D260" s="27"/>
      <c r="E260" s="27"/>
      <c r="F260" s="27"/>
      <c r="G260" s="27"/>
      <c r="H260" s="27"/>
      <c r="I260" s="27"/>
      <c r="J260" s="27"/>
      <c r="K260" s="27"/>
      <c r="L260" s="27"/>
      <c r="M260" s="27"/>
      <c r="N260" s="27"/>
      <c r="O260" s="27"/>
      <c r="P260" s="27"/>
      <c r="Q260" s="27"/>
      <c r="R260" s="27"/>
      <c r="S260" s="27"/>
      <c r="T260" s="27"/>
    </row>
    <row r="261" spans="1:20">
      <c r="A261" s="27"/>
      <c r="B261" s="27"/>
      <c r="C261" s="27"/>
      <c r="D261" s="27"/>
      <c r="E261" s="27"/>
      <c r="F261" s="27"/>
      <c r="G261" s="27"/>
      <c r="H261" s="27"/>
      <c r="I261" s="27"/>
      <c r="J261" s="27"/>
      <c r="K261" s="27"/>
      <c r="L261" s="27"/>
      <c r="M261" s="27"/>
      <c r="N261" s="27"/>
      <c r="O261" s="27"/>
      <c r="P261" s="27"/>
      <c r="Q261" s="27"/>
      <c r="R261" s="27"/>
      <c r="S261" s="27"/>
      <c r="T261" s="27"/>
    </row>
    <row r="262" spans="1:20">
      <c r="A262" s="27"/>
      <c r="B262" s="27"/>
      <c r="C262" s="27"/>
      <c r="D262" s="27"/>
      <c r="E262" s="27"/>
      <c r="F262" s="27"/>
      <c r="G262" s="27"/>
      <c r="H262" s="27"/>
      <c r="I262" s="27"/>
      <c r="J262" s="27"/>
      <c r="K262" s="27"/>
      <c r="L262" s="27"/>
      <c r="M262" s="27"/>
      <c r="N262" s="27"/>
      <c r="O262" s="27"/>
      <c r="P262" s="27"/>
      <c r="Q262" s="27"/>
      <c r="R262" s="27"/>
      <c r="S262" s="27"/>
      <c r="T262" s="27"/>
    </row>
    <row r="263" spans="1:20">
      <c r="A263" s="27"/>
      <c r="B263" s="27"/>
      <c r="C263" s="27"/>
      <c r="D263" s="27"/>
      <c r="E263" s="27"/>
      <c r="F263" s="27"/>
      <c r="G263" s="27"/>
      <c r="H263" s="27"/>
      <c r="I263" s="27"/>
      <c r="J263" s="27"/>
      <c r="K263" s="27"/>
      <c r="L263" s="27"/>
      <c r="M263" s="27"/>
      <c r="N263" s="27"/>
      <c r="O263" s="27"/>
      <c r="P263" s="27"/>
      <c r="Q263" s="27"/>
      <c r="R263" s="27"/>
      <c r="S263" s="27"/>
      <c r="T263" s="27"/>
    </row>
    <row r="264" spans="1:20">
      <c r="A264" s="27"/>
      <c r="B264" s="27"/>
      <c r="C264" s="27"/>
      <c r="D264" s="27"/>
      <c r="E264" s="27"/>
      <c r="F264" s="27"/>
      <c r="G264" s="27"/>
      <c r="H264" s="27"/>
      <c r="I264" s="27"/>
      <c r="J264" s="27"/>
      <c r="K264" s="27"/>
      <c r="L264" s="27"/>
      <c r="M264" s="27"/>
      <c r="N264" s="27"/>
      <c r="O264" s="27"/>
      <c r="P264" s="27"/>
      <c r="Q264" s="27"/>
      <c r="R264" s="27"/>
      <c r="S264" s="27"/>
      <c r="T264" s="27"/>
    </row>
    <row r="265" spans="1:20">
      <c r="A265" s="27"/>
      <c r="B265" s="27"/>
      <c r="C265" s="27"/>
      <c r="D265" s="27"/>
      <c r="E265" s="27"/>
      <c r="F265" s="27"/>
      <c r="G265" s="27"/>
      <c r="H265" s="27"/>
      <c r="I265" s="27"/>
      <c r="J265" s="27"/>
      <c r="K265" s="27"/>
      <c r="L265" s="27"/>
      <c r="M265" s="27"/>
      <c r="N265" s="27"/>
      <c r="O265" s="27"/>
      <c r="P265" s="27"/>
      <c r="Q265" s="27"/>
      <c r="R265" s="27"/>
      <c r="S265" s="27"/>
      <c r="T265" s="27"/>
    </row>
    <row r="266" spans="1:20">
      <c r="A266" s="27"/>
      <c r="B266" s="27"/>
      <c r="C266" s="27"/>
      <c r="D266" s="27"/>
      <c r="E266" s="27"/>
      <c r="F266" s="27"/>
      <c r="G266" s="27"/>
      <c r="H266" s="27"/>
      <c r="I266" s="27"/>
      <c r="J266" s="27"/>
      <c r="K266" s="27"/>
      <c r="L266" s="27"/>
      <c r="M266" s="27"/>
      <c r="N266" s="27"/>
      <c r="O266" s="27"/>
      <c r="P266" s="27"/>
      <c r="Q266" s="27"/>
      <c r="R266" s="27"/>
      <c r="S266" s="27"/>
      <c r="T266" s="27"/>
    </row>
    <row r="267" spans="1:20">
      <c r="A267" s="27"/>
      <c r="B267" s="27"/>
      <c r="C267" s="27"/>
      <c r="D267" s="27"/>
      <c r="E267" s="27"/>
      <c r="F267" s="27"/>
      <c r="G267" s="27"/>
      <c r="H267" s="27"/>
      <c r="I267" s="27"/>
      <c r="J267" s="27"/>
      <c r="K267" s="27"/>
      <c r="L267" s="27"/>
      <c r="M267" s="27"/>
      <c r="N267" s="27"/>
      <c r="O267" s="27"/>
      <c r="P267" s="27"/>
      <c r="Q267" s="27"/>
      <c r="R267" s="27"/>
      <c r="S267" s="27"/>
      <c r="T267" s="27"/>
    </row>
    <row r="268" spans="1:20">
      <c r="A268" s="27"/>
      <c r="B268" s="27"/>
      <c r="C268" s="27"/>
      <c r="D268" s="27"/>
      <c r="E268" s="27"/>
      <c r="F268" s="27"/>
      <c r="G268" s="27"/>
      <c r="H268" s="27"/>
      <c r="I268" s="27"/>
      <c r="J268" s="27"/>
      <c r="K268" s="27"/>
      <c r="L268" s="27"/>
      <c r="M268" s="27"/>
      <c r="N268" s="27"/>
      <c r="O268" s="27"/>
      <c r="P268" s="27"/>
      <c r="Q268" s="27"/>
      <c r="R268" s="27"/>
      <c r="S268" s="27"/>
      <c r="T268" s="27"/>
    </row>
    <row r="269" spans="1:20">
      <c r="A269" s="27"/>
      <c r="B269" s="27"/>
      <c r="C269" s="27"/>
      <c r="D269" s="27"/>
      <c r="E269" s="27"/>
      <c r="F269" s="27"/>
      <c r="G269" s="27"/>
      <c r="H269" s="27"/>
      <c r="I269" s="27"/>
      <c r="J269" s="27"/>
      <c r="K269" s="27"/>
      <c r="L269" s="27"/>
      <c r="M269" s="27"/>
      <c r="N269" s="27"/>
      <c r="O269" s="27"/>
      <c r="P269" s="27"/>
      <c r="Q269" s="27"/>
      <c r="R269" s="27"/>
      <c r="S269" s="27"/>
      <c r="T269" s="27"/>
    </row>
    <row r="270" spans="1:20">
      <c r="A270" s="27"/>
      <c r="B270" s="27"/>
      <c r="C270" s="27"/>
      <c r="D270" s="27"/>
      <c r="E270" s="27"/>
      <c r="F270" s="27"/>
      <c r="G270" s="27"/>
      <c r="H270" s="27"/>
      <c r="I270" s="27"/>
      <c r="J270" s="27"/>
      <c r="K270" s="27"/>
      <c r="L270" s="27"/>
      <c r="M270" s="27"/>
      <c r="N270" s="27"/>
      <c r="O270" s="27"/>
      <c r="P270" s="27"/>
      <c r="Q270" s="27"/>
      <c r="R270" s="27"/>
      <c r="S270" s="27"/>
      <c r="T270" s="27"/>
    </row>
    <row r="271" spans="1:20">
      <c r="A271" s="27"/>
      <c r="B271" s="27"/>
      <c r="C271" s="27"/>
      <c r="D271" s="27"/>
      <c r="E271" s="27"/>
      <c r="F271" s="27"/>
      <c r="G271" s="27"/>
      <c r="H271" s="27"/>
      <c r="I271" s="27"/>
      <c r="J271" s="27"/>
      <c r="K271" s="27"/>
      <c r="L271" s="27"/>
      <c r="M271" s="27"/>
      <c r="N271" s="27"/>
      <c r="O271" s="27"/>
      <c r="P271" s="27"/>
      <c r="Q271" s="27"/>
      <c r="R271" s="27"/>
      <c r="S271" s="27"/>
      <c r="T271" s="27"/>
    </row>
    <row r="272" spans="1:20">
      <c r="A272" s="27"/>
      <c r="B272" s="27"/>
      <c r="C272" s="27"/>
      <c r="D272" s="27"/>
      <c r="E272" s="27"/>
      <c r="F272" s="27"/>
      <c r="G272" s="27"/>
      <c r="H272" s="27"/>
      <c r="I272" s="27"/>
      <c r="J272" s="27"/>
      <c r="K272" s="27"/>
      <c r="L272" s="27"/>
      <c r="M272" s="27"/>
      <c r="N272" s="27"/>
      <c r="O272" s="27"/>
      <c r="P272" s="27"/>
      <c r="Q272" s="27"/>
      <c r="R272" s="27"/>
      <c r="S272" s="27"/>
      <c r="T272" s="27"/>
    </row>
    <row r="273" spans="1:20">
      <c r="A273" s="27"/>
      <c r="B273" s="27"/>
      <c r="C273" s="27"/>
      <c r="D273" s="27"/>
      <c r="E273" s="27"/>
      <c r="F273" s="27"/>
      <c r="G273" s="27"/>
      <c r="H273" s="27"/>
      <c r="I273" s="27"/>
      <c r="J273" s="27"/>
      <c r="K273" s="27"/>
      <c r="L273" s="27"/>
      <c r="M273" s="27"/>
      <c r="N273" s="27"/>
      <c r="O273" s="27"/>
      <c r="P273" s="27"/>
      <c r="Q273" s="27"/>
      <c r="R273" s="27"/>
      <c r="S273" s="27"/>
      <c r="T273" s="27"/>
    </row>
    <row r="274" spans="1:20">
      <c r="A274" s="27"/>
      <c r="B274" s="27"/>
      <c r="C274" s="27"/>
      <c r="D274" s="27"/>
      <c r="E274" s="27"/>
      <c r="F274" s="27"/>
      <c r="G274" s="27"/>
      <c r="H274" s="27"/>
      <c r="I274" s="27"/>
      <c r="J274" s="27"/>
      <c r="K274" s="27"/>
      <c r="L274" s="27"/>
      <c r="M274" s="27"/>
      <c r="N274" s="27"/>
      <c r="O274" s="27"/>
      <c r="P274" s="27"/>
      <c r="Q274" s="27"/>
      <c r="R274" s="27"/>
      <c r="S274" s="27"/>
      <c r="T274" s="27"/>
    </row>
    <row r="275" spans="1:20">
      <c r="A275" s="27"/>
      <c r="B275" s="27"/>
      <c r="C275" s="27"/>
      <c r="D275" s="27"/>
      <c r="E275" s="27"/>
      <c r="F275" s="27"/>
      <c r="G275" s="27"/>
      <c r="H275" s="27"/>
      <c r="I275" s="27"/>
      <c r="J275" s="27"/>
      <c r="K275" s="27"/>
      <c r="L275" s="27"/>
      <c r="M275" s="27"/>
      <c r="N275" s="27"/>
      <c r="O275" s="27"/>
      <c r="P275" s="27"/>
      <c r="Q275" s="27"/>
      <c r="R275" s="27"/>
      <c r="S275" s="27"/>
      <c r="T275" s="27"/>
    </row>
    <row r="276" spans="1:20">
      <c r="A276" s="27"/>
      <c r="B276" s="27"/>
      <c r="C276" s="27"/>
      <c r="D276" s="27"/>
      <c r="E276" s="27"/>
      <c r="F276" s="27"/>
      <c r="G276" s="27"/>
      <c r="H276" s="27"/>
      <c r="I276" s="27"/>
      <c r="J276" s="27"/>
      <c r="K276" s="27"/>
      <c r="L276" s="27"/>
      <c r="M276" s="27"/>
      <c r="N276" s="27"/>
      <c r="O276" s="27"/>
      <c r="P276" s="27"/>
      <c r="Q276" s="27"/>
      <c r="R276" s="27"/>
      <c r="S276" s="27"/>
      <c r="T276" s="27"/>
    </row>
    <row r="277" spans="1:20">
      <c r="A277" s="27"/>
      <c r="B277" s="27"/>
      <c r="C277" s="27"/>
      <c r="D277" s="27"/>
      <c r="E277" s="27"/>
      <c r="F277" s="27"/>
      <c r="G277" s="27"/>
      <c r="H277" s="27"/>
      <c r="I277" s="27"/>
      <c r="J277" s="27"/>
      <c r="K277" s="27"/>
      <c r="L277" s="27"/>
      <c r="M277" s="27"/>
      <c r="N277" s="27"/>
      <c r="O277" s="27"/>
      <c r="P277" s="27"/>
      <c r="Q277" s="27"/>
      <c r="R277" s="27"/>
      <c r="S277" s="27"/>
      <c r="T277" s="27"/>
    </row>
    <row r="278" spans="1:20">
      <c r="A278" s="27"/>
      <c r="B278" s="27"/>
      <c r="C278" s="27"/>
      <c r="D278" s="27"/>
      <c r="E278" s="27"/>
      <c r="F278" s="27"/>
      <c r="G278" s="27"/>
      <c r="H278" s="27"/>
      <c r="I278" s="27"/>
      <c r="J278" s="27"/>
      <c r="K278" s="27"/>
      <c r="L278" s="27"/>
      <c r="M278" s="27"/>
      <c r="N278" s="27"/>
      <c r="O278" s="27"/>
      <c r="P278" s="27"/>
      <c r="Q278" s="27"/>
      <c r="R278" s="27"/>
      <c r="S278" s="27"/>
      <c r="T278" s="27"/>
    </row>
    <row r="279" spans="1:20">
      <c r="A279" s="27"/>
      <c r="B279" s="27"/>
      <c r="C279" s="27"/>
      <c r="D279" s="27"/>
      <c r="E279" s="27"/>
      <c r="F279" s="27"/>
      <c r="G279" s="27"/>
      <c r="H279" s="27"/>
      <c r="I279" s="27"/>
      <c r="J279" s="27"/>
      <c r="K279" s="27"/>
      <c r="L279" s="27"/>
      <c r="M279" s="27"/>
      <c r="N279" s="27"/>
      <c r="O279" s="27"/>
      <c r="P279" s="27"/>
      <c r="Q279" s="27"/>
      <c r="R279" s="27"/>
      <c r="S279" s="27"/>
      <c r="T279" s="27"/>
    </row>
    <row r="280" spans="1:20">
      <c r="A280" s="27"/>
      <c r="B280" s="27"/>
      <c r="C280" s="27"/>
      <c r="D280" s="27"/>
      <c r="E280" s="27"/>
      <c r="F280" s="27"/>
      <c r="G280" s="27"/>
      <c r="H280" s="27"/>
      <c r="I280" s="27"/>
      <c r="J280" s="27"/>
      <c r="K280" s="27"/>
      <c r="L280" s="27"/>
      <c r="M280" s="27"/>
      <c r="N280" s="27"/>
      <c r="O280" s="27"/>
      <c r="P280" s="27"/>
      <c r="Q280" s="27"/>
      <c r="R280" s="27"/>
      <c r="S280" s="27"/>
      <c r="T280" s="27"/>
    </row>
    <row r="281" spans="1:20">
      <c r="A281" s="27"/>
      <c r="B281" s="27"/>
      <c r="C281" s="27"/>
      <c r="D281" s="27"/>
      <c r="E281" s="27"/>
      <c r="F281" s="27"/>
      <c r="G281" s="27"/>
      <c r="H281" s="27"/>
      <c r="I281" s="27"/>
      <c r="J281" s="27"/>
      <c r="K281" s="27"/>
      <c r="L281" s="27"/>
      <c r="M281" s="27"/>
      <c r="N281" s="27"/>
      <c r="O281" s="27"/>
      <c r="P281" s="27"/>
      <c r="Q281" s="27"/>
      <c r="R281" s="27"/>
      <c r="S281" s="27"/>
      <c r="T281" s="27"/>
    </row>
    <row r="282" spans="1:20">
      <c r="A282" s="27"/>
      <c r="B282" s="27"/>
      <c r="C282" s="27"/>
      <c r="D282" s="27"/>
      <c r="E282" s="27"/>
      <c r="F282" s="27"/>
      <c r="G282" s="27"/>
      <c r="H282" s="27"/>
      <c r="I282" s="27"/>
      <c r="J282" s="27"/>
      <c r="K282" s="27"/>
      <c r="L282" s="27"/>
      <c r="M282" s="27"/>
      <c r="N282" s="27"/>
      <c r="O282" s="27"/>
      <c r="P282" s="27"/>
      <c r="Q282" s="27"/>
      <c r="R282" s="27"/>
      <c r="S282" s="27"/>
      <c r="T282" s="27"/>
    </row>
    <row r="283" spans="1:20">
      <c r="B283" s="27"/>
      <c r="C283" s="27"/>
      <c r="D283" s="27"/>
      <c r="E283" s="27"/>
      <c r="F283" s="27"/>
      <c r="G283" s="27"/>
      <c r="H283" s="27"/>
      <c r="I283" s="27"/>
      <c r="J283" s="27"/>
      <c r="K283" s="27"/>
      <c r="L283" s="27"/>
      <c r="M283" s="27"/>
      <c r="N283" s="27"/>
      <c r="O283" s="27"/>
      <c r="P283" s="27"/>
      <c r="Q283" s="27"/>
      <c r="R283" s="27"/>
      <c r="S283" s="27"/>
      <c r="T283" s="27"/>
    </row>
    <row r="284" spans="1:20">
      <c r="B284" s="27"/>
      <c r="C284" s="27"/>
      <c r="D284" s="27"/>
      <c r="E284" s="27"/>
      <c r="F284" s="27"/>
      <c r="G284" s="27"/>
      <c r="H284" s="27"/>
      <c r="I284" s="27"/>
      <c r="J284" s="27"/>
      <c r="K284" s="27"/>
      <c r="L284" s="27"/>
      <c r="M284" s="27"/>
      <c r="N284" s="27"/>
      <c r="O284" s="27"/>
      <c r="P284" s="27"/>
      <c r="Q284" s="27"/>
      <c r="R284" s="27"/>
      <c r="S284" s="27"/>
      <c r="T284" s="27"/>
    </row>
    <row r="285" spans="1:20">
      <c r="B285" s="27"/>
      <c r="C285" s="27"/>
      <c r="D285" s="27"/>
      <c r="E285" s="27"/>
      <c r="F285" s="27"/>
      <c r="G285" s="27"/>
      <c r="H285" s="27"/>
      <c r="I285" s="27"/>
      <c r="J285" s="27"/>
      <c r="K285" s="27"/>
      <c r="L285" s="27"/>
      <c r="M285" s="27"/>
      <c r="N285" s="27"/>
      <c r="O285" s="27"/>
      <c r="P285" s="27"/>
      <c r="Q285" s="27"/>
      <c r="R285" s="27"/>
      <c r="S285" s="27"/>
      <c r="T285" s="27"/>
    </row>
    <row r="286" spans="1:20">
      <c r="B286" s="27"/>
      <c r="C286" s="27"/>
      <c r="D286" s="27"/>
      <c r="E286" s="27"/>
      <c r="F286" s="27"/>
      <c r="G286" s="27"/>
      <c r="H286" s="27"/>
      <c r="I286" s="27"/>
      <c r="J286" s="27"/>
      <c r="K286" s="27"/>
      <c r="L286" s="27"/>
      <c r="M286" s="27"/>
      <c r="N286" s="27"/>
      <c r="O286" s="27"/>
      <c r="P286" s="27"/>
      <c r="Q286" s="27"/>
      <c r="R286" s="27"/>
      <c r="S286" s="27"/>
      <c r="T286" s="27"/>
    </row>
    <row r="287" spans="1:20">
      <c r="B287" s="27"/>
      <c r="C287" s="27"/>
      <c r="D287" s="27"/>
      <c r="E287" s="27"/>
      <c r="F287" s="27"/>
      <c r="G287" s="27"/>
      <c r="H287" s="27"/>
      <c r="I287" s="27"/>
      <c r="J287" s="27"/>
      <c r="K287" s="27"/>
      <c r="L287" s="27"/>
      <c r="M287" s="27"/>
      <c r="N287" s="27"/>
      <c r="O287" s="27"/>
      <c r="P287" s="27"/>
      <c r="Q287" s="27"/>
      <c r="R287" s="27"/>
      <c r="S287" s="27"/>
      <c r="T287" s="27"/>
    </row>
    <row r="288" spans="1:20">
      <c r="B288" s="27"/>
      <c r="C288" s="27"/>
      <c r="D288" s="27"/>
      <c r="E288" s="27"/>
      <c r="F288" s="27"/>
      <c r="G288" s="27"/>
      <c r="H288" s="27"/>
      <c r="I288" s="27"/>
      <c r="J288" s="27"/>
      <c r="K288" s="27"/>
      <c r="L288" s="27"/>
      <c r="M288" s="27"/>
      <c r="N288" s="27"/>
      <c r="O288" s="27"/>
      <c r="P288" s="27"/>
      <c r="Q288" s="27"/>
      <c r="R288" s="27"/>
      <c r="S288" s="27"/>
      <c r="T288" s="27"/>
    </row>
    <row r="289" spans="2:20">
      <c r="B289" s="27"/>
      <c r="C289" s="27"/>
      <c r="D289" s="27"/>
      <c r="E289" s="27"/>
      <c r="F289" s="27"/>
      <c r="G289" s="27"/>
      <c r="H289" s="27"/>
      <c r="I289" s="27"/>
      <c r="J289" s="27"/>
      <c r="K289" s="27"/>
      <c r="L289" s="27"/>
      <c r="M289" s="27"/>
      <c r="N289" s="27"/>
      <c r="O289" s="27"/>
      <c r="P289" s="27"/>
      <c r="Q289" s="27"/>
      <c r="R289" s="27"/>
      <c r="S289" s="27"/>
      <c r="T289" s="27"/>
    </row>
    <row r="290" spans="2:20">
      <c r="B290" s="27"/>
      <c r="C290" s="27"/>
      <c r="D290" s="27"/>
      <c r="E290" s="27"/>
      <c r="F290" s="27"/>
      <c r="G290" s="27"/>
      <c r="H290" s="27"/>
      <c r="I290" s="27"/>
      <c r="J290" s="27"/>
      <c r="K290" s="27"/>
      <c r="L290" s="27"/>
      <c r="M290" s="27"/>
      <c r="N290" s="27"/>
      <c r="O290" s="27"/>
      <c r="P290" s="27"/>
      <c r="Q290" s="27"/>
      <c r="R290" s="27"/>
      <c r="S290" s="27"/>
      <c r="T290" s="27"/>
    </row>
    <row r="291" spans="2:20">
      <c r="B291" s="27"/>
      <c r="C291" s="27"/>
      <c r="D291" s="27"/>
      <c r="E291" s="27"/>
      <c r="F291" s="27"/>
      <c r="G291" s="27"/>
      <c r="H291" s="27"/>
      <c r="I291" s="27"/>
      <c r="J291" s="27"/>
      <c r="K291" s="27"/>
      <c r="L291" s="27"/>
      <c r="M291" s="27"/>
      <c r="N291" s="27"/>
      <c r="O291" s="27"/>
      <c r="P291" s="27"/>
      <c r="Q291" s="27"/>
      <c r="R291" s="27"/>
      <c r="S291" s="27"/>
      <c r="T291" s="27"/>
    </row>
    <row r="292" spans="2:20">
      <c r="B292" s="27"/>
      <c r="C292" s="27"/>
      <c r="D292" s="27"/>
      <c r="E292" s="27"/>
      <c r="F292" s="27"/>
      <c r="G292" s="27"/>
      <c r="H292" s="27"/>
      <c r="I292" s="27"/>
      <c r="J292" s="27"/>
      <c r="K292" s="27"/>
      <c r="L292" s="27"/>
      <c r="M292" s="27"/>
      <c r="N292" s="27"/>
      <c r="O292" s="27"/>
      <c r="P292" s="27"/>
      <c r="Q292" s="27"/>
      <c r="R292" s="27"/>
      <c r="S292" s="27"/>
      <c r="T292" s="27"/>
    </row>
    <row r="293" spans="2:20">
      <c r="B293" s="27"/>
      <c r="C293" s="27"/>
      <c r="D293" s="27"/>
      <c r="E293" s="27"/>
      <c r="F293" s="27"/>
      <c r="G293" s="27"/>
      <c r="H293" s="27"/>
      <c r="I293" s="27"/>
      <c r="J293" s="27"/>
      <c r="K293" s="27"/>
      <c r="L293" s="27"/>
      <c r="M293" s="27"/>
      <c r="N293" s="27"/>
      <c r="O293" s="27"/>
      <c r="P293" s="27"/>
      <c r="Q293" s="27"/>
      <c r="R293" s="27"/>
      <c r="S293" s="27"/>
      <c r="T293" s="27"/>
    </row>
    <row r="294" spans="2:20">
      <c r="B294" s="27"/>
      <c r="C294" s="27"/>
      <c r="D294" s="27"/>
      <c r="E294" s="27"/>
      <c r="F294" s="27"/>
      <c r="G294" s="27"/>
      <c r="H294" s="27"/>
      <c r="I294" s="27"/>
      <c r="J294" s="27"/>
      <c r="K294" s="27"/>
      <c r="L294" s="27"/>
      <c r="M294" s="27"/>
      <c r="N294" s="27"/>
      <c r="O294" s="27"/>
      <c r="P294" s="27"/>
      <c r="Q294" s="27"/>
      <c r="R294" s="27"/>
      <c r="S294" s="27"/>
      <c r="T294" s="27"/>
    </row>
    <row r="295" spans="2:20">
      <c r="B295" s="27"/>
      <c r="C295" s="27"/>
      <c r="D295" s="27"/>
      <c r="E295" s="27"/>
      <c r="F295" s="27"/>
      <c r="G295" s="27"/>
      <c r="H295" s="27"/>
      <c r="I295" s="27"/>
      <c r="J295" s="27"/>
      <c r="K295" s="27"/>
      <c r="L295" s="27"/>
      <c r="M295" s="27"/>
      <c r="N295" s="27"/>
      <c r="O295" s="27"/>
      <c r="P295" s="27"/>
      <c r="Q295" s="27"/>
      <c r="R295" s="27"/>
      <c r="S295" s="27"/>
      <c r="T295" s="27"/>
    </row>
    <row r="296" spans="2:20">
      <c r="B296" s="27"/>
      <c r="C296" s="27"/>
      <c r="D296" s="27"/>
      <c r="E296" s="27"/>
      <c r="F296" s="27"/>
      <c r="G296" s="27"/>
      <c r="H296" s="27"/>
      <c r="I296" s="27"/>
      <c r="J296" s="27"/>
      <c r="K296" s="27"/>
      <c r="L296" s="27"/>
      <c r="M296" s="27"/>
      <c r="N296" s="27"/>
      <c r="O296" s="27"/>
      <c r="P296" s="27"/>
      <c r="Q296" s="27"/>
      <c r="R296" s="27"/>
      <c r="S296" s="27"/>
      <c r="T296" s="27"/>
    </row>
    <row r="297" spans="2:20">
      <c r="B297" s="27"/>
      <c r="C297" s="27"/>
      <c r="D297" s="27"/>
      <c r="E297" s="27"/>
      <c r="F297" s="27"/>
      <c r="G297" s="27"/>
      <c r="H297" s="27"/>
      <c r="I297" s="27"/>
      <c r="J297" s="27"/>
      <c r="K297" s="27"/>
      <c r="L297" s="27"/>
      <c r="M297" s="27"/>
      <c r="N297" s="27"/>
      <c r="O297" s="27"/>
      <c r="P297" s="27"/>
      <c r="Q297" s="27"/>
      <c r="R297" s="27"/>
      <c r="S297" s="27"/>
      <c r="T297" s="27"/>
    </row>
    <row r="298" spans="2:20">
      <c r="B298" s="27"/>
      <c r="C298" s="27"/>
      <c r="D298" s="27"/>
      <c r="E298" s="27"/>
      <c r="F298" s="27"/>
      <c r="G298" s="27"/>
      <c r="H298" s="27"/>
      <c r="I298" s="27"/>
      <c r="J298" s="27"/>
      <c r="K298" s="27"/>
      <c r="L298" s="27"/>
      <c r="M298" s="27"/>
      <c r="N298" s="27"/>
      <c r="O298" s="27"/>
      <c r="P298" s="27"/>
      <c r="Q298" s="27"/>
      <c r="R298" s="27"/>
      <c r="S298" s="27"/>
      <c r="T298" s="27"/>
    </row>
  </sheetData>
  <mergeCells count="5">
    <mergeCell ref="C18:D18"/>
    <mergeCell ref="E18:F18"/>
    <mergeCell ref="G18:H18"/>
    <mergeCell ref="I18:J18"/>
    <mergeCell ref="C13:D13"/>
  </mergeCells>
  <pageMargins left="0.25" right="0.25" top="0.5" bottom="0.5" header="0.3" footer="0.3"/>
  <pageSetup paperSize="9" scale="64" fitToHeight="0" orientation="landscape" r:id="rId1"/>
  <rowBreaks count="2" manualBreakCount="2">
    <brk id="57" max="19" man="1"/>
    <brk id="172" max="19"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20BD-026C-4CDA-803E-E84B564FC737}">
  <sheetPr codeName="Sheet4"/>
  <dimension ref="A2:K70"/>
  <sheetViews>
    <sheetView topLeftCell="A49" workbookViewId="0">
      <selection activeCell="C71" sqref="C71"/>
    </sheetView>
  </sheetViews>
  <sheetFormatPr defaultRowHeight="14.4"/>
  <cols>
    <col min="1" max="1" width="23.33203125" bestFit="1" customWidth="1"/>
    <col min="2" max="2" width="25.6640625" bestFit="1" customWidth="1"/>
    <col min="3" max="3" width="21.88671875" bestFit="1" customWidth="1"/>
    <col min="4" max="5" width="13.88671875" bestFit="1" customWidth="1"/>
    <col min="7" max="7" width="25.33203125" bestFit="1" customWidth="1"/>
  </cols>
  <sheetData>
    <row r="2" spans="1:2">
      <c r="A2" s="80" t="s">
        <v>324</v>
      </c>
      <c r="B2" t="s">
        <v>495</v>
      </c>
    </row>
    <row r="3" spans="1:2">
      <c r="A3" s="128" t="s">
        <v>377</v>
      </c>
      <c r="B3" s="127">
        <v>386097176.0292089</v>
      </c>
    </row>
    <row r="4" spans="1:2">
      <c r="A4" s="128" t="s">
        <v>383</v>
      </c>
      <c r="B4" s="127">
        <v>40678408.953567877</v>
      </c>
    </row>
    <row r="5" spans="1:2">
      <c r="A5" s="128" t="s">
        <v>386</v>
      </c>
      <c r="B5" s="127">
        <v>23963334.642824896</v>
      </c>
    </row>
    <row r="6" spans="1:2">
      <c r="A6" s="128" t="s">
        <v>400</v>
      </c>
      <c r="B6" s="127">
        <v>19140880.540826462</v>
      </c>
    </row>
    <row r="7" spans="1:2">
      <c r="A7" s="128" t="s">
        <v>388</v>
      </c>
      <c r="B7" s="127">
        <v>10588529.279715136</v>
      </c>
    </row>
    <row r="8" spans="1:2">
      <c r="A8" s="128" t="s">
        <v>396</v>
      </c>
      <c r="B8" s="127">
        <v>10061124.166892441</v>
      </c>
    </row>
    <row r="9" spans="1:2">
      <c r="A9" s="128" t="s">
        <v>429</v>
      </c>
      <c r="B9" s="127">
        <v>9241817.7123247031</v>
      </c>
    </row>
    <row r="10" spans="1:2">
      <c r="A10" s="128" t="s">
        <v>391</v>
      </c>
      <c r="B10" s="127">
        <v>6411334.9989033807</v>
      </c>
    </row>
    <row r="11" spans="1:2">
      <c r="A11" s="128" t="s">
        <v>427</v>
      </c>
      <c r="B11" s="127">
        <v>5843041.9308227217</v>
      </c>
    </row>
    <row r="12" spans="1:2">
      <c r="A12" s="128" t="s">
        <v>394</v>
      </c>
      <c r="B12" s="127">
        <v>5157326.3885125984</v>
      </c>
    </row>
    <row r="13" spans="1:2">
      <c r="A13" s="128" t="s">
        <v>780</v>
      </c>
      <c r="B13" s="127">
        <v>4540670.0003870418</v>
      </c>
    </row>
    <row r="14" spans="1:2">
      <c r="A14" s="128" t="s">
        <v>379</v>
      </c>
      <c r="B14" s="127">
        <v>3192000</v>
      </c>
    </row>
    <row r="15" spans="1:2">
      <c r="A15" s="128" t="s">
        <v>424</v>
      </c>
      <c r="B15" s="127">
        <v>3143883.3326882636</v>
      </c>
    </row>
    <row r="16" spans="1:2">
      <c r="A16" s="128" t="s">
        <v>762</v>
      </c>
      <c r="B16" s="127">
        <v>2098782.2231683247</v>
      </c>
    </row>
    <row r="17" spans="1:11">
      <c r="A17" s="128" t="s">
        <v>381</v>
      </c>
      <c r="B17" s="127">
        <v>1750.0019352091961</v>
      </c>
    </row>
    <row r="18" spans="1:11">
      <c r="A18" s="81" t="s">
        <v>494</v>
      </c>
      <c r="B18" s="14">
        <v>530160060.20177788</v>
      </c>
    </row>
    <row r="22" spans="1:11">
      <c r="A22" s="81"/>
      <c r="B22" s="14"/>
    </row>
    <row r="23" spans="1:11">
      <c r="A23" s="132">
        <f ca="1">'SFC Report'!B13</f>
        <v>43951</v>
      </c>
      <c r="B23" s="14" t="s">
        <v>927</v>
      </c>
      <c r="F23" s="132">
        <v>43889</v>
      </c>
    </row>
    <row r="24" spans="1:11">
      <c r="A24" s="80" t="s">
        <v>321</v>
      </c>
      <c r="B24" t="s">
        <v>1916</v>
      </c>
    </row>
    <row r="26" spans="1:11">
      <c r="A26" s="80" t="s">
        <v>763</v>
      </c>
      <c r="B26" t="s">
        <v>495</v>
      </c>
      <c r="C26" s="80"/>
      <c r="F26" t="s">
        <v>763</v>
      </c>
      <c r="G26" t="s">
        <v>495</v>
      </c>
    </row>
    <row r="27" spans="1:11">
      <c r="A27" s="81">
        <v>17</v>
      </c>
      <c r="B27" s="14">
        <v>8343849.7787410822</v>
      </c>
      <c r="D27" t="str">
        <f>VLOOKUP(A27,'Rating Scale'!$B$3:$C$27,2,0)</f>
        <v>A+</v>
      </c>
      <c r="F27" s="81">
        <v>17</v>
      </c>
      <c r="G27" s="14">
        <v>4151472.5937946751</v>
      </c>
      <c r="I27" t="str">
        <f>VLOOKUP(F27,'Rating Scale'!$B$3:$C$27,2,0)</f>
        <v>A+</v>
      </c>
      <c r="J27" s="15"/>
    </row>
    <row r="28" spans="1:11">
      <c r="A28" s="81">
        <v>16</v>
      </c>
      <c r="B28" s="14">
        <v>2098782.2231683247</v>
      </c>
      <c r="D28" t="str">
        <f>VLOOKUP(A28,'Rating Scale'!$B$3:$C$27,2,0)</f>
        <v>A</v>
      </c>
      <c r="F28" s="81">
        <v>16</v>
      </c>
      <c r="G28" s="14">
        <v>7504438.9152917825</v>
      </c>
      <c r="I28" t="str">
        <f>VLOOKUP(F28,'Rating Scale'!$B$3:$C$27,2,0)</f>
        <v>A</v>
      </c>
      <c r="J28" s="15"/>
    </row>
    <row r="29" spans="1:11">
      <c r="A29" s="81">
        <v>15</v>
      </c>
      <c r="B29" s="14">
        <v>24793021.504044585</v>
      </c>
      <c r="D29" t="str">
        <f>VLOOKUP(A29,'Rating Scale'!$B$3:$C$27,2,0)</f>
        <v>A-</v>
      </c>
      <c r="F29" s="81">
        <v>15</v>
      </c>
      <c r="G29" s="14">
        <v>19990400.218950838</v>
      </c>
      <c r="I29" t="str">
        <f>VLOOKUP(F29,'Rating Scale'!$B$3:$C$27,2,0)</f>
        <v>A-</v>
      </c>
      <c r="J29" s="15"/>
      <c r="K29" s="15"/>
    </row>
    <row r="30" spans="1:11">
      <c r="A30" s="81">
        <v>14</v>
      </c>
      <c r="B30" s="14">
        <v>33712241.213505179</v>
      </c>
      <c r="D30" t="str">
        <f>VLOOKUP(A30,'Rating Scale'!$B$3:$C$27,2,0)</f>
        <v>BBB+</v>
      </c>
      <c r="F30" s="81">
        <v>14</v>
      </c>
      <c r="G30" s="14">
        <v>47342872.646600462</v>
      </c>
      <c r="I30" t="str">
        <f>VLOOKUP(F30,'Rating Scale'!$B$3:$C$27,2,0)</f>
        <v>BBB+</v>
      </c>
      <c r="J30" s="15"/>
    </row>
    <row r="31" spans="1:11">
      <c r="A31" s="81">
        <v>13</v>
      </c>
      <c r="B31" s="14">
        <v>47629454.169085681</v>
      </c>
      <c r="D31" t="str">
        <f>VLOOKUP(A31,'Rating Scale'!$B$3:$C$27,2,0)</f>
        <v>BBB</v>
      </c>
      <c r="E31" s="14"/>
      <c r="F31" s="81">
        <v>13</v>
      </c>
      <c r="G31" s="14">
        <v>80711212.229048312</v>
      </c>
      <c r="I31" t="str">
        <f>VLOOKUP(F31,'Rating Scale'!$B$3:$C$27,2,0)</f>
        <v>BBB</v>
      </c>
      <c r="J31" s="15"/>
    </row>
    <row r="32" spans="1:11">
      <c r="A32" s="81">
        <v>12</v>
      </c>
      <c r="B32" s="14">
        <v>33459233.550076764</v>
      </c>
      <c r="D32" t="str">
        <f>VLOOKUP(A32,'Rating Scale'!$B$3:$C$27,2,0)</f>
        <v>BBB-</v>
      </c>
      <c r="F32" s="81">
        <v>12</v>
      </c>
      <c r="G32" s="14">
        <v>63930788.301585466</v>
      </c>
      <c r="I32" t="str">
        <f>VLOOKUP(F32,'Rating Scale'!$B$3:$C$27,2,0)</f>
        <v>BBB-</v>
      </c>
      <c r="J32" s="15"/>
    </row>
    <row r="33" spans="1:10">
      <c r="A33" s="81">
        <v>11</v>
      </c>
      <c r="B33" s="14">
        <v>24925981.70711254</v>
      </c>
      <c r="D33" t="str">
        <f>VLOOKUP(A33,'Rating Scale'!$B$3:$C$27,2,0)</f>
        <v>BB+</v>
      </c>
      <c r="F33" s="81">
        <v>11</v>
      </c>
      <c r="G33" s="14">
        <v>17153783.913553055</v>
      </c>
      <c r="I33" t="str">
        <f>VLOOKUP(F33,'Rating Scale'!$B$3:$C$27,2,0)</f>
        <v>BB+</v>
      </c>
      <c r="J33" s="15"/>
    </row>
    <row r="34" spans="1:10">
      <c r="A34" s="81">
        <v>10</v>
      </c>
      <c r="B34" s="14">
        <v>37292074.67843274</v>
      </c>
      <c r="D34" t="str">
        <f>VLOOKUP(A34,'Rating Scale'!$B$3:$C$27,2,0)</f>
        <v>BB</v>
      </c>
      <c r="E34" s="14"/>
      <c r="F34" s="81">
        <v>10</v>
      </c>
      <c r="G34" s="14">
        <v>42014992.895689242</v>
      </c>
      <c r="I34" t="str">
        <f>VLOOKUP(F34,'Rating Scale'!$B$3:$C$27,2,0)</f>
        <v>BB</v>
      </c>
      <c r="J34" s="15"/>
    </row>
    <row r="35" spans="1:10">
      <c r="A35" s="81">
        <v>9</v>
      </c>
      <c r="B35" s="14">
        <v>66798819.326289177</v>
      </c>
      <c r="D35" t="str">
        <f>VLOOKUP(A35,'Rating Scale'!$B$3:$C$27,2,0)</f>
        <v>BB-</v>
      </c>
      <c r="F35" s="81">
        <v>9</v>
      </c>
      <c r="G35" s="14">
        <v>57616406.28517703</v>
      </c>
      <c r="I35" t="str">
        <f>VLOOKUP(F35,'Rating Scale'!$B$3:$C$27,2,0)</f>
        <v>BB-</v>
      </c>
      <c r="J35" s="15"/>
    </row>
    <row r="36" spans="1:10">
      <c r="A36" s="81">
        <v>8</v>
      </c>
      <c r="B36" s="14">
        <v>59792748.150585085</v>
      </c>
      <c r="D36" t="str">
        <f>VLOOKUP(A36,'Rating Scale'!$B$3:$C$27,2,0)</f>
        <v>B+</v>
      </c>
      <c r="F36" s="81">
        <v>8</v>
      </c>
      <c r="G36" s="14">
        <v>44875863.401723266</v>
      </c>
      <c r="I36" t="str">
        <f>VLOOKUP(F36,'Rating Scale'!$B$3:$C$27,2,0)</f>
        <v>B+</v>
      </c>
      <c r="J36" s="15"/>
    </row>
    <row r="37" spans="1:10">
      <c r="A37" s="81">
        <v>7</v>
      </c>
      <c r="B37" s="14">
        <v>83605385.092438474</v>
      </c>
      <c r="D37" t="str">
        <f>VLOOKUP(A37,'Rating Scale'!$B$3:$C$27,2,0)</f>
        <v>B</v>
      </c>
      <c r="E37" s="14"/>
      <c r="F37" s="81">
        <v>7</v>
      </c>
      <c r="G37" s="14">
        <v>80100515.774763986</v>
      </c>
      <c r="I37" t="str">
        <f>VLOOKUP(F37,'Rating Scale'!$B$3:$C$27,2,0)</f>
        <v>B</v>
      </c>
      <c r="J37" s="15"/>
    </row>
    <row r="38" spans="1:10">
      <c r="A38" s="81">
        <v>6</v>
      </c>
      <c r="B38" s="14">
        <v>17956812.391789552</v>
      </c>
      <c r="D38" t="str">
        <f>VLOOKUP(A38,'Rating Scale'!$B$3:$C$27,2,0)</f>
        <v>B-</v>
      </c>
      <c r="F38" s="81">
        <v>6</v>
      </c>
      <c r="G38" s="14">
        <v>22234162.3971253</v>
      </c>
      <c r="I38" t="str">
        <f>VLOOKUP(F38,'Rating Scale'!$B$3:$C$27,2,0)</f>
        <v>B-</v>
      </c>
      <c r="J38" s="15"/>
    </row>
    <row r="39" spans="1:10">
      <c r="A39" s="81">
        <v>0</v>
      </c>
      <c r="B39" s="14">
        <v>58479966.747945458</v>
      </c>
      <c r="D39" t="str">
        <f>VLOOKUP(A39,'Rating Scale'!$B$3:$C$27,2,0)</f>
        <v>D</v>
      </c>
      <c r="F39" s="81">
        <v>0</v>
      </c>
      <c r="G39" s="14">
        <v>41419945.172133997</v>
      </c>
      <c r="I39" t="str">
        <f>VLOOKUP(F39,'Rating Scale'!$B$3:$C$27,2,0)</f>
        <v>D</v>
      </c>
      <c r="J39" s="15"/>
    </row>
    <row r="40" spans="1:10">
      <c r="A40" s="81" t="s">
        <v>494</v>
      </c>
      <c r="B40" s="14">
        <v>498888370.53321457</v>
      </c>
      <c r="F40" s="81"/>
      <c r="G40" s="14"/>
      <c r="J40" s="15"/>
    </row>
    <row r="41" spans="1:10">
      <c r="F41" s="81" t="s">
        <v>494</v>
      </c>
      <c r="G41" s="14">
        <f>SUM(G27:G38)</f>
        <v>487626909.57330346</v>
      </c>
    </row>
    <row r="44" spans="1:10">
      <c r="C44" s="80"/>
      <c r="D44" s="80"/>
      <c r="E44" s="80"/>
      <c r="F44" s="80"/>
      <c r="G44" s="80"/>
      <c r="H44" s="80"/>
      <c r="I44" s="80"/>
      <c r="J44" s="80"/>
    </row>
    <row r="49" spans="1:2">
      <c r="A49" s="132">
        <f ca="1">A23</f>
        <v>43951</v>
      </c>
      <c r="B49" t="s">
        <v>1000</v>
      </c>
    </row>
    <row r="50" spans="1:2">
      <c r="A50" s="80" t="s">
        <v>442</v>
      </c>
      <c r="B50" t="s">
        <v>495</v>
      </c>
    </row>
    <row r="51" spans="1:2">
      <c r="A51" s="81" t="s">
        <v>393</v>
      </c>
      <c r="B51" s="14">
        <v>5147166.8959210748</v>
      </c>
    </row>
    <row r="52" spans="1:2">
      <c r="A52" s="81" t="s">
        <v>377</v>
      </c>
      <c r="B52" s="14">
        <v>343308720.30704629</v>
      </c>
    </row>
    <row r="53" spans="1:2">
      <c r="A53" s="81" t="s">
        <v>379</v>
      </c>
      <c r="B53" s="14">
        <v>11328910.510928221</v>
      </c>
    </row>
    <row r="54" spans="1:2">
      <c r="A54" s="81" t="s">
        <v>383</v>
      </c>
      <c r="B54" s="14">
        <v>66882002.675064072</v>
      </c>
    </row>
    <row r="55" spans="1:2">
      <c r="A55" s="81" t="s">
        <v>427</v>
      </c>
      <c r="B55" s="14">
        <v>12765801.988588797</v>
      </c>
    </row>
    <row r="56" spans="1:2">
      <c r="A56" s="81" t="s">
        <v>385</v>
      </c>
      <c r="B56" s="14">
        <v>48833388.094226129</v>
      </c>
    </row>
    <row r="57" spans="1:2">
      <c r="A57" s="81" t="s">
        <v>388</v>
      </c>
      <c r="B57" s="14">
        <v>10534761.970815141</v>
      </c>
    </row>
    <row r="58" spans="1:2">
      <c r="A58" s="81" t="s">
        <v>390</v>
      </c>
      <c r="B58" s="14">
        <v>5438833.2972708419</v>
      </c>
    </row>
    <row r="59" spans="1:2">
      <c r="A59" s="81" t="s">
        <v>805</v>
      </c>
      <c r="B59" s="14">
        <v>2280294.1604523263</v>
      </c>
    </row>
    <row r="60" spans="1:2">
      <c r="A60" s="81" t="s">
        <v>762</v>
      </c>
      <c r="B60" s="14">
        <v>7529323.8192753997</v>
      </c>
    </row>
    <row r="61" spans="1:2">
      <c r="A61" s="81" t="s">
        <v>398</v>
      </c>
      <c r="B61" s="14">
        <v>3398318.2695156033</v>
      </c>
    </row>
    <row r="62" spans="1:2">
      <c r="A62" s="81" t="s">
        <v>424</v>
      </c>
      <c r="B62" s="14">
        <v>3152230.4998518862</v>
      </c>
    </row>
    <row r="63" spans="1:2">
      <c r="A63" s="81" t="s">
        <v>381</v>
      </c>
      <c r="B63" s="14">
        <v>4060874.9288409771</v>
      </c>
    </row>
    <row r="64" spans="1:2">
      <c r="A64" s="81" t="s">
        <v>400</v>
      </c>
      <c r="B64" s="14">
        <v>3282973.9834885309</v>
      </c>
    </row>
    <row r="65" spans="1:2">
      <c r="A65" s="81" t="s">
        <v>915</v>
      </c>
      <c r="B65" s="14">
        <v>11022939.770488003</v>
      </c>
    </row>
    <row r="66" spans="1:2">
      <c r="A66" s="81" t="s">
        <v>396</v>
      </c>
      <c r="B66" s="14">
        <v>3797292.0263256184</v>
      </c>
    </row>
    <row r="67" spans="1:2">
      <c r="A67" s="81" t="s">
        <v>780</v>
      </c>
      <c r="B67" s="14">
        <v>10280950.308463093</v>
      </c>
    </row>
    <row r="68" spans="1:2">
      <c r="A68" s="81" t="s">
        <v>1193</v>
      </c>
      <c r="B68" s="14">
        <v>1553504.7022912558</v>
      </c>
    </row>
    <row r="69" spans="1:2">
      <c r="A69" s="81" t="s">
        <v>429</v>
      </c>
      <c r="B69" s="14">
        <v>5016556.6026557442</v>
      </c>
    </row>
    <row r="70" spans="1:2">
      <c r="A70" s="81" t="s">
        <v>494</v>
      </c>
      <c r="B70" s="14">
        <v>559614844.81150889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BF1C-2036-4E73-970B-A5034C9E0A79}">
  <sheetPr codeName="Sheet3"/>
  <dimension ref="A3:Q133"/>
  <sheetViews>
    <sheetView workbookViewId="0">
      <selection activeCell="F51" sqref="F51"/>
    </sheetView>
  </sheetViews>
  <sheetFormatPr defaultRowHeight="14.4"/>
  <cols>
    <col min="1" max="1" width="46.88671875" customWidth="1"/>
    <col min="2" max="5" width="20.6640625" customWidth="1"/>
    <col min="6" max="6" width="23.6640625" customWidth="1"/>
    <col min="7" max="7" width="27.88671875" customWidth="1"/>
    <col min="8" max="8" width="17" bestFit="1" customWidth="1"/>
    <col min="9" max="9" width="23.6640625" customWidth="1"/>
    <col min="10" max="10" width="17" customWidth="1"/>
    <col min="11" max="11" width="18" customWidth="1"/>
    <col min="13" max="13" width="39.88671875" bestFit="1" customWidth="1"/>
    <col min="14" max="14" width="17.33203125" bestFit="1" customWidth="1"/>
    <col min="15" max="15" width="21.88671875" bestFit="1" customWidth="1"/>
    <col min="16" max="16" width="12.5546875" customWidth="1"/>
    <col min="17" max="17" width="15.88671875" customWidth="1"/>
  </cols>
  <sheetData>
    <row r="3" spans="1:17">
      <c r="A3" s="143">
        <f ca="1">'SFC Report'!B13</f>
        <v>43951</v>
      </c>
      <c r="M3" s="143">
        <f ca="1">EOMONTH(A3,-1)</f>
        <v>43921</v>
      </c>
    </row>
    <row r="4" spans="1:17">
      <c r="A4" s="110" t="s">
        <v>491</v>
      </c>
      <c r="B4" s="110"/>
      <c r="C4" s="110"/>
      <c r="D4" s="110"/>
      <c r="E4" s="110"/>
      <c r="G4" t="s">
        <v>491</v>
      </c>
      <c r="M4" s="110" t="s">
        <v>491</v>
      </c>
      <c r="N4" s="110"/>
      <c r="O4" s="110"/>
      <c r="P4" s="110"/>
      <c r="Q4" s="110"/>
    </row>
    <row r="5" spans="1:17">
      <c r="A5" s="113" t="s">
        <v>464</v>
      </c>
      <c r="B5" s="114" t="s">
        <v>436</v>
      </c>
      <c r="C5" s="114" t="s">
        <v>437</v>
      </c>
      <c r="D5" s="114" t="s">
        <v>456</v>
      </c>
      <c r="E5" s="137">
        <f ca="1">'SFC Report'!B13</f>
        <v>43951</v>
      </c>
      <c r="G5" s="68" t="s">
        <v>464</v>
      </c>
      <c r="H5" s="72" t="s">
        <v>436</v>
      </c>
      <c r="I5" s="72" t="s">
        <v>437</v>
      </c>
      <c r="J5" s="72" t="s">
        <v>456</v>
      </c>
      <c r="K5" s="72" t="s">
        <v>285</v>
      </c>
      <c r="M5" s="113" t="s">
        <v>464</v>
      </c>
      <c r="N5" s="114" t="s">
        <v>436</v>
      </c>
      <c r="O5" s="114" t="s">
        <v>437</v>
      </c>
      <c r="P5" s="114" t="s">
        <v>456</v>
      </c>
      <c r="Q5" s="136">
        <f ca="1">EOMONTH(D16,-1)</f>
        <v>43921</v>
      </c>
    </row>
    <row r="6" spans="1:17">
      <c r="A6" s="94"/>
      <c r="B6" s="115"/>
      <c r="C6" s="115"/>
      <c r="D6" s="115"/>
      <c r="E6" s="115"/>
      <c r="G6" s="69"/>
      <c r="H6" s="69"/>
      <c r="I6" s="69"/>
      <c r="J6" s="69"/>
      <c r="K6" s="69"/>
      <c r="M6" s="94"/>
      <c r="N6" s="115"/>
      <c r="O6" s="115"/>
      <c r="P6" s="115"/>
      <c r="Q6" s="115"/>
    </row>
    <row r="7" spans="1:17">
      <c r="A7" s="94" t="s">
        <v>435</v>
      </c>
      <c r="B7" s="116">
        <f>H7/$K$13</f>
        <v>1.2827000155058662E-2</v>
      </c>
      <c r="C7" s="116">
        <f>I7/$K$13</f>
        <v>2.0956588241247544E-3</v>
      </c>
      <c r="D7" s="116">
        <f>J7/$K$13</f>
        <v>0</v>
      </c>
      <c r="E7" s="116">
        <f>SUM(B7:D7)</f>
        <v>1.4922658979183417E-2</v>
      </c>
      <c r="G7" s="69" t="s">
        <v>435</v>
      </c>
      <c r="H7" s="70">
        <f>'SFC Report'!S58</f>
        <v>7060370.7739938088</v>
      </c>
      <c r="I7" s="70">
        <f>'SFC Report'!S59</f>
        <v>1153514.3163054697</v>
      </c>
      <c r="J7" s="69"/>
      <c r="K7" s="70">
        <f>SUM(H7:J7)</f>
        <v>8213885.0902992785</v>
      </c>
      <c r="M7" s="94" t="s">
        <v>435</v>
      </c>
      <c r="N7" s="116">
        <v>0</v>
      </c>
      <c r="O7" s="116">
        <v>0</v>
      </c>
      <c r="P7" s="116">
        <v>0</v>
      </c>
      <c r="Q7" s="116">
        <v>0</v>
      </c>
    </row>
    <row r="8" spans="1:17">
      <c r="A8" s="94" t="s">
        <v>438</v>
      </c>
      <c r="B8" s="116">
        <f>H8/$K$13</f>
        <v>0.28596958334715528</v>
      </c>
      <c r="C8" s="116">
        <f t="shared" ref="C8:C11" si="0">I8/$K$13</f>
        <v>0.67637294194396724</v>
      </c>
      <c r="D8" s="116">
        <f t="shared" ref="D8:D11" si="1">J8/$K$13</f>
        <v>0</v>
      </c>
      <c r="E8" s="116">
        <f>SUM(B8:D8)</f>
        <v>0.96234252529112252</v>
      </c>
      <c r="G8" s="69" t="s">
        <v>438</v>
      </c>
      <c r="H8" s="70">
        <f>'SFC Report'!S62</f>
        <v>157406350.9868421</v>
      </c>
      <c r="I8" s="70">
        <f>'SFC Report'!S65</f>
        <v>372296226.23323011</v>
      </c>
      <c r="J8" s="69"/>
      <c r="K8" s="70">
        <f t="shared" ref="K8:K11" si="2">SUM(H8:J8)</f>
        <v>529702577.22007221</v>
      </c>
      <c r="M8" s="94" t="s">
        <v>438</v>
      </c>
      <c r="N8" s="116">
        <v>0.29045618232208215</v>
      </c>
      <c r="O8" s="116">
        <v>0.68352421441809874</v>
      </c>
      <c r="P8" s="116">
        <v>0</v>
      </c>
      <c r="Q8" s="116">
        <v>0.97398039674018089</v>
      </c>
    </row>
    <row r="9" spans="1:17">
      <c r="A9" s="94" t="s">
        <v>455</v>
      </c>
      <c r="B9" s="116">
        <f>H9/$K$13</f>
        <v>0</v>
      </c>
      <c r="C9" s="116">
        <f t="shared" si="0"/>
        <v>2.2734815729694172E-2</v>
      </c>
      <c r="D9" s="116">
        <f t="shared" si="1"/>
        <v>0</v>
      </c>
      <c r="E9" s="116">
        <f t="shared" ref="E9:E11" si="3">SUM(B9:D9)</f>
        <v>2.2734815729694172E-2</v>
      </c>
      <c r="G9" s="69" t="s">
        <v>455</v>
      </c>
      <c r="H9" s="70">
        <f>'SFC Report'!S70</f>
        <v>0</v>
      </c>
      <c r="I9" s="70">
        <f>'SFC Report'!S73</f>
        <v>12513933.623581013</v>
      </c>
      <c r="J9" s="69"/>
      <c r="K9" s="70">
        <f t="shared" si="2"/>
        <v>12513933.623581013</v>
      </c>
      <c r="M9" s="94" t="s">
        <v>455</v>
      </c>
      <c r="N9" s="116">
        <v>0</v>
      </c>
      <c r="O9" s="116">
        <v>2.6019603259819106E-2</v>
      </c>
      <c r="P9" s="116">
        <v>0</v>
      </c>
      <c r="Q9" s="116">
        <v>2.6019603259819106E-2</v>
      </c>
    </row>
    <row r="10" spans="1:17">
      <c r="A10" s="117" t="s">
        <v>281</v>
      </c>
      <c r="B10" s="116">
        <f t="shared" ref="B10" si="4">H10/$K$13</f>
        <v>0</v>
      </c>
      <c r="C10" s="116">
        <f t="shared" si="0"/>
        <v>0</v>
      </c>
      <c r="D10" s="116">
        <f>J10/$K$13</f>
        <v>0</v>
      </c>
      <c r="E10" s="116">
        <f t="shared" si="3"/>
        <v>0</v>
      </c>
      <c r="G10" s="78" t="s">
        <v>281</v>
      </c>
      <c r="H10" s="70"/>
      <c r="I10" s="69"/>
      <c r="J10" s="70">
        <f>'SFC Report'!C23</f>
        <v>0</v>
      </c>
      <c r="K10" s="70">
        <f t="shared" si="2"/>
        <v>0</v>
      </c>
      <c r="M10" s="117" t="s">
        <v>281</v>
      </c>
      <c r="N10" s="116">
        <v>0</v>
      </c>
      <c r="O10" s="116">
        <v>0</v>
      </c>
      <c r="P10" s="116">
        <v>0</v>
      </c>
      <c r="Q10" s="116">
        <v>0</v>
      </c>
    </row>
    <row r="11" spans="1:17">
      <c r="A11" s="118" t="s">
        <v>492</v>
      </c>
      <c r="B11" s="116">
        <f>H11/$K$13</f>
        <v>0</v>
      </c>
      <c r="C11" s="116">
        <f t="shared" si="0"/>
        <v>0</v>
      </c>
      <c r="D11" s="116">
        <f t="shared" si="1"/>
        <v>0</v>
      </c>
      <c r="E11" s="116">
        <f t="shared" si="3"/>
        <v>0</v>
      </c>
      <c r="G11" s="79" t="s">
        <v>492</v>
      </c>
      <c r="H11" s="69"/>
      <c r="I11" s="69"/>
      <c r="J11" s="70">
        <f>'SFC Report'!C27</f>
        <v>0</v>
      </c>
      <c r="K11" s="70">
        <f t="shared" si="2"/>
        <v>0</v>
      </c>
      <c r="M11" s="118" t="s">
        <v>492</v>
      </c>
      <c r="N11" s="116">
        <v>0</v>
      </c>
      <c r="O11" s="116">
        <v>0</v>
      </c>
      <c r="P11" s="116">
        <v>0</v>
      </c>
      <c r="Q11" s="116">
        <v>0</v>
      </c>
    </row>
    <row r="12" spans="1:17">
      <c r="A12" s="94"/>
      <c r="B12" s="116"/>
      <c r="C12" s="116"/>
      <c r="D12" s="116"/>
      <c r="E12" s="116"/>
      <c r="G12" s="69"/>
      <c r="H12" s="69"/>
      <c r="I12" s="69"/>
      <c r="J12" s="69"/>
      <c r="K12" s="69"/>
      <c r="M12" s="94"/>
      <c r="N12" s="116"/>
      <c r="O12" s="116"/>
      <c r="P12" s="116"/>
      <c r="Q12" s="116"/>
    </row>
    <row r="13" spans="1:17">
      <c r="A13" s="98" t="s">
        <v>285</v>
      </c>
      <c r="B13" s="119">
        <f>SUM(B7:B11)</f>
        <v>0.29879658350221394</v>
      </c>
      <c r="C13" s="119">
        <f>SUM(C7:C11)</f>
        <v>0.70120341649778617</v>
      </c>
      <c r="D13" s="119">
        <f>SUM(D7:D11)</f>
        <v>0</v>
      </c>
      <c r="E13" s="119">
        <f>SUM(E7:E11)</f>
        <v>1.0000000000000002</v>
      </c>
      <c r="G13" s="71" t="s">
        <v>285</v>
      </c>
      <c r="H13" s="109">
        <f>SUM(H7:H11)</f>
        <v>164466721.76083592</v>
      </c>
      <c r="I13" s="109">
        <f>SUM(I7:I11)</f>
        <v>385963674.17311656</v>
      </c>
      <c r="J13" s="109">
        <f>SUM(J7:J11)</f>
        <v>0</v>
      </c>
      <c r="K13" s="109">
        <f>SUM(H13:J13)</f>
        <v>550430395.93395245</v>
      </c>
      <c r="M13" s="98" t="s">
        <v>285</v>
      </c>
      <c r="N13" s="119">
        <v>0.29045618232208215</v>
      </c>
      <c r="O13" s="119">
        <v>0.70954381767791785</v>
      </c>
      <c r="P13" s="119">
        <v>0</v>
      </c>
      <c r="Q13" s="119">
        <v>1</v>
      </c>
    </row>
    <row r="14" spans="1:17">
      <c r="E14" s="123">
        <f>SUM(B13:C13)</f>
        <v>1</v>
      </c>
      <c r="K14" s="45">
        <f>K13-'SFC Report'!S81</f>
        <v>0</v>
      </c>
    </row>
    <row r="15" spans="1:17">
      <c r="K15" s="45">
        <f>SUM(K7:K11)-K13</f>
        <v>0</v>
      </c>
    </row>
    <row r="16" spans="1:17">
      <c r="A16" s="92" t="s">
        <v>928</v>
      </c>
      <c r="B16" s="93" t="s">
        <v>764</v>
      </c>
      <c r="C16" s="93" t="s">
        <v>283</v>
      </c>
      <c r="D16" s="134">
        <f ca="1">'SFC Report'!B13</f>
        <v>43951</v>
      </c>
      <c r="G16" s="135">
        <f ca="1">EOMONTH(D16,-1)-1</f>
        <v>43920</v>
      </c>
      <c r="H16" s="250"/>
      <c r="I16" s="125"/>
    </row>
    <row r="17" spans="1:9">
      <c r="A17" s="94"/>
      <c r="B17" s="94"/>
      <c r="C17" s="94"/>
      <c r="D17" s="94"/>
      <c r="F17" s="11"/>
      <c r="H17" s="125"/>
      <c r="I17" s="125"/>
    </row>
    <row r="18" spans="1:9">
      <c r="A18" s="107" t="s">
        <v>329</v>
      </c>
      <c r="B18" s="94"/>
      <c r="C18" s="95">
        <f>SUMIFS('Geneva investment position repo'!AB:AB,'Geneva investment position repo'!$AK:$AK,"&gt;=21")-SUMIF('Geneva investment position repo'!T:T,"Cash",'Geneva investment position repo'!AB:AB)-SUMIF('Geneva investment position repo'!T:T,"M-Mkt",'Geneva investment position repo'!AB:AB)</f>
        <v>83.313983488827944</v>
      </c>
      <c r="D18" s="124">
        <f>SUM(C18/$C$27)</f>
        <v>1.5136152382621155E-7</v>
      </c>
      <c r="E18" s="14"/>
      <c r="F18" s="45"/>
      <c r="G18" s="133">
        <v>0</v>
      </c>
      <c r="H18" s="251">
        <f t="shared" ref="H18:H27" si="5">D18-G18</f>
        <v>1.5136152382621155E-7</v>
      </c>
      <c r="I18" s="125"/>
    </row>
    <row r="19" spans="1:9">
      <c r="A19" s="107" t="s">
        <v>333</v>
      </c>
      <c r="B19" s="94"/>
      <c r="C19" s="95">
        <f>SUMIFS('Geneva investment position repo'!AB:AB,'Geneva investment position repo'!$AK:$AK,"&gt;=18")-SUMIF('Geneva investment position repo'!T:T,"Cash",'Geneva investment position repo'!AB:AB)-SUMIF('Geneva investment position repo'!T:T,"M-Mkt",'Geneva investment position repo'!AB:AB)-C18</f>
        <v>1081657.116873065</v>
      </c>
      <c r="D19" s="124">
        <f t="shared" ref="D19:D24" si="6">SUM(C19/$C$27)</f>
        <v>1.9651115288387101E-3</v>
      </c>
      <c r="E19" s="14"/>
      <c r="F19" s="45"/>
      <c r="G19" s="133">
        <v>0</v>
      </c>
      <c r="H19" s="251">
        <f t="shared" si="5"/>
        <v>1.9651115288387101E-3</v>
      </c>
      <c r="I19" s="125"/>
    </row>
    <row r="20" spans="1:9">
      <c r="A20" s="107" t="s">
        <v>339</v>
      </c>
      <c r="B20" s="94"/>
      <c r="C20" s="95">
        <f>SUMIFS('Geneva investment position repo'!AB:AB,'Geneva investment position repo'!$AK:$AK,"&gt;=15")-SUMIF('Geneva investment position repo'!T:T,"Cash",'Geneva investment position repo'!AB:AB)-SUMIF('Geneva investment position repo'!T:T,"M-Mkt",'Geneva investment position repo'!AB:AB)-C19-C18</f>
        <v>52855184.458204329</v>
      </c>
      <c r="D20" s="124">
        <f t="shared" si="6"/>
        <v>9.6025192010919747E-2</v>
      </c>
      <c r="E20" s="14"/>
      <c r="F20" s="45"/>
      <c r="G20" s="133">
        <v>7.4127900238339872E-2</v>
      </c>
      <c r="H20" s="251">
        <f t="shared" si="5"/>
        <v>2.1897291772579874E-2</v>
      </c>
      <c r="I20" s="125"/>
    </row>
    <row r="21" spans="1:9">
      <c r="A21" s="107" t="s">
        <v>345</v>
      </c>
      <c r="B21" s="94"/>
      <c r="C21" s="95">
        <f>SUMIFS('Geneva investment position repo'!AB:AB,'Geneva investment position repo'!$AK:$AK,"&gt;=12")-SUMIF('Geneva investment position repo'!T:T,"Cash",'Geneva investment position repo'!AB:AB)-SUMIF('Geneva investment position repo'!T:T,"M-Mkt",'Geneva investment position repo'!AB:AB)-C19-C18-C20</f>
        <v>110529796.871775</v>
      </c>
      <c r="D21" s="124">
        <f t="shared" si="6"/>
        <v>0.2008061286009318</v>
      </c>
      <c r="E21" s="14"/>
      <c r="F21" s="45"/>
      <c r="G21" s="133">
        <v>0.21632828208374238</v>
      </c>
      <c r="H21" s="251">
        <f t="shared" si="5"/>
        <v>-1.552215348281058E-2</v>
      </c>
      <c r="I21" s="125"/>
    </row>
    <row r="22" spans="1:9">
      <c r="A22" s="107" t="s">
        <v>351</v>
      </c>
      <c r="B22" s="94"/>
      <c r="C22" s="95">
        <f>SUMIFS('Geneva investment position repo'!AB:AB,'Geneva investment position repo'!$AK:$AK,"&gt;=9")-SUMIF('Geneva investment position repo'!T:T,"Cash",'Geneva investment position repo'!AB:AB)-SUMIF('Geneva investment position repo'!T:T,"M-Mkt",'Geneva investment position repo'!AB:AB)-C19-C18-C20-C21</f>
        <v>160025322.42260054</v>
      </c>
      <c r="D22" s="124">
        <f t="shared" si="6"/>
        <v>0.29072762624432263</v>
      </c>
      <c r="E22" s="14"/>
      <c r="F22" s="45"/>
      <c r="G22" s="133">
        <v>0.27358061332025246</v>
      </c>
      <c r="H22" s="251">
        <f t="shared" si="5"/>
        <v>1.7147012924070171E-2</v>
      </c>
      <c r="I22" s="125"/>
    </row>
    <row r="23" spans="1:9">
      <c r="A23" s="107" t="s">
        <v>357</v>
      </c>
      <c r="B23" s="94"/>
      <c r="C23" s="95">
        <f>SUMIFS('Geneva investment position repo'!AB:AB,'Geneva investment position repo'!$AK:$AK,"&gt;=6")-SUMIF('Geneva investment position repo'!T:T,"Cash",'Geneva investment position repo'!AB:AB)-SUMIF('Geneva investment position repo'!T:T,"M-Mkt",'Geneva investment position repo'!AB:AB)-C19-C18-C20-C21-C22</f>
        <v>168890317.34778091</v>
      </c>
      <c r="D23" s="124">
        <f t="shared" si="6"/>
        <v>0.3068331956145216</v>
      </c>
      <c r="E23" s="14"/>
      <c r="F23" s="45"/>
      <c r="G23" s="133">
        <v>0.3042427209784242</v>
      </c>
      <c r="H23" s="251">
        <f t="shared" si="5"/>
        <v>2.5904746360974062E-3</v>
      </c>
      <c r="I23" s="125"/>
    </row>
    <row r="24" spans="1:9">
      <c r="A24" s="107" t="s">
        <v>369</v>
      </c>
      <c r="B24" s="94"/>
      <c r="C24" s="95">
        <f>SUMIFS('Geneva investment position repo'!AB:AB,'Geneva investment position repo'!$AK:$AK,"&gt;=1")-SUMIF('Geneva investment position repo'!T:T,"Cash",'Geneva investment position repo'!AB:AB)-SUMIF('Geneva investment position repo'!T:T,"M-Mkt",'Geneva investment position repo'!AB:AB)-C19-C18-C20-C21-C22-C23</f>
        <v>0</v>
      </c>
      <c r="D24" s="124">
        <f t="shared" si="6"/>
        <v>0</v>
      </c>
      <c r="E24" s="14"/>
      <c r="F24" s="45"/>
      <c r="G24" s="133">
        <v>0</v>
      </c>
      <c r="H24" s="251">
        <f t="shared" si="5"/>
        <v>0</v>
      </c>
      <c r="I24" s="125"/>
    </row>
    <row r="25" spans="1:9">
      <c r="A25" s="107" t="s">
        <v>465</v>
      </c>
      <c r="B25" s="94"/>
      <c r="C25" s="95">
        <f>SUMIFS('Geneva investment position repo'!AB:AB,'Geneva investment position repo'!$AK:$AK,"=0")-SUMIF('Geneva investment position repo'!T:T,"Equity",'Geneva investment position repo'!AB:AB)-SUMIF('Geneva investment position repo'!T:T,"Cash Adjustments",'Geneva investment position repo'!AB:AB)-SUMIF('Geneva investment position repo'!T:T,"Comdty",'Geneva investment position repo'!AB:AB)</f>
        <v>57048034.402734779</v>
      </c>
      <c r="D25" s="124">
        <f>SUM(C25/$C$27)</f>
        <v>0.1036425946389417</v>
      </c>
      <c r="E25" s="14"/>
      <c r="F25" s="45"/>
      <c r="G25" s="133">
        <v>0.13172048337924111</v>
      </c>
      <c r="H25" s="251">
        <f t="shared" si="5"/>
        <v>-2.8077888740299414E-2</v>
      </c>
      <c r="I25" s="125"/>
    </row>
    <row r="26" spans="1:9">
      <c r="A26" s="107"/>
      <c r="B26" s="94"/>
      <c r="C26" s="94"/>
      <c r="D26" s="96"/>
      <c r="G26" s="133"/>
      <c r="H26" s="251">
        <f t="shared" si="5"/>
        <v>0</v>
      </c>
      <c r="I26" s="125"/>
    </row>
    <row r="27" spans="1:9">
      <c r="A27" s="107"/>
      <c r="B27" s="94"/>
      <c r="C27" s="97">
        <f>SUM(C18:C25)</f>
        <v>550430395.93395209</v>
      </c>
      <c r="D27" s="96">
        <f>SUM(D18:D25)</f>
        <v>1</v>
      </c>
      <c r="E27" s="1"/>
      <c r="G27" s="133">
        <v>1</v>
      </c>
      <c r="H27" s="251">
        <f t="shared" si="5"/>
        <v>0</v>
      </c>
      <c r="I27" s="125"/>
    </row>
    <row r="28" spans="1:9">
      <c r="A28" s="107"/>
      <c r="B28" s="99" t="s">
        <v>481</v>
      </c>
      <c r="C28" s="100">
        <f>C27-'SFC Report'!C21-'SFC Report'!C22</f>
        <v>0</v>
      </c>
      <c r="D28" s="94"/>
      <c r="H28" s="251"/>
      <c r="I28" s="125"/>
    </row>
    <row r="29" spans="1:9">
      <c r="A29" s="108" t="s">
        <v>466</v>
      </c>
      <c r="B29" s="103"/>
      <c r="C29" s="104">
        <f>SUM(C22:C25)</f>
        <v>385963674.17311621</v>
      </c>
      <c r="D29" s="105">
        <f>SUM(D22:D25)</f>
        <v>0.70120341649778584</v>
      </c>
      <c r="E29" s="106"/>
      <c r="F29" s="106"/>
      <c r="G29" s="253">
        <v>0.70954381767791785</v>
      </c>
      <c r="H29" s="251">
        <f>D29-G29</f>
        <v>-8.3404011801320177E-3</v>
      </c>
      <c r="I29" s="125"/>
    </row>
    <row r="30" spans="1:9">
      <c r="A30" s="108" t="s">
        <v>467</v>
      </c>
      <c r="B30" s="103"/>
      <c r="C30" s="104">
        <f>SUM(C18:C21)</f>
        <v>164466721.76083589</v>
      </c>
      <c r="D30" s="105">
        <f>SUM(D18:D21)</f>
        <v>0.29879658350221411</v>
      </c>
      <c r="E30" s="106"/>
      <c r="F30" s="106"/>
      <c r="G30" s="253">
        <v>0.29045618232208226</v>
      </c>
      <c r="H30" s="251">
        <f>D30-G30</f>
        <v>8.3404011801318512E-3</v>
      </c>
      <c r="I30" s="125"/>
    </row>
    <row r="31" spans="1:9">
      <c r="A31" s="98"/>
      <c r="B31" s="101" t="s">
        <v>481</v>
      </c>
      <c r="C31" s="102">
        <f>SUM(C29:C30)-C27</f>
        <v>0</v>
      </c>
      <c r="D31" s="98"/>
      <c r="H31" s="251"/>
      <c r="I31" s="125"/>
    </row>
    <row r="32" spans="1:9">
      <c r="A32" s="27"/>
      <c r="B32" s="27"/>
      <c r="C32" s="27"/>
      <c r="D32" s="27"/>
      <c r="E32" s="27"/>
      <c r="F32" s="27"/>
      <c r="G32" s="27"/>
      <c r="H32" s="35"/>
    </row>
    <row r="33" spans="1:8">
      <c r="A33" s="27"/>
      <c r="B33" s="27"/>
      <c r="C33" s="51"/>
      <c r="D33" s="111"/>
      <c r="E33" s="27"/>
      <c r="F33" s="27"/>
      <c r="G33" s="27"/>
      <c r="H33" s="27"/>
    </row>
    <row r="34" spans="1:8">
      <c r="A34" s="27"/>
      <c r="B34" s="27"/>
      <c r="C34" s="181"/>
      <c r="D34" s="181"/>
      <c r="E34" s="27"/>
      <c r="F34" s="27"/>
      <c r="G34" s="27"/>
      <c r="H34" s="27"/>
    </row>
    <row r="35" spans="1:8">
      <c r="A35" s="110" t="s">
        <v>493</v>
      </c>
      <c r="B35" s="110" t="s">
        <v>283</v>
      </c>
      <c r="C35" s="144">
        <f ca="1">A3</f>
        <v>43951</v>
      </c>
      <c r="D35" s="144">
        <f ca="1">EOMONTH(C35,-1)</f>
        <v>43921</v>
      </c>
      <c r="E35" s="27"/>
      <c r="F35" s="27"/>
      <c r="G35" s="27"/>
      <c r="H35" s="27"/>
    </row>
    <row r="36" spans="1:8">
      <c r="A36" s="27"/>
      <c r="B36" s="27"/>
      <c r="C36" s="27"/>
      <c r="D36" s="27"/>
      <c r="E36" s="27"/>
      <c r="F36" s="27"/>
      <c r="G36" s="27"/>
      <c r="H36" s="27"/>
    </row>
    <row r="37" spans="1:8">
      <c r="A37" s="27" t="s">
        <v>471</v>
      </c>
      <c r="B37" s="44">
        <f>SUMIFS('Geneva investment position repo'!$AB:$AB,'Geneva investment position repo'!$T:$T,"Equity",'Geneva investment position repo'!$AY:$AY,'Sector Allocation'!$A37)</f>
        <v>5643894.4788441695</v>
      </c>
      <c r="C37" s="111">
        <f t="shared" ref="C37:C48" si="7">B37/$B$50</f>
        <v>0.16834482805836062</v>
      </c>
      <c r="D37" s="111">
        <v>0.15055509106447426</v>
      </c>
      <c r="E37" s="27"/>
      <c r="F37" s="27"/>
      <c r="G37" s="27"/>
      <c r="H37" s="27"/>
    </row>
    <row r="38" spans="1:8">
      <c r="A38" s="27" t="s">
        <v>469</v>
      </c>
      <c r="B38" s="44">
        <f>SUMIFS('Geneva investment position repo'!$AB:$AB,'Geneva investment position repo'!$T:$T,"Equity",'Geneva investment position repo'!$AY:$AY,'Sector Allocation'!$A38)</f>
        <v>4586880.8049535602</v>
      </c>
      <c r="C38" s="111">
        <f t="shared" si="7"/>
        <v>0.13681645950833557</v>
      </c>
      <c r="D38" s="111">
        <v>0.11931950914937456</v>
      </c>
      <c r="E38" s="27"/>
      <c r="F38" s="27"/>
      <c r="G38" s="27"/>
      <c r="H38" s="27"/>
    </row>
    <row r="39" spans="1:8">
      <c r="A39" s="27" t="s">
        <v>470</v>
      </c>
      <c r="B39" s="44">
        <f>SUMIFS('Geneva investment position repo'!$AB:$AB,'Geneva investment position repo'!$T:$T,"Equity",'Geneva investment position repo'!$AY:$AY,'Sector Allocation'!$A39)</f>
        <v>392350.36119711044</v>
      </c>
      <c r="C39" s="111">
        <f t="shared" si="7"/>
        <v>1.1702939227859175E-2</v>
      </c>
      <c r="D39" s="111">
        <v>2.2465343756989012E-2</v>
      </c>
      <c r="E39" s="27"/>
      <c r="F39" s="27"/>
      <c r="G39" s="27"/>
      <c r="H39" s="27"/>
    </row>
    <row r="40" spans="1:8">
      <c r="A40" s="27" t="s">
        <v>472</v>
      </c>
      <c r="B40" s="44">
        <f>SUMIFS('Geneva investment position repo'!$AB:$AB,'Geneva investment position repo'!$T:$T,"Equity",'Geneva investment position repo'!$AY:$AY,'Sector Allocation'!$A40)</f>
        <v>0</v>
      </c>
      <c r="C40" s="111">
        <f t="shared" si="7"/>
        <v>0</v>
      </c>
      <c r="D40" s="111">
        <v>0</v>
      </c>
      <c r="E40" s="27"/>
      <c r="F40" s="27"/>
      <c r="G40" s="27"/>
      <c r="H40" s="27"/>
    </row>
    <row r="41" spans="1:8">
      <c r="A41" s="27" t="s">
        <v>473</v>
      </c>
      <c r="B41" s="44">
        <f>SUMIFS('Geneva investment position repo'!$AB:$AB,'Geneva investment position repo'!$T:$T,"Equity",'Geneva investment position repo'!$AY:$AY,'Sector Allocation'!$A41)</f>
        <v>14990329.066047471</v>
      </c>
      <c r="C41" s="111">
        <f t="shared" si="7"/>
        <v>0.44712819820097199</v>
      </c>
      <c r="D41" s="111">
        <v>0.50380929613148517</v>
      </c>
      <c r="E41" s="27"/>
      <c r="F41" s="27"/>
      <c r="G41" s="27"/>
      <c r="H41" s="27"/>
    </row>
    <row r="42" spans="1:8">
      <c r="A42" s="27" t="s">
        <v>476</v>
      </c>
      <c r="B42" s="44">
        <f>SUMIFS('Geneva investment position repo'!$AB:$AB,'Geneva investment position repo'!$T:$T,"Equity",'Geneva investment position repo'!$AY:$AY,'Sector Allocation'!$A42)</f>
        <v>390221.87822497421</v>
      </c>
      <c r="C42" s="111">
        <f t="shared" si="7"/>
        <v>1.1639451311614007E-2</v>
      </c>
      <c r="D42" s="111">
        <v>0</v>
      </c>
      <c r="E42" s="27"/>
      <c r="F42" s="27"/>
      <c r="G42" s="27"/>
      <c r="H42" s="27"/>
    </row>
    <row r="43" spans="1:8">
      <c r="A43" s="27" t="s">
        <v>479</v>
      </c>
      <c r="B43" s="44">
        <f>SUMIFS('Geneva investment position repo'!$AB:$AB,'Geneva investment position repo'!$T:$T,"Equity",'Geneva investment position repo'!$AY:$AY,'Sector Allocation'!$A43)</f>
        <v>1840953.9473684211</v>
      </c>
      <c r="C43" s="111">
        <f t="shared" si="7"/>
        <v>5.4911564504757648E-2</v>
      </c>
      <c r="D43" s="111">
        <v>5.079916229620058E-2</v>
      </c>
      <c r="E43" s="27"/>
      <c r="F43" s="27"/>
      <c r="G43" s="27"/>
      <c r="H43" s="27"/>
    </row>
    <row r="44" spans="1:8">
      <c r="A44" s="27" t="s">
        <v>477</v>
      </c>
      <c r="B44" s="44">
        <f>SUMIFS('Geneva investment position repo'!$AB:$AB,'Geneva investment position repo'!$T:$T,"Equity",'Geneva investment position repo'!$AY:$AY,'Sector Allocation'!$A44)</f>
        <v>0</v>
      </c>
      <c r="C44" s="111">
        <f t="shared" si="7"/>
        <v>0</v>
      </c>
      <c r="D44" s="111">
        <v>0</v>
      </c>
      <c r="E44" s="27"/>
      <c r="F44" s="27"/>
      <c r="G44" s="27"/>
      <c r="H44" s="27"/>
    </row>
    <row r="45" spans="1:8">
      <c r="A45" s="27" t="s">
        <v>478</v>
      </c>
      <c r="B45" s="44">
        <f>SUMIFS('Geneva investment position repo'!$AB:$AB,'Geneva investment position repo'!$T:$T,"Equity",'Geneva investment position repo'!$AY:$AY,'Sector Allocation'!$A45)</f>
        <v>0</v>
      </c>
      <c r="C45" s="111">
        <f t="shared" si="7"/>
        <v>0</v>
      </c>
      <c r="D45" s="111">
        <v>0</v>
      </c>
      <c r="E45" s="27"/>
      <c r="F45" s="27"/>
      <c r="G45" s="27"/>
      <c r="H45" s="27"/>
    </row>
    <row r="46" spans="1:8">
      <c r="A46" s="27" t="s">
        <v>474</v>
      </c>
      <c r="B46" s="44">
        <f>SUMIFS('Geneva investment position repo'!$AB:$AB,'Geneva investment position repo'!$T:$T,"Equity",'Geneva investment position repo'!$AY:$AY,'Sector Allocation'!$A46)</f>
        <v>826006.19195046439</v>
      </c>
      <c r="C46" s="111">
        <f t="shared" si="7"/>
        <v>2.4637928806124566E-2</v>
      </c>
      <c r="D46" s="111">
        <v>2.32128489338763E-2</v>
      </c>
      <c r="E46" s="27"/>
      <c r="F46" s="27"/>
      <c r="G46" s="27"/>
      <c r="H46" s="27"/>
    </row>
    <row r="47" spans="1:8">
      <c r="A47" s="27" t="s">
        <v>475</v>
      </c>
      <c r="B47" s="44">
        <f>SUMIFS('Geneva investment position repo'!$AB:$AB,'Geneva investment position repo'!$T:$T,"Equity",'Geneva investment position repo'!$AY:$AY,'Sector Allocation'!$A47)</f>
        <v>3902089.7832817342</v>
      </c>
      <c r="C47" s="111">
        <f>B47/$B$50</f>
        <v>0.11639066536364039</v>
      </c>
      <c r="D47" s="111">
        <v>0.12983874866760003</v>
      </c>
      <c r="E47" s="27"/>
      <c r="F47" s="27"/>
      <c r="G47" s="27"/>
      <c r="H47" s="27"/>
    </row>
    <row r="48" spans="1:8">
      <c r="A48" s="27" t="s">
        <v>1912</v>
      </c>
      <c r="B48" s="44">
        <f>SUMIFS('Geneva investment position repo'!$AB:$AB,'Geneva investment position repo'!$T:$T,"Equity",'Geneva investment position repo'!$AY:$AY,'Sector Allocation'!$A48)</f>
        <v>953070.17543859652</v>
      </c>
      <c r="C48" s="111">
        <f t="shared" si="7"/>
        <v>2.8427965018336072E-2</v>
      </c>
      <c r="D48" s="111">
        <v>0</v>
      </c>
      <c r="E48" s="27"/>
      <c r="F48" s="27"/>
      <c r="G48" s="27"/>
      <c r="H48" s="27"/>
    </row>
    <row r="49" spans="1:8">
      <c r="A49" s="27"/>
      <c r="B49" s="27"/>
      <c r="C49" s="27"/>
      <c r="D49" s="111"/>
      <c r="E49" s="27"/>
      <c r="F49" s="27"/>
      <c r="G49" s="27"/>
      <c r="H49" s="27"/>
    </row>
    <row r="50" spans="1:8">
      <c r="A50" s="27"/>
      <c r="B50" s="86">
        <f>SUM(B37:B48)</f>
        <v>33525796.687306501</v>
      </c>
      <c r="C50" s="112">
        <f>SUM(C37:C48)</f>
        <v>1.0000000000000002</v>
      </c>
      <c r="D50" s="112">
        <v>1</v>
      </c>
      <c r="E50" s="27"/>
      <c r="F50" s="27"/>
      <c r="G50" s="27"/>
      <c r="H50" s="27"/>
    </row>
    <row r="51" spans="1:8">
      <c r="A51" s="27"/>
      <c r="B51" s="27">
        <f>'SFC Report'!$C$29</f>
        <v>593029572.96955597</v>
      </c>
      <c r="C51" s="27"/>
      <c r="D51" s="27"/>
      <c r="E51" s="27"/>
      <c r="F51" s="27"/>
      <c r="G51" s="27"/>
      <c r="H51" s="27"/>
    </row>
    <row r="52" spans="1:8">
      <c r="A52" s="183" t="s">
        <v>468</v>
      </c>
      <c r="B52" s="184">
        <f>B50-'SFC Report'!C19</f>
        <v>0</v>
      </c>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A55" s="27"/>
      <c r="B55" s="27"/>
      <c r="C55" s="27"/>
      <c r="D55" s="27"/>
      <c r="E55" s="27"/>
      <c r="F55" s="27"/>
      <c r="G55" s="27"/>
      <c r="H55" s="27"/>
    </row>
    <row r="56" spans="1:8">
      <c r="A56" s="110" t="s">
        <v>1001</v>
      </c>
      <c r="B56" s="276" t="s">
        <v>283</v>
      </c>
      <c r="C56" s="276"/>
      <c r="D56" s="187">
        <f ca="1">C35</f>
        <v>43951</v>
      </c>
      <c r="E56" s="187">
        <f ca="1">D56</f>
        <v>43951</v>
      </c>
      <c r="F56" s="188">
        <f ca="1">D35</f>
        <v>43921</v>
      </c>
      <c r="G56" s="188">
        <f ca="1">F56</f>
        <v>43921</v>
      </c>
      <c r="H56" s="27"/>
    </row>
    <row r="57" spans="1:8">
      <c r="A57" s="113" t="s">
        <v>442</v>
      </c>
      <c r="B57" s="186" t="s">
        <v>404</v>
      </c>
      <c r="C57" s="186" t="s">
        <v>235</v>
      </c>
      <c r="D57" s="186" t="s">
        <v>404</v>
      </c>
      <c r="E57" s="186" t="s">
        <v>235</v>
      </c>
      <c r="F57" s="186" t="s">
        <v>404</v>
      </c>
      <c r="G57" s="186" t="s">
        <v>235</v>
      </c>
      <c r="H57" s="27"/>
    </row>
    <row r="58" spans="1:8">
      <c r="A58" s="27"/>
      <c r="B58" s="51"/>
      <c r="C58" s="51"/>
      <c r="D58" s="27"/>
      <c r="E58" s="27"/>
      <c r="F58" s="27"/>
      <c r="G58" s="27"/>
      <c r="H58" s="27"/>
    </row>
    <row r="59" spans="1:8">
      <c r="A59" s="27" t="s">
        <v>393</v>
      </c>
      <c r="B59" s="51">
        <f>SUMIFS('Geneva investment position repo'!$AB:$AB,'Geneva investment position repo'!$T:$T,"Corp",'Geneva investment position repo'!$BQ:$BQ,'Sector Allocation'!$A59)+SUMIFS('Geneva investment position repo'!$AB:$AB,'Geneva investment position repo'!$T:$T,"Govt",'Geneva investment position repo'!$BQ:$BQ,'Sector Allocation'!$A59)</f>
        <v>5182806.6989164092</v>
      </c>
      <c r="C59" s="51">
        <f>SUMIFS('Geneva investment position repo'!$AB:$AB,'Geneva investment position repo'!$T:$T,"Equity",'Geneva investment position repo'!$BQ:$BQ,'Sector Allocation'!$A59)</f>
        <v>0</v>
      </c>
      <c r="D59" s="182">
        <f t="shared" ref="D59:D73" si="8">B59/$B$82</f>
        <v>8.7395417280184719E-3</v>
      </c>
      <c r="E59" s="182">
        <f t="shared" ref="E59:E73" si="9">C59/$B$82</f>
        <v>0</v>
      </c>
      <c r="F59" s="182">
        <v>8.2278165771267082E-3</v>
      </c>
      <c r="G59" s="182">
        <v>0</v>
      </c>
      <c r="H59" s="27"/>
    </row>
    <row r="60" spans="1:8">
      <c r="A60" s="27" t="s">
        <v>377</v>
      </c>
      <c r="B60" s="51">
        <f>SUMIFS('Geneva investment position repo'!$AB:$AB,'Geneva investment position repo'!$T:$T,"Corp",'Geneva investment position repo'!$BQ:$BQ,'Sector Allocation'!$A60)+SUMIFS('Geneva investment position repo'!$AB:$AB,'Geneva investment position repo'!$T:$T,"Govt",'Geneva investment position repo'!$BQ:$BQ,'Sector Allocation'!$A60)</f>
        <v>385815041.16615039</v>
      </c>
      <c r="C60" s="51">
        <f>SUMIFS('Geneva investment position repo'!$AB:$AB,'Geneva investment position repo'!$T:$T,"Equity",'Geneva investment position repo'!$BQ:$BQ,'Sector Allocation'!$A60)</f>
        <v>8350682.5232198145</v>
      </c>
      <c r="D60" s="182">
        <f t="shared" si="8"/>
        <v>0.65058313910756149</v>
      </c>
      <c r="E60" s="182">
        <f t="shared" si="9"/>
        <v>1.408139307691576E-2</v>
      </c>
      <c r="F60" s="182">
        <v>0.54013451314266092</v>
      </c>
      <c r="G60" s="182">
        <v>1.8698745290728996E-2</v>
      </c>
      <c r="H60" s="27"/>
    </row>
    <row r="61" spans="1:8">
      <c r="A61" s="27" t="s">
        <v>379</v>
      </c>
      <c r="B61" s="51">
        <f>SUMIFS('Geneva investment position repo'!$AB:$AB,'Geneva investment position repo'!$T:$T,"Corp",'Geneva investment position repo'!$BQ:$BQ,'Sector Allocation'!$A61)+SUMIFS('Geneva investment position repo'!$AB:$AB,'Geneva investment position repo'!$T:$T,"Govt",'Geneva investment position repo'!$BQ:$BQ,'Sector Allocation'!$A61)</f>
        <v>3325727.5928792572</v>
      </c>
      <c r="C61" s="51">
        <f>SUMIFS('Geneva investment position repo'!$AB:$AB,'Geneva investment position repo'!$T:$T,"Equity",'Geneva investment position repo'!$BQ:$BQ,'Sector Allocation'!$A61)</f>
        <v>0</v>
      </c>
      <c r="D61" s="182">
        <f t="shared" si="8"/>
        <v>5.6080299271179654E-3</v>
      </c>
      <c r="E61" s="182">
        <f t="shared" si="9"/>
        <v>0</v>
      </c>
      <c r="F61" s="182">
        <v>1.8109418168753614E-2</v>
      </c>
      <c r="G61" s="182">
        <v>0</v>
      </c>
      <c r="H61" s="27"/>
    </row>
    <row r="62" spans="1:8">
      <c r="A62" s="27" t="s">
        <v>383</v>
      </c>
      <c r="B62" s="51">
        <f>SUMIFS('Geneva investment position repo'!$AB:$AB,'Geneva investment position repo'!$T:$T,"Corp",'Geneva investment position repo'!$BQ:$BQ,'Sector Allocation'!$A62)+SUMIFS('Geneva investment position repo'!$AB:$AB,'Geneva investment position repo'!$T:$T,"Govt",'Geneva investment position repo'!$BQ:$BQ,'Sector Allocation'!$A62)</f>
        <v>21578865.914602686</v>
      </c>
      <c r="C62" s="51">
        <f>SUMIFS('Geneva investment position repo'!$AB:$AB,'Geneva investment position repo'!$T:$T,"Equity",'Geneva investment position repo'!$BQ:$BQ,'Sector Allocation'!$A62)</f>
        <v>25175114.164086688</v>
      </c>
      <c r="D62" s="182">
        <f t="shared" si="8"/>
        <v>3.6387503925896909E-2</v>
      </c>
      <c r="E62" s="182">
        <f t="shared" si="9"/>
        <v>4.2451701081320424E-2</v>
      </c>
      <c r="F62" s="182">
        <v>6.6697609867757066E-2</v>
      </c>
      <c r="G62" s="182">
        <v>4.0214184804650069E-2</v>
      </c>
      <c r="H62" s="27"/>
    </row>
    <row r="63" spans="1:8">
      <c r="A63" s="27" t="s">
        <v>427</v>
      </c>
      <c r="B63" s="51">
        <f>SUMIFS('Geneva investment position repo'!$AB:$AB,'Geneva investment position repo'!$T:$T,"Corp",'Geneva investment position repo'!$BQ:$BQ,'Sector Allocation'!$A63)+SUMIFS('Geneva investment position repo'!$AB:$AB,'Geneva investment position repo'!$T:$T,"Govt",'Geneva investment position repo'!$BQ:$BQ,'Sector Allocation'!$A63)</f>
        <v>6856963.8531991756</v>
      </c>
      <c r="C63" s="51">
        <f>SUMIFS('Geneva investment position repo'!$AB:$AB,'Geneva investment position repo'!$T:$T,"Equity",'Geneva investment position repo'!$BQ:$BQ,'Sector Allocation'!$A63)</f>
        <v>0</v>
      </c>
      <c r="D63" s="182">
        <f t="shared" si="8"/>
        <v>1.1562600190178353E-2</v>
      </c>
      <c r="E63" s="182">
        <f t="shared" si="9"/>
        <v>0</v>
      </c>
      <c r="F63" s="182">
        <v>2.0406308819180475E-2</v>
      </c>
      <c r="G63" s="182">
        <v>0</v>
      </c>
      <c r="H63" s="27"/>
    </row>
    <row r="64" spans="1:8">
      <c r="A64" s="27" t="s">
        <v>385</v>
      </c>
      <c r="B64" s="51">
        <f>SUMIFS('Geneva investment position repo'!$AB:$AB,'Geneva investment position repo'!$T:$T,"Corp",'Geneva investment position repo'!$BQ:$BQ,'Sector Allocation'!$A64)+SUMIFS('Geneva investment position repo'!$AB:$AB,'Geneva investment position repo'!$T:$T,"Govt",'Geneva investment position repo'!$BQ:$BQ,'Sector Allocation'!$A64)</f>
        <v>21762046.418988653</v>
      </c>
      <c r="C64" s="51">
        <f>SUMIFS('Geneva investment position repo'!$AB:$AB,'Geneva investment position repo'!$T:$T,"Equity",'Geneva investment position repo'!$BQ:$BQ,'Sector Allocation'!$A64)</f>
        <v>0</v>
      </c>
      <c r="D64" s="182">
        <f t="shared" si="8"/>
        <v>3.6696393250705291E-2</v>
      </c>
      <c r="E64" s="182">
        <f t="shared" si="9"/>
        <v>0</v>
      </c>
      <c r="F64" s="182">
        <v>7.8060837778028969E-2</v>
      </c>
      <c r="G64" s="182">
        <v>0</v>
      </c>
      <c r="H64" s="27"/>
    </row>
    <row r="65" spans="1:8">
      <c r="A65" s="27" t="s">
        <v>388</v>
      </c>
      <c r="B65" s="51">
        <f>SUMIFS('Geneva investment position repo'!$AB:$AB,'Geneva investment position repo'!$T:$T,"Corp",'Geneva investment position repo'!$BQ:$BQ,'Sector Allocation'!$A65)+SUMIFS('Geneva investment position repo'!$AB:$AB,'Geneva investment position repo'!$T:$T,"Govt",'Geneva investment position repo'!$BQ:$BQ,'Sector Allocation'!$A65)</f>
        <v>11361748.799019611</v>
      </c>
      <c r="C65" s="51">
        <f>SUMIFS('Geneva investment position repo'!$AB:$AB,'Geneva investment position repo'!$T:$T,"Equity",'Geneva investment position repo'!$BQ:$BQ,'Sector Allocation'!$A65)</f>
        <v>0</v>
      </c>
      <c r="D65" s="182">
        <f t="shared" si="8"/>
        <v>1.915882329801263E-2</v>
      </c>
      <c r="E65" s="182">
        <f t="shared" si="9"/>
        <v>0</v>
      </c>
      <c r="F65" s="182">
        <v>1.6839960881829149E-2</v>
      </c>
      <c r="G65" s="182">
        <v>0</v>
      </c>
      <c r="H65" s="27"/>
    </row>
    <row r="66" spans="1:8">
      <c r="A66" s="27" t="s">
        <v>390</v>
      </c>
      <c r="B66" s="51">
        <f>SUMIFS('Geneva investment position repo'!$AB:$AB,'Geneva investment position repo'!$T:$T,"Corp",'Geneva investment position repo'!$BQ:$BQ,'Sector Allocation'!$A66)+SUMIFS('Geneva investment position repo'!$AB:$AB,'Geneva investment position repo'!$T:$T,"Govt",'Geneva investment position repo'!$BQ:$BQ,'Sector Allocation'!$A66)</f>
        <v>5225366.2603199175</v>
      </c>
      <c r="C66" s="51">
        <f>SUMIFS('Geneva investment position repo'!$AB:$AB,'Geneva investment position repo'!$T:$T,"Equity",'Geneva investment position repo'!$BQ:$BQ,'Sector Allocation'!$A66)</f>
        <v>0</v>
      </c>
      <c r="D66" s="182">
        <f t="shared" si="8"/>
        <v>8.8113080670736959E-3</v>
      </c>
      <c r="E66" s="182">
        <f t="shared" si="9"/>
        <v>0</v>
      </c>
      <c r="F66" s="182">
        <v>8.6940493029235427E-3</v>
      </c>
      <c r="G66" s="182">
        <v>0</v>
      </c>
      <c r="H66" s="27"/>
    </row>
    <row r="67" spans="1:8">
      <c r="A67" s="27" t="s">
        <v>805</v>
      </c>
      <c r="B67" s="51">
        <f>SUMIFS('Geneva investment position repo'!$AB:$AB,'Geneva investment position repo'!$T:$T,"Corp",'Geneva investment position repo'!$BQ:$BQ,'Sector Allocation'!$A67)+SUMIFS('Geneva investment position repo'!$AB:$AB,'Geneva investment position repo'!$T:$T,"Govt",'Geneva investment position repo'!$BQ:$BQ,'Sector Allocation'!$A67)</f>
        <v>0</v>
      </c>
      <c r="C67" s="51">
        <f>SUMIFS('Geneva investment position repo'!$AB:$AB,'Geneva investment position repo'!$T:$T,"Equity",'Geneva investment position repo'!$BQ:$BQ,'Sector Allocation'!$A67)</f>
        <v>0</v>
      </c>
      <c r="D67" s="182">
        <f t="shared" si="8"/>
        <v>0</v>
      </c>
      <c r="E67" s="182">
        <f t="shared" si="9"/>
        <v>0</v>
      </c>
      <c r="F67" s="182">
        <v>3.6450813570787651E-3</v>
      </c>
      <c r="G67" s="182">
        <v>0</v>
      </c>
      <c r="H67" s="27"/>
    </row>
    <row r="68" spans="1:8">
      <c r="A68" s="27" t="s">
        <v>762</v>
      </c>
      <c r="B68" s="51">
        <f>SUMIFS('Geneva investment position repo'!$AB:$AB,'Geneva investment position repo'!$T:$T,"Corp",'Geneva investment position repo'!$BQ:$BQ,'Sector Allocation'!$A68)+SUMIFS('Geneva investment position repo'!$AB:$AB,'Geneva investment position repo'!$T:$T,"Govt",'Geneva investment position repo'!$BQ:$BQ,'Sector Allocation'!$A68)</f>
        <v>0</v>
      </c>
      <c r="C68" s="51">
        <f>SUMIFS('Geneva investment position repo'!$AB:$AB,'Geneva investment position repo'!$T:$T,"Equity",'Geneva investment position repo'!$BQ:$BQ,'Sector Allocation'!$A68)</f>
        <v>0</v>
      </c>
      <c r="D68" s="182">
        <f t="shared" si="8"/>
        <v>0</v>
      </c>
      <c r="E68" s="182">
        <f t="shared" si="9"/>
        <v>0</v>
      </c>
      <c r="F68" s="182">
        <v>1.2035726951827024E-2</v>
      </c>
      <c r="G68" s="182">
        <v>0</v>
      </c>
      <c r="H68" s="27"/>
    </row>
    <row r="69" spans="1:8">
      <c r="A69" s="27" t="s">
        <v>398</v>
      </c>
      <c r="B69" s="51">
        <f>SUMIFS('Geneva investment position repo'!$AB:$AB,'Geneva investment position repo'!$T:$T,"Corp",'Geneva investment position repo'!$BQ:$BQ,'Sector Allocation'!$A69)+SUMIFS('Geneva investment position repo'!$AB:$AB,'Geneva investment position repo'!$T:$T,"Govt",'Geneva investment position repo'!$BQ:$BQ,'Sector Allocation'!$A69)</f>
        <v>0</v>
      </c>
      <c r="C69" s="51">
        <f>SUMIFS('Geneva investment position repo'!$AB:$AB,'Geneva investment position repo'!$T:$T,"Equity",'Geneva investment position repo'!$BQ:$BQ,'Sector Allocation'!$A69)</f>
        <v>0</v>
      </c>
      <c r="D69" s="182">
        <f t="shared" si="8"/>
        <v>0</v>
      </c>
      <c r="E69" s="182">
        <f t="shared" si="9"/>
        <v>0</v>
      </c>
      <c r="F69" s="182">
        <v>5.4322581640845581E-3</v>
      </c>
      <c r="G69" s="182">
        <v>0</v>
      </c>
      <c r="H69" s="27"/>
    </row>
    <row r="70" spans="1:8">
      <c r="A70" s="27" t="s">
        <v>424</v>
      </c>
      <c r="B70" s="51">
        <f>SUMIFS('Geneva investment position repo'!$AB:$AB,'Geneva investment position repo'!$T:$T,"Corp",'Geneva investment position repo'!$BQ:$BQ,'Sector Allocation'!$A70)+SUMIFS('Geneva investment position repo'!$AB:$AB,'Geneva investment position repo'!$T:$T,"Govt",'Geneva investment position repo'!$BQ:$BQ,'Sector Allocation'!$A70)</f>
        <v>3024554.206656347</v>
      </c>
      <c r="C70" s="51">
        <f>SUMIFS('Geneva investment position repo'!$AB:$AB,'Geneva investment position repo'!$T:$T,"Equity",'Geneva investment position repo'!$BQ:$BQ,'Sector Allocation'!$A70)</f>
        <v>0</v>
      </c>
      <c r="D70" s="182">
        <f t="shared" si="8"/>
        <v>5.1001743328095662E-3</v>
      </c>
      <c r="E70" s="182">
        <f t="shared" si="9"/>
        <v>0</v>
      </c>
      <c r="F70" s="182">
        <v>5.0388835034976213E-3</v>
      </c>
      <c r="G70" s="182">
        <v>0</v>
      </c>
      <c r="H70" s="27"/>
    </row>
    <row r="71" spans="1:8">
      <c r="A71" s="27" t="s">
        <v>381</v>
      </c>
      <c r="B71" s="51">
        <f>SUMIFS('Geneva investment position repo'!$AB:$AB,'Geneva investment position repo'!$T:$T,"Corp",'Geneva investment position repo'!$BQ:$BQ,'Sector Allocation'!$A71)+SUMIFS('Geneva investment position repo'!$AB:$AB,'Geneva investment position repo'!$T:$T,"Govt",'Geneva investment position repo'!$BQ:$BQ,'Sector Allocation'!$A71)</f>
        <v>2075922.306501548</v>
      </c>
      <c r="C71" s="51">
        <f>SUMIFS('Geneva investment position repo'!$AB:$AB,'Geneva investment position repo'!$T:$T,"Equity",'Geneva investment position repo'!$BQ:$BQ,'Sector Allocation'!$A71)</f>
        <v>0</v>
      </c>
      <c r="D71" s="182">
        <f t="shared" si="8"/>
        <v>3.5005375804557362E-3</v>
      </c>
      <c r="E71" s="182">
        <f t="shared" si="9"/>
        <v>0</v>
      </c>
      <c r="F71" s="182">
        <v>6.4913640324415801E-3</v>
      </c>
      <c r="G71" s="182">
        <v>0</v>
      </c>
      <c r="H71" s="27"/>
    </row>
    <row r="72" spans="1:8">
      <c r="A72" s="27" t="s">
        <v>400</v>
      </c>
      <c r="B72" s="51">
        <f>SUMIFS('Geneva investment position repo'!$AB:$AB,'Geneva investment position repo'!$T:$T,"Corp",'Geneva investment position repo'!$BQ:$BQ,'Sector Allocation'!$A72)+SUMIFS('Geneva investment position repo'!$AB:$AB,'Geneva investment position repo'!$T:$T,"Govt",'Geneva investment position repo'!$BQ:$BQ,'Sector Allocation'!$A72)</f>
        <v>39445070.006449953</v>
      </c>
      <c r="C72" s="51">
        <f>SUMIFS('Geneva investment position repo'!$AB:$AB,'Geneva investment position repo'!$T:$T,"Equity",'Geneva investment position repo'!$BQ:$BQ,'Sector Allocation'!$A72)</f>
        <v>0</v>
      </c>
      <c r="D72" s="182">
        <f t="shared" si="8"/>
        <v>6.6514507546278676E-2</v>
      </c>
      <c r="E72" s="182">
        <f t="shared" si="9"/>
        <v>0</v>
      </c>
      <c r="F72" s="182">
        <v>5.2478787476326737E-3</v>
      </c>
      <c r="G72" s="182">
        <v>0</v>
      </c>
      <c r="H72" s="27"/>
    </row>
    <row r="73" spans="1:8">
      <c r="A73" s="27" t="s">
        <v>954</v>
      </c>
      <c r="B73" s="51">
        <f>SUMIFS('Geneva investment position repo'!$AB:$AB,'Geneva investment position repo'!$T:$T,"Corp",'Geneva investment position repo'!$BQ:$BQ,'Sector Allocation'!$A73)+SUMIFS('Geneva investment position repo'!$AB:$AB,'Geneva investment position repo'!$T:$T,"Govt",'Geneva investment position repo'!$BQ:$BQ,'Sector Allocation'!$A73)</f>
        <v>0</v>
      </c>
      <c r="C73" s="51">
        <f>SUMIFS('Geneva investment position repo'!$AB:$AB,'Geneva investment position repo'!$T:$T,"Equity",'Geneva investment position repo'!$BQ:$BQ,'Sector Allocation'!$A73)</f>
        <v>0</v>
      </c>
      <c r="D73" s="182">
        <f t="shared" si="8"/>
        <v>0</v>
      </c>
      <c r="E73" s="182">
        <f t="shared" si="9"/>
        <v>0</v>
      </c>
      <c r="F73" s="182">
        <v>0</v>
      </c>
      <c r="G73" s="182">
        <v>0</v>
      </c>
      <c r="H73" s="27"/>
    </row>
    <row r="74" spans="1:8">
      <c r="A74" s="27" t="s">
        <v>429</v>
      </c>
      <c r="B74" s="51">
        <f>SUMIFS('Geneva investment position repo'!$AB:$AB,'Geneva investment position repo'!$T:$T,"Corp",'Geneva investment position repo'!$BQ:$BQ,'Sector Allocation'!$A74)+SUMIFS('Geneva investment position repo'!$AB:$AB,'Geneva investment position repo'!$T:$T,"Govt",'Geneva investment position repo'!$BQ:$BQ,'Sector Allocation'!$A74)</f>
        <v>10019205.48374613</v>
      </c>
      <c r="C74" s="51">
        <f>SUMIFS('Geneva investment position repo'!$AB:$AB,'Geneva investment position repo'!$T:$T,"Equity",'Geneva investment position repo'!$BQ:$BQ,'Sector Allocation'!$A74)</f>
        <v>0</v>
      </c>
      <c r="D74" s="182">
        <f t="shared" ref="D74:D78" si="10">B74/$B$82</f>
        <v>1.6894950842966612E-2</v>
      </c>
      <c r="E74" s="182">
        <f t="shared" ref="E74:E78" si="11">C74/$B$82</f>
        <v>0</v>
      </c>
      <c r="F74" s="182">
        <v>0</v>
      </c>
      <c r="G74" s="182">
        <v>0</v>
      </c>
      <c r="H74" s="27"/>
    </row>
    <row r="75" spans="1:8">
      <c r="A75" s="27" t="s">
        <v>1695</v>
      </c>
      <c r="B75" s="51">
        <f>SUMIFS('Geneva investment position repo'!$AB:$AB,'Geneva investment position repo'!$T:$T,"Corp",'Geneva investment position repo'!$BQ:$BQ,'Sector Allocation'!$A75)+SUMIFS('Geneva investment position repo'!$AB:$AB,'Geneva investment position repo'!$T:$T,"Govt",'Geneva investment position repo'!$BQ:$BQ,'Sector Allocation'!$A75)</f>
        <v>1153514.3163054697</v>
      </c>
      <c r="C75" s="51">
        <f>SUMIFS('Geneva investment position repo'!$AB:$AB,'Geneva investment position repo'!$T:$T,"Equity",'Geneva investment position repo'!$BQ:$BQ,'Sector Allocation'!$A75)</f>
        <v>0</v>
      </c>
      <c r="D75" s="182">
        <f t="shared" si="10"/>
        <v>1.9451210679584221E-3</v>
      </c>
      <c r="E75" s="182">
        <f t="shared" si="11"/>
        <v>0</v>
      </c>
      <c r="F75" s="182">
        <v>0</v>
      </c>
      <c r="G75" s="182">
        <v>0</v>
      </c>
      <c r="H75" s="27"/>
    </row>
    <row r="76" spans="1:8">
      <c r="A76" s="27" t="s">
        <v>1915</v>
      </c>
      <c r="B76" s="51">
        <f>SUMIFS('Geneva investment position repo'!$AB:$AB,'Geneva investment position repo'!$T:$T,"Corp",'Geneva investment position repo'!$BQ:$BQ,'Sector Allocation'!$A76)+SUMIFS('Geneva investment position repo'!$AB:$AB,'Geneva investment position repo'!$T:$T,"Govt",'Geneva investment position repo'!$BQ:$BQ,'Sector Allocation'!$A76)</f>
        <v>0</v>
      </c>
      <c r="C76" s="51">
        <f>SUMIFS('Geneva investment position repo'!$AB:$AB,'Geneva investment position repo'!$T:$T,"Equity",'Geneva investment position repo'!$BQ:$BQ,'Sector Allocation'!$A76)</f>
        <v>0</v>
      </c>
      <c r="D76" s="182">
        <f t="shared" si="10"/>
        <v>0</v>
      </c>
      <c r="E76" s="182">
        <f t="shared" si="11"/>
        <v>0</v>
      </c>
      <c r="F76" s="182">
        <v>0</v>
      </c>
      <c r="G76" s="182">
        <v>0</v>
      </c>
      <c r="H76" s="27"/>
    </row>
    <row r="77" spans="1:8">
      <c r="A77" s="27" t="s">
        <v>780</v>
      </c>
      <c r="B77" s="51">
        <f>SUMIFS('Geneva investment position repo'!$AB:$AB,'Geneva investment position repo'!$T:$T,"Corp",'Geneva investment position repo'!$BQ:$BQ,'Sector Allocation'!$A77)+SUMIFS('Geneva investment position repo'!$AB:$AB,'Geneva investment position repo'!$T:$T,"Govt",'Geneva investment position repo'!$BQ:$BQ,'Sector Allocation'!$A77)</f>
        <v>8783056.5079979375</v>
      </c>
      <c r="C77" s="51">
        <f>SUMIFS('Geneva investment position repo'!$AB:$AB,'Geneva investment position repo'!$T:$T,"Equity",'Geneva investment position repo'!$BQ:$BQ,'Sector Allocation'!$A77)</f>
        <v>0</v>
      </c>
      <c r="D77" s="182">
        <f t="shared" si="10"/>
        <v>1.4810486539511628E-2</v>
      </c>
      <c r="E77" s="182">
        <f t="shared" si="11"/>
        <v>0</v>
      </c>
      <c r="F77" s="182">
        <v>0</v>
      </c>
      <c r="G77" s="182">
        <v>0</v>
      </c>
      <c r="H77" s="27"/>
    </row>
    <row r="78" spans="1:8">
      <c r="A78" s="27" t="s">
        <v>396</v>
      </c>
      <c r="B78" s="51">
        <f>SUMIFS('Geneva investment position repo'!$AB:$AB,'Geneva investment position repo'!$T:$T,"Corp",'Geneva investment position repo'!$BQ:$BQ,'Sector Allocation'!$A78)+SUMIFS('Geneva investment position repo'!$AB:$AB,'Geneva investment position repo'!$T:$T,"Govt",'Geneva investment position repo'!$BQ:$BQ,'Sector Allocation'!$A78)</f>
        <v>15742145.411506709</v>
      </c>
      <c r="C78" s="51">
        <f>SUMIFS('Geneva investment position repo'!$AB:$AB,'Geneva investment position repo'!$T:$T,"Equity",'Geneva investment position repo'!$BQ:$BQ,'Sector Allocation'!$A78)</f>
        <v>0</v>
      </c>
      <c r="D78" s="182">
        <f t="shared" si="10"/>
        <v>2.6545295764389906E-2</v>
      </c>
      <c r="E78" s="182">
        <f t="shared" si="11"/>
        <v>0</v>
      </c>
      <c r="F78" s="182">
        <v>0</v>
      </c>
      <c r="G78" s="182">
        <v>0</v>
      </c>
      <c r="H78" s="27"/>
    </row>
    <row r="79" spans="1:8">
      <c r="A79" s="27" t="s">
        <v>915</v>
      </c>
      <c r="B79" s="51">
        <f>SUMIFS('Geneva investment position repo'!$AB:$AB,'Geneva investment position repo'!$T:$T,"Corp",'Geneva investment position repo'!$BQ:$BQ,'Sector Allocation'!$A79)+SUMIFS('Geneva investment position repo'!$AB:$AB,'Geneva investment position repo'!$T:$T,"Govt",'Geneva investment position repo'!$BQ:$BQ,'Sector Allocation'!$A79)</f>
        <v>2029888.5552115585</v>
      </c>
      <c r="C79" s="51">
        <f>SUMIFS('Geneva investment position repo'!$AB:$AB,'Geneva investment position repo'!$T:$T,"Equity",'Geneva investment position repo'!$BQ:$BQ,'Sector Allocation'!$A79)</f>
        <v>0</v>
      </c>
      <c r="D79" s="182">
        <f t="shared" ref="D79" si="12">B79/$B$82</f>
        <v>3.4229128659588209E-3</v>
      </c>
      <c r="E79" s="182">
        <f t="shared" ref="E79" si="13">C79/$B$82</f>
        <v>0</v>
      </c>
      <c r="F79" s="182">
        <v>0</v>
      </c>
      <c r="G79" s="182">
        <v>0</v>
      </c>
      <c r="H79" s="27"/>
    </row>
    <row r="80" spans="1:8">
      <c r="A80" s="27"/>
      <c r="B80" s="51"/>
      <c r="C80" s="51"/>
      <c r="D80" s="27"/>
      <c r="E80" s="27"/>
      <c r="F80" s="27"/>
      <c r="G80" s="27"/>
      <c r="H80" s="27"/>
    </row>
    <row r="81" spans="1:9">
      <c r="A81" s="27"/>
      <c r="B81" s="51">
        <f>SUM(B59:B79)</f>
        <v>543381923.49845171</v>
      </c>
      <c r="C81" s="51">
        <f>SUM(C59:C78)</f>
        <v>33525796.687306501</v>
      </c>
      <c r="D81" s="27"/>
      <c r="E81" s="27"/>
      <c r="F81" s="27"/>
      <c r="G81" s="27"/>
      <c r="H81" s="27"/>
    </row>
    <row r="82" spans="1:9">
      <c r="A82" s="27"/>
      <c r="B82" s="51">
        <f>'SFC Report'!C29</f>
        <v>593029572.96955597</v>
      </c>
      <c r="C82" s="51"/>
      <c r="D82" s="182">
        <f>SUM(D59:D79)</f>
        <v>0.91628132603489432</v>
      </c>
      <c r="E82" s="182">
        <f>SUM(E59:E79)</f>
        <v>5.653309415823618E-2</v>
      </c>
      <c r="F82" s="182">
        <v>0.84429124350452889</v>
      </c>
      <c r="G82" s="182">
        <v>6.098425670439598E-2</v>
      </c>
      <c r="H82" s="27"/>
    </row>
    <row r="83" spans="1:9">
      <c r="A83" s="27"/>
      <c r="B83" s="27"/>
      <c r="C83" s="27"/>
      <c r="D83" s="27"/>
      <c r="E83" s="27"/>
      <c r="F83" s="27"/>
      <c r="G83" s="27"/>
      <c r="H83" s="27"/>
    </row>
    <row r="84" spans="1:9">
      <c r="A84" s="183" t="s">
        <v>415</v>
      </c>
      <c r="B84" s="185">
        <f>B82-B81-'SFC Report'!C24-'SFC Report'!C19</f>
        <v>7048472.4355005473</v>
      </c>
      <c r="C84" s="185">
        <f>B82-C81-'SFC Report'!C24-'SFC Report'!C20</f>
        <v>0</v>
      </c>
      <c r="D84" s="182"/>
      <c r="E84" s="27"/>
      <c r="F84" s="27"/>
      <c r="G84" s="27"/>
      <c r="H84" s="27"/>
    </row>
    <row r="85" spans="1:9">
      <c r="A85" s="27"/>
      <c r="B85" s="27"/>
      <c r="C85" s="27"/>
      <c r="E85" s="27"/>
      <c r="F85" s="27"/>
      <c r="G85" s="27"/>
      <c r="H85" s="27"/>
    </row>
    <row r="86" spans="1:9">
      <c r="A86" s="27"/>
      <c r="B86" s="27"/>
      <c r="C86" s="27"/>
      <c r="D86" s="27"/>
      <c r="E86" s="27"/>
      <c r="F86" s="27"/>
      <c r="G86" s="27"/>
      <c r="H86" s="27"/>
    </row>
    <row r="87" spans="1:9">
      <c r="A87" s="110" t="s">
        <v>1001</v>
      </c>
      <c r="B87" s="27"/>
      <c r="C87" s="27"/>
      <c r="D87" s="27"/>
      <c r="E87" s="27"/>
      <c r="F87" s="27"/>
      <c r="G87" s="27"/>
      <c r="H87" s="27"/>
    </row>
    <row r="88" spans="1:9">
      <c r="A88" s="113" t="s">
        <v>1010</v>
      </c>
      <c r="B88" s="189" t="str">
        <f>B35</f>
        <v>Market Value (USD)</v>
      </c>
      <c r="C88" s="190">
        <f t="shared" ref="C88:D88" ca="1" si="14">C35</f>
        <v>43951</v>
      </c>
      <c r="D88" s="190">
        <f t="shared" ca="1" si="14"/>
        <v>43921</v>
      </c>
      <c r="E88" s="27"/>
      <c r="F88" s="27"/>
      <c r="G88" s="27"/>
      <c r="H88" s="27"/>
    </row>
    <row r="89" spans="1:9">
      <c r="A89" s="27"/>
      <c r="B89" s="27"/>
      <c r="C89" s="27"/>
      <c r="D89" s="27"/>
      <c r="E89" s="27"/>
      <c r="F89" s="27"/>
      <c r="G89" s="27"/>
      <c r="H89" s="27"/>
    </row>
    <row r="90" spans="1:9">
      <c r="A90" s="27" t="s">
        <v>1003</v>
      </c>
      <c r="B90" s="51">
        <f>SUMIFS('Geneva investment position repo'!$AB:$AB,'Geneva investment position repo'!$T:$T,"Corp",'Geneva investment position repo'!$BP:$BP,'Sector Allocation'!$A90)+SUMIFS('Geneva investment position repo'!$AB:$AB,'Geneva investment position repo'!$T:$T,"Govt",'Geneva investment position repo'!$BP:$BP,'Sector Allocation'!$A90)</f>
        <v>127547220.75464395</v>
      </c>
      <c r="C90" s="182">
        <f>B90/$B$100</f>
        <v>0.23172270589858326</v>
      </c>
      <c r="D90" s="182">
        <v>0.15040043534986552</v>
      </c>
      <c r="E90" s="27"/>
      <c r="F90" s="27"/>
      <c r="G90" s="27"/>
      <c r="H90" s="27"/>
      <c r="I90" t="s">
        <v>822</v>
      </c>
    </row>
    <row r="91" spans="1:9">
      <c r="A91" s="27" t="s">
        <v>1009</v>
      </c>
      <c r="B91" s="51">
        <f>SUMIFS('Geneva investment position repo'!$AB:$AB,'Geneva investment position repo'!$T:$T,"Corp",'Geneva investment position repo'!$BP:$BP,'Sector Allocation'!$A91)+SUMIFS('Geneva investment position repo'!$AB:$AB,'Geneva investment position repo'!$T:$T,"Govt",'Geneva investment position repo'!$BP:$BP,'Sector Allocation'!$A91)</f>
        <v>136771466.74148607</v>
      </c>
      <c r="C91" s="182">
        <f t="shared" ref="C91:C96" si="15">B91/$B$100</f>
        <v>0.24848094827578834</v>
      </c>
      <c r="D91" s="182">
        <v>0.24950200162991373</v>
      </c>
      <c r="E91" s="27"/>
      <c r="F91" s="27"/>
      <c r="G91" s="27"/>
      <c r="H91" s="27"/>
      <c r="I91" t="s">
        <v>822</v>
      </c>
    </row>
    <row r="92" spans="1:9">
      <c r="A92" s="27" t="s">
        <v>1006</v>
      </c>
      <c r="B92" s="51">
        <f>SUMIFS('Geneva investment position repo'!$AB:$AB,'Geneva investment position repo'!$T:$T,"Corp",'Geneva investment position repo'!$BP:$BP,'Sector Allocation'!$A92)+SUMIFS('Geneva investment position repo'!$AB:$AB,'Geneva investment position repo'!$T:$T,"Govt",'Geneva investment position repo'!$BP:$BP,'Sector Allocation'!$A92)</f>
        <v>89745275.962332293</v>
      </c>
      <c r="C92" s="182">
        <f t="shared" si="15"/>
        <v>0.16304563960363319</v>
      </c>
      <c r="D92" s="182">
        <v>0.1467994305656484</v>
      </c>
      <c r="E92" s="27"/>
      <c r="F92" s="27"/>
      <c r="G92" s="27"/>
      <c r="H92" s="27"/>
    </row>
    <row r="93" spans="1:9">
      <c r="A93" s="27" t="s">
        <v>1008</v>
      </c>
      <c r="B93" s="51">
        <f>SUMIFS('Geneva investment position repo'!$AB:$AB,'Geneva investment position repo'!$T:$T,"Corp",'Geneva investment position repo'!$BP:$BP,'Sector Allocation'!$A93)+SUMIFS('Geneva investment position repo'!$AB:$AB,'Geneva investment position repo'!$T:$T,"Govt",'Geneva investment position repo'!$BP:$BP,'Sector Allocation'!$A93)</f>
        <v>128511667.70639832</v>
      </c>
      <c r="C93" s="182">
        <f t="shared" si="15"/>
        <v>0.23347487467210809</v>
      </c>
      <c r="D93" s="182">
        <v>0.23569737514108646</v>
      </c>
      <c r="E93" s="27"/>
      <c r="F93" s="27"/>
      <c r="G93" s="27"/>
      <c r="H93" s="27"/>
    </row>
    <row r="94" spans="1:9">
      <c r="A94" s="27" t="s">
        <v>1007</v>
      </c>
      <c r="B94" s="51">
        <f>SUMIFS('Geneva investment position repo'!$AB:$AB,'Geneva investment position repo'!$T:$T,"Corp",'Geneva investment position repo'!$BP:$BP,'Sector Allocation'!$A94)+SUMIFS('Geneva investment position repo'!$AB:$AB,'Geneva investment position repo'!$T:$T,"Govt",'Geneva investment position repo'!$BP:$BP,'Sector Allocation'!$A94)</f>
        <v>22379111.07327142</v>
      </c>
      <c r="C94" s="182">
        <f t="shared" si="15"/>
        <v>4.0657476837374286E-2</v>
      </c>
      <c r="D94" s="182">
        <v>7.3560699100305937E-2</v>
      </c>
      <c r="E94" s="27"/>
      <c r="F94" s="27"/>
      <c r="G94" s="27"/>
      <c r="H94" s="27"/>
    </row>
    <row r="95" spans="1:9">
      <c r="A95" s="27" t="s">
        <v>1005</v>
      </c>
      <c r="B95" s="51">
        <f>SUMIFS('Geneva investment position repo'!$AB:$AB,'Geneva investment position repo'!$T:$T,"Corp",'Geneva investment position repo'!$BP:$BP,'Sector Allocation'!$A95)+SUMIFS('Geneva investment position repo'!$AB:$AB,'Geneva investment position repo'!$T:$T,"Govt",'Geneva investment position repo'!$BP:$BP,'Sector Allocation'!$A95)</f>
        <v>26639971.353199173</v>
      </c>
      <c r="C95" s="182">
        <f t="shared" si="15"/>
        <v>4.8398437931461515E-2</v>
      </c>
      <c r="D95" s="182">
        <v>3.8553776930145958E-2</v>
      </c>
      <c r="E95" s="27"/>
      <c r="F95" s="27"/>
      <c r="G95" s="27"/>
      <c r="H95" s="27"/>
    </row>
    <row r="96" spans="1:9">
      <c r="A96" s="27" t="s">
        <v>1004</v>
      </c>
      <c r="B96" s="51">
        <f>SUMIFS('Geneva investment position repo'!$AB:$AB,'Geneva investment position repo'!$T:$T,"Corp",'Geneva investment position repo'!$BP:$BP,'Sector Allocation'!$A96)+SUMIFS('Geneva investment position repo'!$AB:$AB,'Geneva investment position repo'!$T:$T,"Govt",'Geneva investment position repo'!$BP:$BP,'Sector Allocation'!$A96)</f>
        <v>18835682.342621259</v>
      </c>
      <c r="C96" s="182">
        <f t="shared" si="15"/>
        <v>3.4219916781051837E-2</v>
      </c>
      <c r="D96" s="182">
        <v>9.2492805855475063E-2</v>
      </c>
      <c r="E96" s="27"/>
      <c r="F96" s="27"/>
      <c r="G96" s="27"/>
      <c r="H96" s="27"/>
    </row>
    <row r="97" spans="1:8">
      <c r="A97" s="27"/>
      <c r="B97" s="27"/>
      <c r="C97" s="27"/>
      <c r="D97" s="27"/>
      <c r="E97" s="27"/>
      <c r="F97" s="27"/>
      <c r="G97" s="27"/>
      <c r="H97" s="27"/>
    </row>
    <row r="98" spans="1:8">
      <c r="A98" s="27"/>
      <c r="B98" s="27"/>
      <c r="C98" s="27"/>
      <c r="D98" s="27"/>
      <c r="E98" s="27"/>
      <c r="F98" s="27"/>
      <c r="G98" s="27"/>
      <c r="H98" s="27"/>
    </row>
    <row r="99" spans="1:8">
      <c r="A99" s="27"/>
      <c r="B99" s="14">
        <f>SUM(B90:B96)</f>
        <v>550430395.93395245</v>
      </c>
      <c r="C99" s="27"/>
      <c r="D99" s="27"/>
      <c r="E99" s="27"/>
      <c r="F99" s="27"/>
      <c r="G99" s="27"/>
      <c r="H99" s="27"/>
    </row>
    <row r="100" spans="1:8">
      <c r="A100" s="27"/>
      <c r="B100" s="51">
        <f>'SFC Report'!C20</f>
        <v>550430395.93395221</v>
      </c>
      <c r="C100" s="182">
        <f>SUM(C90:C96)</f>
        <v>1.0000000000000004</v>
      </c>
      <c r="D100" s="182">
        <v>0.98700652457244098</v>
      </c>
      <c r="E100" s="27"/>
      <c r="F100" s="27"/>
      <c r="G100" s="27"/>
      <c r="H100" s="27"/>
    </row>
    <row r="101" spans="1:8">
      <c r="A101" s="183" t="s">
        <v>415</v>
      </c>
      <c r="B101" s="185">
        <f>B99-B100</f>
        <v>0</v>
      </c>
      <c r="C101" s="183"/>
      <c r="D101" s="183"/>
      <c r="E101" s="27"/>
      <c r="F101" s="27"/>
      <c r="G101" s="27"/>
      <c r="H101" s="27"/>
    </row>
    <row r="102" spans="1:8">
      <c r="A102" s="27"/>
      <c r="B102" s="27"/>
      <c r="C102" s="27"/>
      <c r="D102" s="27"/>
      <c r="E102" s="27"/>
      <c r="F102" s="27"/>
      <c r="G102" s="27"/>
      <c r="H102" s="27"/>
    </row>
    <row r="103" spans="1:8">
      <c r="A103" s="27"/>
      <c r="B103" s="27"/>
      <c r="C103" s="27"/>
      <c r="D103" s="27"/>
      <c r="E103" s="27"/>
      <c r="F103" s="27"/>
      <c r="G103" s="27"/>
      <c r="H103" s="27"/>
    </row>
    <row r="104" spans="1:8">
      <c r="A104" s="27"/>
      <c r="B104" s="27"/>
      <c r="C104" s="27"/>
      <c r="D104" s="27"/>
      <c r="E104" s="27"/>
      <c r="F104" s="27"/>
      <c r="G104" s="27"/>
      <c r="H104" s="27"/>
    </row>
    <row r="105" spans="1:8">
      <c r="A105" s="27"/>
      <c r="B105" s="27"/>
      <c r="C105" s="27"/>
      <c r="D105" s="27"/>
      <c r="E105" s="27"/>
      <c r="F105" s="27"/>
      <c r="G105" s="27"/>
      <c r="H105" s="27"/>
    </row>
    <row r="106" spans="1:8">
      <c r="A106" s="27"/>
      <c r="B106" s="27"/>
      <c r="C106" s="27"/>
      <c r="D106" s="27"/>
      <c r="E106" s="27"/>
      <c r="F106" s="27"/>
      <c r="G106" s="27"/>
      <c r="H106" s="27"/>
    </row>
    <row r="107" spans="1:8">
      <c r="A107" s="27"/>
      <c r="B107" s="27"/>
      <c r="C107" s="27"/>
      <c r="D107" s="27"/>
      <c r="E107" s="27"/>
      <c r="F107" s="27"/>
      <c r="G107" s="27"/>
      <c r="H107" s="27"/>
    </row>
    <row r="108" spans="1:8">
      <c r="A108" s="27"/>
      <c r="B108" s="27"/>
      <c r="C108" s="27"/>
      <c r="D108" s="27"/>
      <c r="E108" s="27"/>
      <c r="F108" s="27"/>
      <c r="G108" s="27"/>
      <c r="H108" s="27"/>
    </row>
    <row r="109" spans="1:8">
      <c r="A109" s="27"/>
      <c r="B109" s="27"/>
      <c r="C109" s="27"/>
      <c r="D109" s="27"/>
      <c r="E109" s="27"/>
      <c r="F109" s="27"/>
      <c r="G109" s="27"/>
      <c r="H109" s="27"/>
    </row>
    <row r="110" spans="1:8">
      <c r="A110" s="27"/>
      <c r="B110" s="27"/>
      <c r="C110" s="27"/>
      <c r="D110" s="27"/>
      <c r="E110" s="27"/>
      <c r="F110" s="27"/>
      <c r="G110" s="27"/>
      <c r="H110" s="27"/>
    </row>
    <row r="111" spans="1:8">
      <c r="A111" s="27"/>
      <c r="B111" s="27"/>
      <c r="C111" s="27"/>
      <c r="D111" s="27"/>
      <c r="E111" s="27"/>
      <c r="F111" s="27"/>
      <c r="G111" s="27"/>
      <c r="H111" s="27"/>
    </row>
    <row r="112" spans="1:8">
      <c r="A112" s="27"/>
      <c r="B112" s="27"/>
      <c r="C112" s="27"/>
      <c r="D112" s="27"/>
      <c r="E112" s="27"/>
      <c r="F112" s="27"/>
      <c r="G112" s="27"/>
      <c r="H112" s="27"/>
    </row>
    <row r="113" spans="1:8">
      <c r="A113" s="27"/>
      <c r="B113" s="27"/>
      <c r="C113" s="27"/>
      <c r="D113" s="27"/>
      <c r="E113" s="27"/>
      <c r="F113" s="27"/>
      <c r="G113" s="27"/>
      <c r="H113" s="27"/>
    </row>
    <row r="114" spans="1:8" ht="15.6">
      <c r="A114" s="125"/>
      <c r="B114" s="246"/>
      <c r="C114" s="27"/>
      <c r="D114" s="27"/>
      <c r="E114" s="27"/>
      <c r="F114" s="27"/>
      <c r="G114" s="27"/>
      <c r="H114" s="27"/>
    </row>
    <row r="115" spans="1:8" ht="15.6">
      <c r="A115" s="125"/>
      <c r="B115" s="246"/>
      <c r="C115" s="27"/>
      <c r="D115" s="27"/>
      <c r="E115" s="27"/>
      <c r="F115" s="27"/>
      <c r="G115" s="27"/>
      <c r="H115" s="27"/>
    </row>
    <row r="116" spans="1:8" ht="15.6">
      <c r="A116" s="125"/>
      <c r="B116" s="247"/>
      <c r="C116" s="27"/>
      <c r="D116" s="27"/>
      <c r="E116" s="27"/>
      <c r="F116" s="27"/>
      <c r="G116" s="27"/>
      <c r="H116" s="27"/>
    </row>
    <row r="117" spans="1:8" ht="15.6">
      <c r="A117" s="125"/>
      <c r="B117" s="247"/>
      <c r="C117" s="27"/>
      <c r="D117" s="27"/>
      <c r="E117" s="27"/>
      <c r="F117" s="27"/>
      <c r="G117" s="27"/>
      <c r="H117" s="27"/>
    </row>
    <row r="118" spans="1:8">
      <c r="A118" s="141"/>
      <c r="B118" s="125"/>
    </row>
    <row r="119" spans="1:8" ht="15.6">
      <c r="A119" s="125"/>
      <c r="B119" s="247"/>
    </row>
    <row r="120" spans="1:8" ht="15.6">
      <c r="A120" s="125"/>
      <c r="B120" s="247"/>
    </row>
    <row r="121" spans="1:8" ht="15.6">
      <c r="A121" s="125"/>
      <c r="B121" s="247"/>
    </row>
    <row r="122" spans="1:8" ht="15.6">
      <c r="A122" s="125"/>
      <c r="B122" s="246"/>
    </row>
    <row r="123" spans="1:8" ht="15.6">
      <c r="A123" s="125"/>
      <c r="B123" s="247"/>
    </row>
    <row r="124" spans="1:8" ht="15.6">
      <c r="A124" s="125"/>
      <c r="B124" s="247"/>
    </row>
    <row r="125" spans="1:8" ht="15.6">
      <c r="A125" s="125"/>
      <c r="B125" s="247"/>
    </row>
    <row r="126" spans="1:8" ht="15.6">
      <c r="A126" s="125"/>
      <c r="B126" s="247"/>
    </row>
    <row r="127" spans="1:8" ht="15.6">
      <c r="A127" s="125"/>
      <c r="B127" s="247"/>
    </row>
    <row r="128" spans="1:8" ht="15.6">
      <c r="A128" s="125"/>
      <c r="B128" s="247"/>
    </row>
    <row r="129" spans="1:2" ht="15.6">
      <c r="A129" s="125"/>
      <c r="B129" s="246"/>
    </row>
    <row r="130" spans="1:2">
      <c r="A130" s="125"/>
      <c r="B130" s="125"/>
    </row>
    <row r="131" spans="1:2">
      <c r="A131" s="125"/>
      <c r="B131" s="125"/>
    </row>
    <row r="132" spans="1:2">
      <c r="A132" s="141"/>
      <c r="B132" s="125"/>
    </row>
    <row r="133" spans="1:2">
      <c r="A133" s="125"/>
      <c r="B133" s="125"/>
    </row>
  </sheetData>
  <sortState xmlns:xlrd2="http://schemas.microsoft.com/office/spreadsheetml/2017/richdata2" ref="B114:B128">
    <sortCondition ref="B114"/>
  </sortState>
  <mergeCells count="1">
    <mergeCell ref="B56:C56"/>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2C05D-C300-454F-84B5-C68B53B13D63}">
  <sheetPr codeName="Sheet10"/>
  <dimension ref="A3:K57"/>
  <sheetViews>
    <sheetView topLeftCell="A19" workbookViewId="0">
      <selection activeCell="D50" sqref="D50"/>
    </sheetView>
  </sheetViews>
  <sheetFormatPr defaultRowHeight="14.4"/>
  <cols>
    <col min="1" max="1" width="24.6640625" bestFit="1" customWidth="1"/>
    <col min="2" max="2" width="25.6640625" bestFit="1" customWidth="1"/>
    <col min="3" max="3" width="17" bestFit="1" customWidth="1"/>
    <col min="4" max="4" width="13.88671875" bestFit="1" customWidth="1"/>
    <col min="5" max="5" width="12.6640625" bestFit="1" customWidth="1"/>
    <col min="6" max="6" width="12.33203125" bestFit="1" customWidth="1"/>
    <col min="7" max="9" width="13.88671875" bestFit="1" customWidth="1"/>
    <col min="10" max="10" width="14.5546875" customWidth="1"/>
    <col min="11" max="11" width="15.5546875" customWidth="1"/>
  </cols>
  <sheetData>
    <row r="3" spans="1:11">
      <c r="A3" s="80" t="s">
        <v>495</v>
      </c>
      <c r="B3" s="80" t="s">
        <v>464</v>
      </c>
    </row>
    <row r="4" spans="1:11">
      <c r="A4" s="80" t="s">
        <v>464</v>
      </c>
      <c r="B4" s="11" t="s">
        <v>405</v>
      </c>
      <c r="C4" s="11" t="s">
        <v>414</v>
      </c>
      <c r="D4" s="11" t="s">
        <v>438</v>
      </c>
      <c r="E4" s="11" t="s">
        <v>235</v>
      </c>
      <c r="F4" s="11" t="s">
        <v>411</v>
      </c>
      <c r="G4" s="11" t="s">
        <v>494</v>
      </c>
    </row>
    <row r="5" spans="1:11">
      <c r="A5" s="81" t="s">
        <v>496</v>
      </c>
      <c r="B5" s="14"/>
      <c r="C5" s="14"/>
      <c r="D5" s="14">
        <v>8778796.0663647745</v>
      </c>
      <c r="E5" s="14"/>
      <c r="F5" s="14"/>
      <c r="G5" s="14">
        <v>8778796.0663647745</v>
      </c>
      <c r="J5" s="45">
        <f>D5+F5</f>
        <v>8778796.0663647745</v>
      </c>
      <c r="K5" s="1">
        <f>J5/$J$18</f>
        <v>1.759671418474227E-2</v>
      </c>
    </row>
    <row r="6" spans="1:11">
      <c r="A6" s="81" t="s">
        <v>405</v>
      </c>
      <c r="B6" s="14">
        <v>55215854.811575137</v>
      </c>
      <c r="C6" s="14"/>
      <c r="D6" s="14"/>
      <c r="E6" s="14"/>
      <c r="F6" s="14"/>
      <c r="G6" s="14">
        <v>55215854.811575137</v>
      </c>
      <c r="J6" s="45">
        <f t="shared" ref="J6:J18" si="0">D6+F6</f>
        <v>0</v>
      </c>
      <c r="K6" s="1">
        <f t="shared" ref="K6:K17" si="1">J6/$J$18</f>
        <v>0</v>
      </c>
    </row>
    <row r="7" spans="1:11">
      <c r="A7" s="81" t="s">
        <v>414</v>
      </c>
      <c r="B7" s="14"/>
      <c r="C7" s="14">
        <v>-9816737.2321347911</v>
      </c>
      <c r="D7" s="14"/>
      <c r="E7" s="14"/>
      <c r="F7" s="14"/>
      <c r="G7" s="14">
        <v>-9816737.2321347911</v>
      </c>
      <c r="J7" s="45">
        <f t="shared" si="0"/>
        <v>0</v>
      </c>
      <c r="K7" s="1">
        <f t="shared" si="1"/>
        <v>0</v>
      </c>
    </row>
    <row r="8" spans="1:11">
      <c r="A8" s="81" t="s">
        <v>497</v>
      </c>
      <c r="B8" s="14"/>
      <c r="C8" s="14"/>
      <c r="D8" s="14">
        <v>25587534.987292126</v>
      </c>
      <c r="E8" s="14">
        <v>8193426.7394305319</v>
      </c>
      <c r="F8" s="14"/>
      <c r="G8" s="14">
        <v>33780961.726722658</v>
      </c>
      <c r="J8" s="45">
        <f t="shared" si="0"/>
        <v>25587534.987292126</v>
      </c>
      <c r="K8" s="1">
        <f t="shared" si="1"/>
        <v>5.1289098921957293E-2</v>
      </c>
    </row>
    <row r="9" spans="1:11">
      <c r="A9" s="81" t="s">
        <v>498</v>
      </c>
      <c r="B9" s="14"/>
      <c r="C9" s="14"/>
      <c r="D9" s="14">
        <v>12470448.879513875</v>
      </c>
      <c r="E9" s="14"/>
      <c r="F9" s="14"/>
      <c r="G9" s="14">
        <v>12470448.879513875</v>
      </c>
      <c r="J9" s="45">
        <f t="shared" si="0"/>
        <v>12470448.879513875</v>
      </c>
      <c r="K9" s="1">
        <f t="shared" si="1"/>
        <v>2.4996471387347417E-2</v>
      </c>
    </row>
    <row r="10" spans="1:11">
      <c r="A10" s="81" t="s">
        <v>472</v>
      </c>
      <c r="B10" s="14"/>
      <c r="C10" s="14"/>
      <c r="D10" s="14">
        <v>25609771.712402109</v>
      </c>
      <c r="E10" s="14"/>
      <c r="F10" s="14"/>
      <c r="G10" s="14">
        <v>25609771.712402109</v>
      </c>
      <c r="J10" s="45">
        <f t="shared" si="0"/>
        <v>25609771.712402109</v>
      </c>
      <c r="K10" s="1">
        <f t="shared" si="1"/>
        <v>5.1333671468489529E-2</v>
      </c>
    </row>
    <row r="11" spans="1:11">
      <c r="A11" s="81" t="s">
        <v>433</v>
      </c>
      <c r="B11" s="14"/>
      <c r="C11" s="14"/>
      <c r="D11" s="14">
        <v>374917389.66598272</v>
      </c>
      <c r="E11" s="14">
        <v>15407980.646617901</v>
      </c>
      <c r="F11" s="14"/>
      <c r="G11" s="14">
        <v>390325370.31260061</v>
      </c>
      <c r="J11" s="45">
        <f t="shared" si="0"/>
        <v>374917389.66598272</v>
      </c>
      <c r="K11" s="1">
        <f t="shared" si="1"/>
        <v>0.75150557080588787</v>
      </c>
    </row>
    <row r="12" spans="1:11">
      <c r="A12" s="81" t="s">
        <v>499</v>
      </c>
      <c r="B12" s="14"/>
      <c r="C12" s="14"/>
      <c r="D12" s="14">
        <v>23547578.181161385</v>
      </c>
      <c r="E12" s="14">
        <v>2498558.2691488951</v>
      </c>
      <c r="F12" s="14"/>
      <c r="G12" s="14">
        <v>26046136.450310279</v>
      </c>
      <c r="J12" s="45">
        <f t="shared" si="0"/>
        <v>23547578.181161385</v>
      </c>
      <c r="K12" s="1">
        <f t="shared" si="1"/>
        <v>4.7200094393849285E-2</v>
      </c>
    </row>
    <row r="13" spans="1:11">
      <c r="A13" s="81" t="s">
        <v>475</v>
      </c>
      <c r="B13" s="14"/>
      <c r="C13" s="14"/>
      <c r="D13" s="14">
        <v>3253733.7513385192</v>
      </c>
      <c r="E13" s="14">
        <v>3563900.6076556877</v>
      </c>
      <c r="F13" s="14"/>
      <c r="G13" s="14">
        <v>6817634.3589942064</v>
      </c>
      <c r="J13" s="45">
        <f t="shared" si="0"/>
        <v>3253733.7513385192</v>
      </c>
      <c r="K13" s="1">
        <f t="shared" si="1"/>
        <v>6.5219675252419914E-3</v>
      </c>
    </row>
    <row r="14" spans="1:11">
      <c r="A14" s="81" t="s">
        <v>1103</v>
      </c>
      <c r="B14" s="14"/>
      <c r="C14" s="14"/>
      <c r="D14" s="14">
        <v>14457898.956277173</v>
      </c>
      <c r="E14" s="14">
        <v>706609.38447446167</v>
      </c>
      <c r="F14" s="14"/>
      <c r="G14" s="14">
        <v>15164508.340751635</v>
      </c>
      <c r="J14" s="45">
        <f t="shared" si="0"/>
        <v>14457898.956277173</v>
      </c>
      <c r="K14" s="1">
        <f t="shared" si="1"/>
        <v>2.8980228464384715E-2</v>
      </c>
    </row>
    <row r="15" spans="1:11">
      <c r="A15" s="81" t="s">
        <v>411</v>
      </c>
      <c r="B15" s="14"/>
      <c r="C15" s="14"/>
      <c r="D15" s="14"/>
      <c r="E15" s="14"/>
      <c r="F15" s="14">
        <v>1135818.3328817845</v>
      </c>
      <c r="G15" s="14">
        <v>1135818.3328817845</v>
      </c>
      <c r="J15" s="45">
        <f t="shared" si="0"/>
        <v>1135818.3328817845</v>
      </c>
      <c r="K15" s="1">
        <f t="shared" si="1"/>
        <v>2.2766983557219742E-3</v>
      </c>
    </row>
    <row r="16" spans="1:11">
      <c r="A16" s="81" t="s">
        <v>1475</v>
      </c>
      <c r="B16" s="14"/>
      <c r="C16" s="14"/>
      <c r="D16" s="14"/>
      <c r="E16" s="14">
        <v>901214.02123569557</v>
      </c>
      <c r="F16" s="14"/>
      <c r="G16" s="14">
        <v>901214.02123569557</v>
      </c>
      <c r="J16" s="45">
        <f t="shared" si="0"/>
        <v>0</v>
      </c>
      <c r="K16" s="1">
        <f t="shared" si="1"/>
        <v>0</v>
      </c>
    </row>
    <row r="17" spans="1:11">
      <c r="A17" s="81" t="s">
        <v>1476</v>
      </c>
      <c r="B17" s="14"/>
      <c r="C17" s="14"/>
      <c r="D17" s="14">
        <v>9129400</v>
      </c>
      <c r="E17" s="14"/>
      <c r="F17" s="14"/>
      <c r="G17" s="14">
        <v>9129400</v>
      </c>
      <c r="J17" s="45">
        <f t="shared" si="0"/>
        <v>9129400</v>
      </c>
      <c r="K17" s="1">
        <f t="shared" si="1"/>
        <v>1.8299484492377418E-2</v>
      </c>
    </row>
    <row r="18" spans="1:11">
      <c r="A18" s="81" t="s">
        <v>494</v>
      </c>
      <c r="B18" s="14">
        <v>55215854.811575137</v>
      </c>
      <c r="C18" s="14">
        <v>-9816737.2321347911</v>
      </c>
      <c r="D18" s="14">
        <v>497752552.20033276</v>
      </c>
      <c r="E18" s="14">
        <v>31271689.668563172</v>
      </c>
      <c r="F18" s="14">
        <v>1135818.3328817845</v>
      </c>
      <c r="G18" s="14">
        <v>575559177.78121805</v>
      </c>
      <c r="J18" s="45">
        <f t="shared" si="0"/>
        <v>498888370.53321457</v>
      </c>
      <c r="K18" s="1"/>
    </row>
    <row r="19" spans="1:11">
      <c r="J19" s="45"/>
      <c r="K19" s="1"/>
    </row>
    <row r="20" spans="1:11">
      <c r="A20" s="81"/>
      <c r="B20" s="14"/>
      <c r="C20" s="14"/>
      <c r="D20" s="14"/>
      <c r="E20" s="14"/>
      <c r="F20" s="14"/>
      <c r="G20" s="14"/>
      <c r="H20" s="14"/>
      <c r="I20" s="14"/>
      <c r="J20" s="45"/>
    </row>
    <row r="21" spans="1:11">
      <c r="A21" s="81"/>
      <c r="B21" s="14"/>
      <c r="C21" s="14"/>
      <c r="D21" s="14"/>
      <c r="E21" s="14"/>
      <c r="F21" s="14"/>
      <c r="G21" s="14"/>
      <c r="H21" s="14"/>
      <c r="I21" s="14"/>
      <c r="J21" s="45"/>
    </row>
    <row r="22" spans="1:11">
      <c r="A22" s="81"/>
      <c r="B22" s="14"/>
      <c r="C22" s="14"/>
      <c r="D22" s="14"/>
      <c r="E22" s="14"/>
      <c r="F22" s="14"/>
      <c r="G22" s="14"/>
      <c r="H22" s="14"/>
      <c r="J22" s="45"/>
    </row>
    <row r="23" spans="1:11">
      <c r="A23" s="80" t="s">
        <v>321</v>
      </c>
      <c r="B23" t="s">
        <v>438</v>
      </c>
      <c r="C23" s="14"/>
      <c r="D23" s="14"/>
      <c r="E23" s="14"/>
      <c r="F23" s="14"/>
      <c r="G23" s="14"/>
      <c r="H23" s="14"/>
    </row>
    <row r="24" spans="1:11">
      <c r="A24" s="80" t="s">
        <v>322</v>
      </c>
      <c r="B24" t="s">
        <v>505</v>
      </c>
    </row>
    <row r="26" spans="1:11">
      <c r="A26" s="80" t="s">
        <v>509</v>
      </c>
      <c r="B26" s="11" t="s">
        <v>495</v>
      </c>
      <c r="C26" t="s">
        <v>509</v>
      </c>
      <c r="D26" s="138">
        <f ca="1">'SFC Report'!B13</f>
        <v>43951</v>
      </c>
      <c r="E26" s="138">
        <f ca="1">EOMONTH('SFC Report'!B13,-1)-1</f>
        <v>43920</v>
      </c>
      <c r="F26" t="s">
        <v>509</v>
      </c>
      <c r="G26" s="138">
        <f ca="1">E26</f>
        <v>43920</v>
      </c>
    </row>
    <row r="27" spans="1:11">
      <c r="A27" s="81" t="s">
        <v>474</v>
      </c>
      <c r="B27" s="1">
        <v>0.54087019826897054</v>
      </c>
      <c r="C27" t="s">
        <v>474</v>
      </c>
      <c r="D27" s="1">
        <v>0.54087019826897054</v>
      </c>
      <c r="E27" s="1">
        <f>IF(ISNA(VLOOKUP(C27,$F$27:$G$51,2,0)),0,VLOOKUP(C27,$F$27:$G$51,2,0))</f>
        <v>0.56186519207432384</v>
      </c>
      <c r="F27" s="167" t="s">
        <v>474</v>
      </c>
      <c r="G27" s="252">
        <v>0.56186519207432384</v>
      </c>
      <c r="H27" s="249">
        <f>VLOOKUP(F27,$C$27:$D$54,2,0)</f>
        <v>0.54087019826897054</v>
      </c>
    </row>
    <row r="28" spans="1:11">
      <c r="A28" s="81" t="s">
        <v>507</v>
      </c>
      <c r="B28" s="1">
        <v>0.12145531075203754</v>
      </c>
      <c r="C28" t="s">
        <v>507</v>
      </c>
      <c r="D28" s="1">
        <v>0.12145531075203754</v>
      </c>
      <c r="E28" s="1">
        <f t="shared" ref="E28:E47" si="2">IF(ISNA(VLOOKUP(C28,$F$27:$G$51,2,0)),0,VLOOKUP(C28,$F$27:$G$51,2,0))</f>
        <v>0.11788124411532086</v>
      </c>
      <c r="F28" s="167" t="s">
        <v>507</v>
      </c>
      <c r="G28" s="252">
        <v>0.11788124411532086</v>
      </c>
      <c r="H28" s="249">
        <f t="shared" ref="H28:H47" si="3">VLOOKUP(F28,$C$27:$D$51,2,0)</f>
        <v>0.12145531075203754</v>
      </c>
    </row>
    <row r="29" spans="1:11">
      <c r="A29" s="81" t="s">
        <v>503</v>
      </c>
      <c r="B29" s="1">
        <v>5.190857728562321E-2</v>
      </c>
      <c r="C29" t="s">
        <v>503</v>
      </c>
      <c r="D29" s="1">
        <v>5.190857728562321E-2</v>
      </c>
      <c r="E29" s="1">
        <f t="shared" si="2"/>
        <v>4.156845526401319E-2</v>
      </c>
      <c r="F29" s="167" t="s">
        <v>512</v>
      </c>
      <c r="G29" s="252">
        <v>4.5298470478262104E-2</v>
      </c>
      <c r="H29" s="249">
        <f t="shared" si="3"/>
        <v>4.1437743769938244E-2</v>
      </c>
    </row>
    <row r="30" spans="1:11">
      <c r="A30" s="81" t="s">
        <v>512</v>
      </c>
      <c r="B30" s="1">
        <v>4.1437743769938244E-2</v>
      </c>
      <c r="C30" t="s">
        <v>512</v>
      </c>
      <c r="D30" s="1">
        <v>4.1437743769938244E-2</v>
      </c>
      <c r="E30" s="1">
        <f t="shared" si="2"/>
        <v>4.5298470478262104E-2</v>
      </c>
      <c r="F30" s="167" t="s">
        <v>503</v>
      </c>
      <c r="G30" s="252">
        <v>4.156845526401319E-2</v>
      </c>
      <c r="H30" s="249">
        <f t="shared" si="3"/>
        <v>5.190857728562321E-2</v>
      </c>
    </row>
    <row r="31" spans="1:11">
      <c r="A31" s="81" t="s">
        <v>508</v>
      </c>
      <c r="B31" s="1">
        <v>3.4897295668974773E-2</v>
      </c>
      <c r="C31" t="s">
        <v>508</v>
      </c>
      <c r="D31" s="1">
        <v>3.4897295668974773E-2</v>
      </c>
      <c r="E31" s="1">
        <f t="shared" si="2"/>
        <v>3.1905535058767399E-2</v>
      </c>
      <c r="F31" s="167" t="s">
        <v>508</v>
      </c>
      <c r="G31" s="252">
        <v>3.1905535058767399E-2</v>
      </c>
      <c r="H31" s="249">
        <f t="shared" si="3"/>
        <v>3.4897295668974773E-2</v>
      </c>
    </row>
    <row r="32" spans="1:11">
      <c r="A32" s="81" t="s">
        <v>2032</v>
      </c>
      <c r="B32" s="1">
        <v>3.2909600945042645E-2</v>
      </c>
      <c r="C32" t="s">
        <v>2032</v>
      </c>
      <c r="D32" s="1">
        <v>3.2909600945042645E-2</v>
      </c>
      <c r="E32" s="1">
        <f t="shared" si="2"/>
        <v>0</v>
      </c>
      <c r="F32" s="167" t="s">
        <v>1194</v>
      </c>
      <c r="G32" s="252">
        <v>2.9046358260476048E-2</v>
      </c>
      <c r="H32" s="249">
        <f t="shared" si="3"/>
        <v>2.6155914433911614E-2</v>
      </c>
    </row>
    <row r="33" spans="1:8">
      <c r="A33" s="81" t="s">
        <v>1284</v>
      </c>
      <c r="B33" s="1">
        <v>2.7655102005904153E-2</v>
      </c>
      <c r="C33" t="s">
        <v>1284</v>
      </c>
      <c r="D33" s="1">
        <v>2.7655102005904153E-2</v>
      </c>
      <c r="E33" s="1">
        <f t="shared" si="2"/>
        <v>2.8989473098245035E-2</v>
      </c>
      <c r="F33" s="167" t="s">
        <v>1284</v>
      </c>
      <c r="G33" s="252">
        <v>2.8989473098245035E-2</v>
      </c>
      <c r="H33" s="249">
        <f>VLOOKUP(F33,$C$27:$D$51,2,0)</f>
        <v>2.7655102005904153E-2</v>
      </c>
    </row>
    <row r="34" spans="1:8">
      <c r="A34" s="81" t="s">
        <v>1194</v>
      </c>
      <c r="B34" s="1">
        <v>2.6155914433911614E-2</v>
      </c>
      <c r="C34" t="s">
        <v>1194</v>
      </c>
      <c r="D34" s="1">
        <v>2.6155914433911614E-2</v>
      </c>
      <c r="E34" s="1">
        <f t="shared" si="2"/>
        <v>2.9046358260476048E-2</v>
      </c>
      <c r="F34" s="167" t="s">
        <v>513</v>
      </c>
      <c r="G34" s="252">
        <v>2.2416662087162899E-2</v>
      </c>
      <c r="H34" s="249">
        <f t="shared" si="3"/>
        <v>2.0896336194932037E-2</v>
      </c>
    </row>
    <row r="35" spans="1:8">
      <c r="A35" s="81" t="s">
        <v>513</v>
      </c>
      <c r="B35" s="1">
        <v>2.0896336194932037E-2</v>
      </c>
      <c r="C35" t="s">
        <v>513</v>
      </c>
      <c r="D35" s="1">
        <v>2.0896336194932037E-2</v>
      </c>
      <c r="E35" s="1">
        <f t="shared" si="2"/>
        <v>2.2416662087162899E-2</v>
      </c>
      <c r="F35" s="167" t="s">
        <v>501</v>
      </c>
      <c r="G35" s="252">
        <v>2.1433356218925163E-2</v>
      </c>
      <c r="H35" s="249">
        <f t="shared" si="3"/>
        <v>1.3157984296786799E-2</v>
      </c>
    </row>
    <row r="36" spans="1:8">
      <c r="A36" s="81" t="s">
        <v>516</v>
      </c>
      <c r="B36" s="1">
        <v>1.8767132565649724E-2</v>
      </c>
      <c r="C36" t="s">
        <v>516</v>
      </c>
      <c r="D36" s="1">
        <v>1.8767132565649724E-2</v>
      </c>
      <c r="E36" s="1">
        <f t="shared" si="2"/>
        <v>2.0400400466011551E-2</v>
      </c>
      <c r="F36" s="167" t="s">
        <v>516</v>
      </c>
      <c r="G36" s="252">
        <v>2.0400400466011551E-2</v>
      </c>
      <c r="H36" s="249">
        <f t="shared" si="3"/>
        <v>1.8767132565649724E-2</v>
      </c>
    </row>
    <row r="37" spans="1:8">
      <c r="A37" s="81" t="s">
        <v>502</v>
      </c>
      <c r="B37" s="1">
        <v>1.4997240438540806E-2</v>
      </c>
      <c r="C37" t="s">
        <v>502</v>
      </c>
      <c r="D37" s="1">
        <v>1.4997240438540806E-2</v>
      </c>
      <c r="E37" s="1">
        <f t="shared" si="2"/>
        <v>1.6410449928154075E-2</v>
      </c>
      <c r="F37" s="167" t="s">
        <v>1913</v>
      </c>
      <c r="G37" s="252">
        <v>1.8341241967807426E-2</v>
      </c>
      <c r="H37" s="249">
        <f t="shared" si="3"/>
        <v>7.7839667901306118E-3</v>
      </c>
    </row>
    <row r="38" spans="1:8">
      <c r="A38" s="81" t="s">
        <v>515</v>
      </c>
      <c r="B38" s="1">
        <v>1.4227592437000145E-2</v>
      </c>
      <c r="C38" t="s">
        <v>515</v>
      </c>
      <c r="D38" s="1">
        <v>1.4227592437000145E-2</v>
      </c>
      <c r="E38" s="1">
        <f t="shared" si="2"/>
        <v>5.9004798170793704E-3</v>
      </c>
      <c r="F38" s="167" t="s">
        <v>806</v>
      </c>
      <c r="G38" s="252">
        <v>1.7636868013147889E-2</v>
      </c>
      <c r="H38" s="249">
        <f>VLOOKUP(F38,$C$27:$D$51,2,0)</f>
        <v>1.3804911127987393E-2</v>
      </c>
    </row>
    <row r="39" spans="1:8">
      <c r="A39" s="81" t="s">
        <v>806</v>
      </c>
      <c r="B39" s="1">
        <v>1.3804911127987393E-2</v>
      </c>
      <c r="C39" t="s">
        <v>806</v>
      </c>
      <c r="D39" s="1">
        <v>1.3804911127987393E-2</v>
      </c>
      <c r="E39" s="1">
        <f t="shared" si="2"/>
        <v>1.7636868013147889E-2</v>
      </c>
      <c r="F39" s="167" t="s">
        <v>502</v>
      </c>
      <c r="G39" s="252">
        <v>1.6410449928154075E-2</v>
      </c>
      <c r="H39" s="249">
        <f t="shared" si="3"/>
        <v>1.4997240438540806E-2</v>
      </c>
    </row>
    <row r="40" spans="1:8">
      <c r="A40" s="81" t="s">
        <v>501</v>
      </c>
      <c r="B40" s="1">
        <v>1.3157984296786799E-2</v>
      </c>
      <c r="C40" t="s">
        <v>501</v>
      </c>
      <c r="D40" s="1">
        <v>1.3157984296786799E-2</v>
      </c>
      <c r="E40" s="1">
        <f t="shared" si="2"/>
        <v>2.1433356218925163E-2</v>
      </c>
      <c r="F40" s="167" t="s">
        <v>1914</v>
      </c>
      <c r="G40" s="252">
        <v>8.5246619093163976E-3</v>
      </c>
      <c r="H40" s="249">
        <f t="shared" si="3"/>
        <v>9.2599896817111178E-3</v>
      </c>
    </row>
    <row r="41" spans="1:8">
      <c r="A41" s="81" t="s">
        <v>1914</v>
      </c>
      <c r="B41" s="1">
        <v>9.2599896817111178E-3</v>
      </c>
      <c r="C41" t="s">
        <v>1914</v>
      </c>
      <c r="D41" s="1">
        <v>9.2599896817111178E-3</v>
      </c>
      <c r="E41" s="1">
        <f t="shared" si="2"/>
        <v>8.5246619093163976E-3</v>
      </c>
      <c r="F41" s="167" t="s">
        <v>511</v>
      </c>
      <c r="G41" s="252">
        <v>6.5368499607993446E-3</v>
      </c>
      <c r="H41" s="249">
        <f t="shared" si="3"/>
        <v>1.6800101971600153E-3</v>
      </c>
    </row>
    <row r="42" spans="1:8">
      <c r="A42" s="81" t="s">
        <v>1913</v>
      </c>
      <c r="B42" s="1">
        <v>7.7839667901306118E-3</v>
      </c>
      <c r="C42" t="s">
        <v>1913</v>
      </c>
      <c r="D42" s="1">
        <v>7.7839667901306118E-3</v>
      </c>
      <c r="E42" s="1">
        <f t="shared" si="2"/>
        <v>1.8341241967807426E-2</v>
      </c>
      <c r="F42" s="167" t="s">
        <v>515</v>
      </c>
      <c r="G42" s="252">
        <v>5.9004798170793704E-3</v>
      </c>
      <c r="H42" s="249">
        <f t="shared" si="3"/>
        <v>1.4227592437000145E-2</v>
      </c>
    </row>
    <row r="43" spans="1:8">
      <c r="A43" s="81" t="s">
        <v>504</v>
      </c>
      <c r="B43" s="1">
        <v>4.0119190992821763E-3</v>
      </c>
      <c r="C43" t="s">
        <v>504</v>
      </c>
      <c r="D43" s="1">
        <v>4.0119190992821763E-3</v>
      </c>
      <c r="E43" s="1">
        <f t="shared" si="2"/>
        <v>3.7165729397300278E-3</v>
      </c>
      <c r="F43" s="167" t="s">
        <v>504</v>
      </c>
      <c r="G43" s="252">
        <v>3.7165729397300278E-3</v>
      </c>
      <c r="H43" s="249">
        <f t="shared" si="3"/>
        <v>4.0119190992821763E-3</v>
      </c>
    </row>
    <row r="44" spans="1:8">
      <c r="A44" s="81" t="s">
        <v>2033</v>
      </c>
      <c r="B44" s="1">
        <v>2.2436435298006925E-3</v>
      </c>
      <c r="C44" t="s">
        <v>2033</v>
      </c>
      <c r="D44" s="1">
        <v>2.2436435298006925E-3</v>
      </c>
      <c r="E44" s="1">
        <f t="shared" si="2"/>
        <v>0</v>
      </c>
      <c r="F44" s="167" t="s">
        <v>514</v>
      </c>
      <c r="G44" s="252">
        <v>2.0093295060242232E-3</v>
      </c>
      <c r="H44" s="249">
        <f>VLOOKUP(F44,$C$27:$D$51,2,0)</f>
        <v>1.8793768561587427E-3</v>
      </c>
    </row>
    <row r="45" spans="1:8">
      <c r="A45" s="81" t="s">
        <v>514</v>
      </c>
      <c r="B45" s="1">
        <v>1.8793768561587427E-3</v>
      </c>
      <c r="C45" t="s">
        <v>514</v>
      </c>
      <c r="D45" s="1">
        <v>1.8793768561587427E-3</v>
      </c>
      <c r="E45" s="1">
        <f t="shared" si="2"/>
        <v>2.0093295060242232E-3</v>
      </c>
      <c r="F45" s="167" t="s">
        <v>517</v>
      </c>
      <c r="G45" s="252">
        <v>1.1839883643328552E-4</v>
      </c>
      <c r="H45" s="249" t="e">
        <f t="shared" si="3"/>
        <v>#N/A</v>
      </c>
    </row>
    <row r="46" spans="1:8">
      <c r="A46" s="81" t="s">
        <v>511</v>
      </c>
      <c r="B46" s="1">
        <v>1.6800101971600153E-3</v>
      </c>
      <c r="C46" t="s">
        <v>511</v>
      </c>
      <c r="D46" s="1">
        <v>1.6800101971600153E-3</v>
      </c>
      <c r="E46" s="1">
        <f t="shared" si="2"/>
        <v>6.5368499607993446E-3</v>
      </c>
      <c r="F46" s="167"/>
      <c r="G46" s="252"/>
      <c r="H46" s="249" t="e">
        <f t="shared" si="3"/>
        <v>#N/A</v>
      </c>
    </row>
    <row r="47" spans="1:8">
      <c r="A47" s="81" t="s">
        <v>2034</v>
      </c>
      <c r="B47" s="1">
        <v>1.5365445688568393E-7</v>
      </c>
      <c r="C47" t="s">
        <v>2034</v>
      </c>
      <c r="D47" s="1">
        <v>1.5365445688568393E-7</v>
      </c>
      <c r="E47" s="1">
        <f t="shared" si="2"/>
        <v>0</v>
      </c>
      <c r="F47" s="167"/>
      <c r="G47" s="252"/>
      <c r="H47" s="249" t="e">
        <f t="shared" si="3"/>
        <v>#N/A</v>
      </c>
    </row>
    <row r="48" spans="1:8">
      <c r="A48" s="81" t="s">
        <v>494</v>
      </c>
      <c r="B48" s="1">
        <v>1</v>
      </c>
      <c r="D48" s="1"/>
      <c r="E48" s="1"/>
      <c r="F48" s="167"/>
      <c r="G48" s="252"/>
      <c r="H48" s="249"/>
    </row>
    <row r="49" spans="3:8">
      <c r="D49" s="1"/>
      <c r="E49" s="1"/>
      <c r="F49" s="167"/>
      <c r="G49" s="252"/>
      <c r="H49" s="249"/>
    </row>
    <row r="50" spans="3:8">
      <c r="C50" s="167"/>
      <c r="D50" s="168"/>
      <c r="E50" s="1"/>
      <c r="G50" s="1"/>
      <c r="H50" s="75"/>
    </row>
    <row r="51" spans="3:8">
      <c r="C51" s="141"/>
      <c r="D51" s="142"/>
      <c r="E51" s="1"/>
      <c r="F51" s="45"/>
      <c r="G51" s="1"/>
      <c r="H51" s="1"/>
    </row>
    <row r="52" spans="3:8">
      <c r="D52" s="1"/>
      <c r="E52" s="1"/>
      <c r="F52" s="45"/>
      <c r="G52" s="1"/>
    </row>
    <row r="53" spans="3:8">
      <c r="D53" s="1"/>
      <c r="E53" s="1"/>
      <c r="F53" s="45"/>
    </row>
    <row r="54" spans="3:8">
      <c r="D54" s="1"/>
      <c r="E54" s="1"/>
    </row>
    <row r="57" spans="3:8">
      <c r="C57" s="80"/>
      <c r="D57" s="80"/>
      <c r="E57" s="80"/>
      <c r="F57" s="80"/>
      <c r="G57" s="80"/>
      <c r="H57" s="80"/>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64911-0DBF-4F33-8E67-856C080B09D2}">
  <dimension ref="A3:D31"/>
  <sheetViews>
    <sheetView workbookViewId="0">
      <selection activeCell="B29" sqref="B29"/>
    </sheetView>
  </sheetViews>
  <sheetFormatPr defaultRowHeight="14.4"/>
  <cols>
    <col min="1" max="1" width="23.33203125" bestFit="1" customWidth="1"/>
    <col min="2" max="2" width="25.6640625" bestFit="1" customWidth="1"/>
  </cols>
  <sheetData>
    <row r="3" spans="1:4">
      <c r="A3" s="80" t="s">
        <v>763</v>
      </c>
      <c r="B3" t="s">
        <v>495</v>
      </c>
    </row>
    <row r="4" spans="1:4">
      <c r="A4" s="81" t="s">
        <v>394</v>
      </c>
      <c r="B4" s="240">
        <v>5157326.3885125984</v>
      </c>
      <c r="D4" s="1">
        <f>B4/$B$22</f>
        <v>8.9605493016271607E-3</v>
      </c>
    </row>
    <row r="5" spans="1:4">
      <c r="A5" s="81" t="s">
        <v>386</v>
      </c>
      <c r="B5" s="240">
        <v>23963334.642824896</v>
      </c>
      <c r="D5" s="1">
        <f t="shared" ref="D5:D21" si="0">B5/$B$22</f>
        <v>4.1634875383628832E-2</v>
      </c>
    </row>
    <row r="6" spans="1:4">
      <c r="A6" s="81" t="s">
        <v>391</v>
      </c>
      <c r="B6" s="240">
        <v>5275516.6660215966</v>
      </c>
      <c r="D6" s="1">
        <f t="shared" si="0"/>
        <v>9.1658979122854461E-3</v>
      </c>
    </row>
    <row r="7" spans="1:4">
      <c r="A7" s="81" t="s">
        <v>405</v>
      </c>
      <c r="B7" s="240">
        <v>55215854.811575137</v>
      </c>
      <c r="D7" s="1">
        <f t="shared" si="0"/>
        <v>9.5934279120406626E-2</v>
      </c>
    </row>
    <row r="8" spans="1:4">
      <c r="A8" s="81" t="s">
        <v>414</v>
      </c>
      <c r="B8" s="240">
        <v>-9816737.2321347911</v>
      </c>
      <c r="D8" s="1">
        <f t="shared" si="0"/>
        <v>-1.7055999819129513E-2</v>
      </c>
    </row>
    <row r="9" spans="1:4">
      <c r="A9" s="81" t="s">
        <v>377</v>
      </c>
      <c r="B9" s="240">
        <v>386097176.0292089</v>
      </c>
      <c r="D9" s="1">
        <f t="shared" si="0"/>
        <v>0.67082098754399888</v>
      </c>
    </row>
    <row r="10" spans="1:4">
      <c r="A10" s="81" t="s">
        <v>379</v>
      </c>
      <c r="B10" s="240">
        <v>3192000</v>
      </c>
      <c r="D10" s="1">
        <f t="shared" si="0"/>
        <v>5.5459110430749557E-3</v>
      </c>
    </row>
    <row r="11" spans="1:4">
      <c r="A11" s="81" t="s">
        <v>383</v>
      </c>
      <c r="B11" s="240">
        <v>40678408.953567877</v>
      </c>
      <c r="D11" s="1">
        <f t="shared" si="0"/>
        <v>7.0676327515761667E-2</v>
      </c>
    </row>
    <row r="12" spans="1:4">
      <c r="A12" s="81" t="s">
        <v>427</v>
      </c>
      <c r="B12" s="240">
        <v>5843041.9308227217</v>
      </c>
      <c r="D12" s="1">
        <f t="shared" si="0"/>
        <v>1.0151939464066334E-2</v>
      </c>
    </row>
    <row r="13" spans="1:4">
      <c r="A13" s="81" t="s">
        <v>388</v>
      </c>
      <c r="B13" s="240">
        <v>10588529.279715136</v>
      </c>
      <c r="D13" s="1">
        <f t="shared" si="0"/>
        <v>1.8396942814002091E-2</v>
      </c>
    </row>
    <row r="14" spans="1:4">
      <c r="A14" s="81" t="s">
        <v>429</v>
      </c>
      <c r="B14" s="240">
        <v>9241817.7123247031</v>
      </c>
      <c r="D14" s="1">
        <f t="shared" si="0"/>
        <v>1.60571111869885E-2</v>
      </c>
    </row>
    <row r="15" spans="1:4">
      <c r="A15" s="81" t="s">
        <v>780</v>
      </c>
      <c r="B15" s="240">
        <v>4540670.0003870418</v>
      </c>
      <c r="D15" s="1">
        <f t="shared" si="0"/>
        <v>7.8891453314867341E-3</v>
      </c>
    </row>
    <row r="16" spans="1:4">
      <c r="A16" s="81" t="s">
        <v>396</v>
      </c>
      <c r="B16" s="240">
        <v>10061124.166892441</v>
      </c>
      <c r="D16" s="1">
        <f t="shared" si="0"/>
        <v>1.7480607651289819E-2</v>
      </c>
    </row>
    <row r="17" spans="1:4">
      <c r="A17" s="81" t="s">
        <v>762</v>
      </c>
      <c r="B17" s="240">
        <v>2098782.2231683247</v>
      </c>
      <c r="D17" s="1">
        <f t="shared" si="0"/>
        <v>3.6465098710772611E-3</v>
      </c>
    </row>
    <row r="18" spans="1:4">
      <c r="A18" s="81" t="s">
        <v>424</v>
      </c>
      <c r="B18" s="240">
        <v>3143883.3326882636</v>
      </c>
      <c r="D18" s="1">
        <f t="shared" si="0"/>
        <v>5.4623111819846913E-3</v>
      </c>
    </row>
    <row r="19" spans="1:4">
      <c r="A19" s="81" t="s">
        <v>381</v>
      </c>
      <c r="B19" s="240">
        <v>1750.0019352091961</v>
      </c>
      <c r="D19" s="1">
        <f t="shared" si="0"/>
        <v>3.0405247675060222E-6</v>
      </c>
    </row>
    <row r="20" spans="1:4">
      <c r="A20" s="81" t="s">
        <v>400</v>
      </c>
      <c r="B20" s="240">
        <v>19140880.540826462</v>
      </c>
      <c r="D20" s="1">
        <f t="shared" si="0"/>
        <v>3.3256146856374687E-2</v>
      </c>
    </row>
    <row r="21" spans="1:4">
      <c r="A21" s="81" t="s">
        <v>1473</v>
      </c>
      <c r="B21" s="240">
        <v>1135818.3328817845</v>
      </c>
      <c r="D21" s="1">
        <f t="shared" si="0"/>
        <v>1.973417116308294E-3</v>
      </c>
    </row>
    <row r="22" spans="1:4">
      <c r="A22" s="81" t="s">
        <v>494</v>
      </c>
      <c r="B22" s="240">
        <v>575559177.78121829</v>
      </c>
      <c r="D22" s="1"/>
    </row>
    <row r="23" spans="1:4">
      <c r="D23" s="1"/>
    </row>
    <row r="24" spans="1:4">
      <c r="D24" s="1"/>
    </row>
    <row r="25" spans="1:4">
      <c r="D25" s="1"/>
    </row>
    <row r="26" spans="1:4">
      <c r="D26" s="1"/>
    </row>
    <row r="27" spans="1:4">
      <c r="D27" s="1"/>
    </row>
    <row r="28" spans="1:4">
      <c r="D28" s="1"/>
    </row>
    <row r="29" spans="1:4">
      <c r="D29" s="1"/>
    </row>
    <row r="30" spans="1:4">
      <c r="D30" s="1"/>
    </row>
    <row r="31" spans="1:4">
      <c r="D31"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filterMode="1">
    <tabColor rgb="FFC00000"/>
  </sheetPr>
  <dimension ref="A1:BU261"/>
  <sheetViews>
    <sheetView topLeftCell="T7" workbookViewId="0">
      <selection activeCell="AS27" sqref="AS27"/>
    </sheetView>
  </sheetViews>
  <sheetFormatPr defaultRowHeight="14.4"/>
  <cols>
    <col min="1" max="1" width="12.33203125" customWidth="1"/>
    <col min="2" max="2" width="19.88671875" customWidth="1"/>
    <col min="3" max="3" width="27.44140625" customWidth="1"/>
    <col min="4" max="4" width="18.88671875" bestFit="1" customWidth="1"/>
    <col min="5" max="5" width="14.109375" customWidth="1"/>
    <col min="6" max="6" width="32.44140625" customWidth="1"/>
    <col min="7" max="7" width="18.6640625" customWidth="1"/>
    <col min="8" max="8" width="16.33203125" style="5" bestFit="1" customWidth="1"/>
    <col min="9" max="9" width="9.33203125" style="5" bestFit="1" customWidth="1"/>
    <col min="10" max="10" width="16.33203125" style="5" bestFit="1" customWidth="1"/>
    <col min="11" max="11" width="17.44140625" style="5" bestFit="1" customWidth="1"/>
    <col min="12" max="12" width="16.33203125" style="5" bestFit="1" customWidth="1"/>
    <col min="13" max="13" width="16.88671875" style="5" bestFit="1" customWidth="1"/>
    <col min="14" max="14" width="17.44140625" style="5" bestFit="1" customWidth="1"/>
    <col min="16" max="16" width="11.44140625" customWidth="1"/>
    <col min="17" max="17" width="14.5546875" customWidth="1"/>
    <col min="18" max="19" width="16.44140625" customWidth="1"/>
    <col min="20" max="20" width="16" bestFit="1" customWidth="1"/>
    <col min="21" max="21" width="22.33203125" customWidth="1"/>
    <col min="22" max="23" width="19.33203125" customWidth="1"/>
    <col min="24" max="24" width="19.5546875" bestFit="1" customWidth="1"/>
    <col min="25" max="25" width="24.88671875" customWidth="1"/>
    <col min="26" max="27" width="19.5546875" customWidth="1"/>
    <col min="28" max="28" width="21.109375" bestFit="1" customWidth="1"/>
    <col min="29" max="29" width="24.5546875" bestFit="1" customWidth="1"/>
    <col min="30" max="37" width="24.5546875" customWidth="1"/>
    <col min="38" max="38" width="19.88671875" customWidth="1"/>
    <col min="39" max="54" width="24.5546875" customWidth="1"/>
    <col min="55" max="55" width="15.44140625" style="5" bestFit="1" customWidth="1"/>
    <col min="56" max="56" width="14.33203125" bestFit="1" customWidth="1"/>
    <col min="57" max="57" width="19.44140625" style="5" bestFit="1" customWidth="1"/>
    <col min="58" max="58" width="21.44140625" style="5" customWidth="1"/>
    <col min="59" max="59" width="15.44140625" bestFit="1" customWidth="1"/>
    <col min="60" max="60" width="18.33203125" bestFit="1" customWidth="1"/>
    <col min="61" max="61" width="14.109375" bestFit="1" customWidth="1"/>
    <col min="62" max="62" width="15" bestFit="1" customWidth="1"/>
    <col min="63" max="63" width="15" customWidth="1"/>
    <col min="64" max="64" width="27.5546875" customWidth="1"/>
    <col min="65" max="65" width="28.44140625" bestFit="1" customWidth="1"/>
    <col min="66" max="66" width="24.44140625" bestFit="1" customWidth="1"/>
    <col min="67" max="67" width="13.109375" bestFit="1" customWidth="1"/>
    <col min="68" max="68" width="16.6640625" bestFit="1" customWidth="1"/>
    <col min="69" max="69" width="23.33203125" bestFit="1" customWidth="1"/>
    <col min="70" max="70" width="20.6640625" bestFit="1" customWidth="1"/>
    <col min="71" max="71" width="12" customWidth="1"/>
    <col min="72" max="72" width="15.5546875" bestFit="1" customWidth="1"/>
    <col min="73" max="73" width="13.44140625" bestFit="1" customWidth="1"/>
  </cols>
  <sheetData>
    <row r="1" spans="1:73" s="3" customFormat="1">
      <c r="A1" s="269" t="s">
        <v>0</v>
      </c>
      <c r="B1" s="269" t="s">
        <v>1</v>
      </c>
      <c r="C1" s="269" t="s">
        <v>2</v>
      </c>
      <c r="D1" s="269" t="s">
        <v>3</v>
      </c>
      <c r="E1" s="269" t="s">
        <v>4</v>
      </c>
      <c r="F1" s="269" t="s">
        <v>5</v>
      </c>
      <c r="G1" s="269" t="s">
        <v>6</v>
      </c>
      <c r="H1" s="4" t="s">
        <v>7</v>
      </c>
      <c r="I1" s="4" t="s">
        <v>8</v>
      </c>
      <c r="J1" s="4" t="s">
        <v>9</v>
      </c>
      <c r="K1" s="4" t="s">
        <v>10</v>
      </c>
      <c r="L1" s="4" t="s">
        <v>11</v>
      </c>
      <c r="M1" s="4" t="s">
        <v>12</v>
      </c>
      <c r="N1" s="4" t="s">
        <v>13</v>
      </c>
      <c r="O1" s="269" t="s">
        <v>14</v>
      </c>
      <c r="P1" s="3" t="s">
        <v>294</v>
      </c>
      <c r="Q1" s="12" t="s">
        <v>271</v>
      </c>
      <c r="R1" s="12" t="s">
        <v>141</v>
      </c>
      <c r="S1" s="12" t="s">
        <v>315</v>
      </c>
      <c r="T1" s="12" t="s">
        <v>270</v>
      </c>
      <c r="U1" s="12" t="s">
        <v>410</v>
      </c>
      <c r="V1" s="12" t="s">
        <v>269</v>
      </c>
      <c r="W1" s="83" t="s">
        <v>278</v>
      </c>
      <c r="X1" s="12" t="s">
        <v>458</v>
      </c>
      <c r="Y1" s="12" t="s">
        <v>789</v>
      </c>
      <c r="Z1" s="12" t="s">
        <v>790</v>
      </c>
      <c r="AA1" s="12" t="s">
        <v>791</v>
      </c>
      <c r="AB1" s="83" t="s">
        <v>283</v>
      </c>
      <c r="AC1" s="83" t="s">
        <v>299</v>
      </c>
      <c r="AD1" s="12" t="s">
        <v>300</v>
      </c>
      <c r="AE1" s="12" t="s">
        <v>312</v>
      </c>
      <c r="AF1" s="12" t="s">
        <v>313</v>
      </c>
      <c r="AG1" s="12" t="s">
        <v>311</v>
      </c>
      <c r="AH1" s="12" t="s">
        <v>443</v>
      </c>
      <c r="AI1" s="12" t="s">
        <v>444</v>
      </c>
      <c r="AJ1" s="12" t="s">
        <v>445</v>
      </c>
      <c r="AK1" s="12" t="s">
        <v>314</v>
      </c>
      <c r="AL1" s="12" t="s">
        <v>316</v>
      </c>
      <c r="AM1" s="12" t="s">
        <v>317</v>
      </c>
      <c r="AN1" s="12" t="s">
        <v>506</v>
      </c>
      <c r="AO1" s="12" t="s">
        <v>318</v>
      </c>
      <c r="AP1" s="12" t="s">
        <v>319</v>
      </c>
      <c r="AQ1" s="12" t="s">
        <v>320</v>
      </c>
      <c r="AR1" s="12" t="s">
        <v>430</v>
      </c>
      <c r="AS1" s="12" t="s">
        <v>321</v>
      </c>
      <c r="AT1" s="12" t="s">
        <v>322</v>
      </c>
      <c r="AU1" s="12" t="s">
        <v>323</v>
      </c>
      <c r="AV1" s="12" t="s">
        <v>324</v>
      </c>
      <c r="AW1" s="12" t="s">
        <v>459</v>
      </c>
      <c r="AX1" s="12" t="s">
        <v>929</v>
      </c>
      <c r="AY1" s="12" t="s">
        <v>480</v>
      </c>
      <c r="AZ1" s="12" t="s">
        <v>500</v>
      </c>
      <c r="BA1" s="12" t="s">
        <v>518</v>
      </c>
      <c r="BB1" s="12" t="s">
        <v>520</v>
      </c>
      <c r="BC1" s="12" t="s">
        <v>781</v>
      </c>
      <c r="BD1" s="139" t="s">
        <v>782</v>
      </c>
      <c r="BE1" s="139" t="s">
        <v>783</v>
      </c>
      <c r="BF1" s="139" t="s">
        <v>784</v>
      </c>
      <c r="BG1" s="139" t="s">
        <v>785</v>
      </c>
      <c r="BH1" s="12" t="s">
        <v>786</v>
      </c>
      <c r="BI1" s="12" t="s">
        <v>787</v>
      </c>
      <c r="BJ1" s="12" t="s">
        <v>788</v>
      </c>
      <c r="BK1" s="12" t="s">
        <v>891</v>
      </c>
      <c r="BL1" s="12" t="s">
        <v>874</v>
      </c>
      <c r="BM1" s="83" t="s">
        <v>990</v>
      </c>
      <c r="BN1" s="12" t="s">
        <v>922</v>
      </c>
      <c r="BO1" s="12" t="s">
        <v>923</v>
      </c>
      <c r="BP1" s="139" t="s">
        <v>999</v>
      </c>
      <c r="BQ1" s="180" t="s">
        <v>442</v>
      </c>
      <c r="BR1" s="12" t="s">
        <v>1002</v>
      </c>
      <c r="BS1" s="12" t="s">
        <v>1909</v>
      </c>
      <c r="BT1" s="12" t="s">
        <v>1910</v>
      </c>
      <c r="BU1" s="12" t="s">
        <v>1911</v>
      </c>
    </row>
    <row r="2" spans="1:73">
      <c r="A2" s="254" t="s">
        <v>15</v>
      </c>
      <c r="B2" s="254" t="s">
        <v>16</v>
      </c>
      <c r="C2" s="254" t="s">
        <v>17</v>
      </c>
      <c r="D2" s="254" t="s">
        <v>18</v>
      </c>
      <c r="E2" s="254"/>
      <c r="F2" s="254" t="s">
        <v>18</v>
      </c>
      <c r="G2" s="254" t="s">
        <v>19</v>
      </c>
      <c r="H2" s="270">
        <v>200713.05</v>
      </c>
      <c r="I2" s="270">
        <v>1</v>
      </c>
      <c r="J2" s="270">
        <v>200713.05</v>
      </c>
      <c r="K2" s="270">
        <v>1735858.17</v>
      </c>
      <c r="L2" s="270">
        <v>-44228.51</v>
      </c>
      <c r="M2" s="270">
        <v>0</v>
      </c>
      <c r="N2" s="270">
        <v>1691629.66</v>
      </c>
      <c r="O2" s="255">
        <v>4.0000000000000002E-4</v>
      </c>
      <c r="P2" s="1"/>
      <c r="Q2" s="1" t="str">
        <f>IF(B2="Cash Long","Cash",A2)</f>
        <v>Cash</v>
      </c>
      <c r="R2" s="1"/>
      <c r="S2" s="1" t="str">
        <f>IF(Q2="Cash",Q2,IF(OR(Q2="Receivable Investments",Q2="Payable Investments"),"Cash Equivalents",_xll.BDP(R2&amp;" FIGI",$S$1)))</f>
        <v>Cash</v>
      </c>
      <c r="T2" s="1" t="str">
        <f>IF(Q2="Cash",Q2,IF(OR(Q2="Receivable Investments",Q2="Payable Investments"),"Cash Equivalents",VLOOKUP(R2,LQA!E:S,3,0)))</f>
        <v>Cash</v>
      </c>
      <c r="U2" s="1" t="str">
        <f>IF(Q2="Cash",Q2,IF(OR(Q2="Receivable Investments",Q2="Payable Investments"),"Cash Equivalents",_xll.BDP(R2&amp;" FIGI",$U$1)))</f>
        <v>Cash</v>
      </c>
      <c r="V2" s="10">
        <f>IF(OR(Q2="Cash",Q2="Receivable Investments",Q2="Payable Investments"),0,IF(Q2="Investments",VLOOKUP(R2,LQA!E:Q,12,0),"Not Covered"))</f>
        <v>0</v>
      </c>
      <c r="W2" s="76">
        <f>IF(OR(Q2="Cash",Q2="Receivable Investments",Q2="Payable Investments"),0,IF(Q2="Investments",VLOOKUP(R2,LQA!E:Q,9,0),"Not Covered"))</f>
        <v>0</v>
      </c>
      <c r="X2" s="13" t="str">
        <f>IF(T2="Comdty","High",IF(V2&lt;='Liquidity Bucket'!$A$4,'Liquidity Bucket'!$I$4,IF(V2&lt;='Liquidity Bucket'!$A$5,'Liquidity Bucket'!$I$5,IF(V2&lt;='Liquidity Bucket'!$A$6,'Liquidity Bucket'!$I$6,IF(V2='Liquidity Bucket'!$A$8,'Liquidity Bucket'!$I$8,'Liquidity Bucket'!$I$7)))))</f>
        <v>High</v>
      </c>
      <c r="Y2" s="153">
        <f>IF(OR(Q2="Cash",Q2="Receivable Investments",Q2="Payable Investments"),0,IF(Q2="Investments",VLOOKUP(R2,'LQA Stress'!E:Q,12,0),"Not Covered"))</f>
        <v>0</v>
      </c>
      <c r="Z2" s="75">
        <f>IF(OR(Q2="Cash",Q2="Receivable Investments",Q2="Payable Investments"),0,IF(Q2="Investments",VLOOKUP(R2,'LQA Stress'!E:Q,9,0),"Not Covered"))</f>
        <v>0</v>
      </c>
      <c r="AA2" s="13" t="str">
        <f>IF(T2="Comdty","High",IF(Y2&lt;='Liquidity Bucket'!$A$4,'Liquidity Bucket'!$I$4,IF(Y2&lt;='Liquidity Bucket'!$A$5,'Liquidity Bucket'!$I$5,IF(Y2&lt;='Liquidity Bucket'!$A$6,'Liquidity Bucket'!$I$6,IF(Y2='Liquidity Bucket'!$A$8,'Liquidity Bucket'!$I$8,'Liquidity Bucket'!$I$7)))))</f>
        <v>High</v>
      </c>
      <c r="AB2" s="14">
        <f>(N2+M2)/'FX Rates'!$C$5</f>
        <v>218218.48039215687</v>
      </c>
      <c r="AC2" s="15" t="str">
        <f>IF(X2="Not Covered", (H2/_xll.BDP(R2&amp;" FIGI",$AC$1)),"")</f>
        <v/>
      </c>
      <c r="AD2" s="16" t="str">
        <f>IF(X2="Not Covered", _xll.BDP(R2&amp;" FIGI",$AD$1),"")</f>
        <v/>
      </c>
      <c r="AE2" s="16" t="str">
        <f>IF(OR(T2="Corp",T2="Govt"),IF(_xll.BDP(R2&amp;" FIGI",$AE$1)="#N/A N/A","",_xll.BDP(R2&amp;" FIGI",$AE$1)),"")</f>
        <v/>
      </c>
      <c r="AF2" s="1" t="str">
        <f>IF(OR(T2="Corp",T2="Govt"),IF(_xll.BDP(R2&amp;" FIGI",$AF$1)="#N/A N/A","",_xll.BDP(R2&amp;" FIGI",$AF$1)),"")</f>
        <v/>
      </c>
      <c r="AG2" s="16" t="str">
        <f>IF(OR(T2="Corp",T2="Govt"),IF(_xll.BDP(R2&amp;" FIGI",$AG$1)="#N/A N/A","",_xll.BDP(R2&amp;" FIGI",$AG$1)),"")</f>
        <v/>
      </c>
      <c r="AH2" s="125">
        <f>IF(OR(S2="Cash",S2="M-Mkt"),21,IF(AE2="",0,VLOOKUP(AE2,'Rating Scale'!A:B,2,0)))</f>
        <v>21</v>
      </c>
      <c r="AI2" s="125">
        <f>IF(OR(S2="Cash",S2="M-Mkt"),21,IF(AF2="",0,VLOOKUP(AF2,'Rating Scale'!D:E,2,0)))</f>
        <v>21</v>
      </c>
      <c r="AJ2" s="125">
        <f>IF(OR(S2="Cash",S2="M-Mkt"),21,IF(AG2="",0,VLOOKUP(AG2,'Rating Scale'!G:H,2,0)))</f>
        <v>21</v>
      </c>
      <c r="AK2">
        <f>Rating(AH2,AI2,AJ2)</f>
        <v>21</v>
      </c>
      <c r="AL2" s="1" t="str">
        <f>IF(OR(U2="Cash",U2="Cash Adjustments"),_xll.BDP(G2&amp;" Curncy","Country"),IF(T2="Equity",_xll.BDP(R2&amp;" FIGI","CNTRY_ISSUE_ISO"),_xll.BDP(R2&amp;" FIGI",$AL$1)))</f>
        <v>EU</v>
      </c>
      <c r="AM2" s="126" t="str">
        <f>IF(OR(T2="Cash",T2="Cash Adjustments",T2="M-Mkt"), T2, IF(T2="Comdty",AS2, _xll.BDP(R2&amp;" FIGI", $AM$1)))</f>
        <v>Cash</v>
      </c>
      <c r="AN2" s="126" t="str">
        <f>IF(OR(T2="Cash",T2="Cash Adjustments",T2="M-Mkt"), T2,  IF(T2="Comdty",AS2,_xll.BDP(R2&amp;" FIGI", $AN$1)))</f>
        <v>Cash</v>
      </c>
      <c r="AO2" s="126" t="str">
        <f>IF(OR(T2="Cash",T2="Cash Adjustments",T2="M-Mkt"), T2,  IF(T2="Comdty",AS2,_xll.BDP(R2&amp;" FIGI", $AO$1)))</f>
        <v>Cash</v>
      </c>
      <c r="AP2" s="13" t="str">
        <f>IF(OR(T2="Cash",T2="Cash Adjustments"), T2, IF(_xll.BDP(R2&amp;" FIGI", $AP$1)="#N/A Field Not Applicable","N",_xll.BDP(R2&amp;" FIGI", $AP$1)))</f>
        <v>Cash</v>
      </c>
      <c r="AQ2" s="1" t="str">
        <f>IF(OR(T2="Cash",T2="Cash Adjustments"), T2, IF(_xll.BDP(R2&amp;" FIGI", $AQ$1)="#N/A Field Not Applicable"," ",_xll.BDP(R2&amp;" FIGI", $AQ$1)))</f>
        <v>Cash</v>
      </c>
      <c r="AR2" s="1" t="str">
        <f>IF(OR(T2="Cash",T2="Cash Adjustments"), T2, IF(_xll.BDP(R2&amp;" FIGI", $AR$1)="#N/A Field Not Applicable"," ",_xll.BDP(R2&amp;" FIGI", $AR$1)))</f>
        <v>Cash</v>
      </c>
      <c r="AS2" s="1" t="str">
        <f>VLOOKUP(T2,'SFC Classifcation'!$F$2:$H$7,3,0)</f>
        <v>Cash</v>
      </c>
      <c r="AT2" s="22" t="str">
        <f t="shared" ref="AT2:AT65" si="0">IF(OR(T2="Cash",T2="Cash Adjustments"),T2, IF(AM2&lt;&gt;"Financial","Non-Financial","Financial"))</f>
        <v>Cash</v>
      </c>
      <c r="AU2" s="1" t="str">
        <f>IF(OR(T2="Cash",T2="Cash Adjustments",T2="Equity", T2="Comdty"),"",IF(AK2&gt;=12,"Investment Grade", "Non-Investment Grade"))</f>
        <v/>
      </c>
      <c r="AV2" s="1" t="str">
        <f>IF(OR(T2="Cash",T2="Cash Adjustments"),T2,VLOOKUP(AL2,'SFC Classifcation'!$A:$C,3,0))</f>
        <v>Cash</v>
      </c>
      <c r="AW2" s="22" t="str">
        <f>LQBucket(X2,AK2,AD2,AC2)</f>
        <v>High</v>
      </c>
      <c r="AX2" s="22" t="str">
        <f>LQBucket(AA2,AK2,AD2,AC2)</f>
        <v>High</v>
      </c>
      <c r="AY2" s="45" t="str">
        <f>IF(OR(T2="Cash",T2="Cash Adjustments"), T2, _xll.BDP(R2&amp;" FIGI", $AY$1))</f>
        <v>Cash</v>
      </c>
      <c r="AZ2" s="45" t="str">
        <f>IF(OR(T2="Cash",T2="Cash Adjustments"), T2, _xll.BDP(R2&amp;" FIGI", $AZ$1))</f>
        <v>Cash</v>
      </c>
      <c r="BA2" s="45" t="str">
        <f>IF(OR(T2="Cash",T2="Cash Adjustments"), T2, _xll.BDP(R2&amp;" FIGI", $BA$1))</f>
        <v>Cash</v>
      </c>
      <c r="BB2" s="45" t="str">
        <f>IF(OR(AS2="Government",AS2="Corporate"),(AK2*AB2/'SFC Report'!$C$20),"")</f>
        <v/>
      </c>
      <c r="BC2" s="174" t="str">
        <f>IF(OR(T2="Cash",T2="Cash Adjustments", T2="FX Forward", T2="Repo", T2="Equity", T2="M-Mkt"), "", _xll.BDP(R2&amp;" FIGI", $BC$1))</f>
        <v/>
      </c>
      <c r="BD2" s="125" t="str">
        <f>IF(OR(T2="Cash",T2="Cash Adjustments",T2="FX Forward",T2="Repo", T2="Equity", T2="M-Mkt"),"",(BC2-'SFC Report'!$B$13)/365)</f>
        <v/>
      </c>
      <c r="BE2" s="82" t="str">
        <f t="shared" ref="BE2:BE21" si="1">IF(BC2&lt;&gt;0,MaturityBucket(BD2),"")</f>
        <v/>
      </c>
      <c r="BF2" s="5" t="str">
        <f>IF(BC2="","",BD2*AB2/'SFC Report'!$C$20)</f>
        <v/>
      </c>
      <c r="BG2" s="14" t="str" cm="1">
        <f t="array" ref="BG2">IF(OR(AS2="Corporate",AS2="Government"),_xll.BDP(G2&amp;" ISIN", $BG$1),"")</f>
        <v/>
      </c>
      <c r="BH2" s="140" t="str">
        <f>IF(OR(AS2="Corporate",AS2="Government"),BG2*BN2/'SFC Report'!$C$20,"")</f>
        <v/>
      </c>
      <c r="BI2" s="140" t="str">
        <f>IF(OR(AS2="Corporate",AS2="Government"),_xll.BDP(G2&amp;" ISIN", $BI$1),"")</f>
        <v/>
      </c>
      <c r="BJ2" s="140"/>
      <c r="BK2" s="153" t="str">
        <f>IF(OR(T2="Cash",T2="Cash Adjustments"),"-",_xll.BDP(R2&amp;" FIGI",$BK$1))</f>
        <v>-</v>
      </c>
      <c r="BL2" s="11" t="str">
        <f>IF(OR(AS2="Cash", AS2="Cash Adjustments"),"-",IF(ISNA(VLOOKUP(BK2,'BBG - VaR Data (Sample, Indus )'!C:N,5,0)),"-",VLOOKUP(BK2,'BBG - VaR Data (Sample, Indus )'!C:N,5,0)))</f>
        <v>-</v>
      </c>
      <c r="BM2" s="11" t="str">
        <f>IF(OR(AS2="Cash", AS2="Cash Adjustments"),"-",IF(ISNA(VLOOKUP(BK2,'BBG - Scenarios (Sample View)'!C:Z,14,0)),"-",VLOOKUP(BK2,'BBG - Scenarios (Sample View)'!C:Z,14,0)))</f>
        <v>-</v>
      </c>
      <c r="BN2" s="14">
        <f>AB2</f>
        <v>218218.48039215687</v>
      </c>
      <c r="BO2" s="1">
        <f>BN2/SUM($BN$2:$BN$154)</f>
        <v>4.2806803601528172E-4</v>
      </c>
      <c r="BP2" t="str">
        <f>IF(BC2&lt;&gt;0,MaturityBucket(BG2),"")</f>
        <v/>
      </c>
      <c r="BQ2" s="11" t="str">
        <f>IF(OR(T2="Cash",T2="Cash Adjustments"),T2,VLOOKUP(AL2,'SFC Classifcation'!$A:$C,2,0))</f>
        <v>Cash</v>
      </c>
      <c r="BR2" s="1" t="str">
        <f>IF(S2="Bond",BH2/'SFC Report'!$B$7,"")</f>
        <v/>
      </c>
      <c r="BS2" t="str">
        <f>IF(OR(T2="Cash",T2="Cash Adjustments"),"-",_xll.BDP(R2&amp;" FIGI",$BS$1))</f>
        <v>-</v>
      </c>
      <c r="BT2" t="str">
        <f>IF(OR(T2="Cash",T2="Cash Adjustments"),"-",_xll.BDP(R2&amp;" FIGI",$BT$1))</f>
        <v>-</v>
      </c>
      <c r="BU2" t="str">
        <f>IF(OR(T2="Cash",T2="Cash Adjustments"),"-",_xll.BDP(R2&amp;" FIGI",$BU$1))</f>
        <v>-</v>
      </c>
    </row>
    <row r="3" spans="1:73">
      <c r="A3" s="254" t="s">
        <v>15</v>
      </c>
      <c r="B3" s="254" t="s">
        <v>16</v>
      </c>
      <c r="C3" s="254" t="s">
        <v>17</v>
      </c>
      <c r="D3" s="254" t="s">
        <v>20</v>
      </c>
      <c r="E3" s="254"/>
      <c r="F3" s="254" t="s">
        <v>20</v>
      </c>
      <c r="G3" s="254" t="s">
        <v>21</v>
      </c>
      <c r="H3" s="270">
        <v>13174815.09</v>
      </c>
      <c r="I3" s="270">
        <v>1</v>
      </c>
      <c r="J3" s="270">
        <v>13174815.09</v>
      </c>
      <c r="K3" s="270">
        <v>13174815.09</v>
      </c>
      <c r="L3" s="270">
        <v>0</v>
      </c>
      <c r="M3" s="270">
        <v>0</v>
      </c>
      <c r="N3" s="270">
        <v>13174815.09</v>
      </c>
      <c r="O3" s="255">
        <v>2.8999999999999998E-3</v>
      </c>
      <c r="P3" s="1"/>
      <c r="Q3" s="1" t="str">
        <f t="shared" ref="Q3:Q65" si="2">IF(B3="Cash Long","Cash",A3)</f>
        <v>Cash</v>
      </c>
      <c r="R3" s="1"/>
      <c r="S3" s="1" t="str">
        <f>IF(Q3="Cash",Q3,IF(OR(Q3="Receivable Investments",Q3="Payable Investments"),"Cash Equivalents",_xll.BDP(R3&amp;" FIGI",$S$1)))</f>
        <v>Cash</v>
      </c>
      <c r="T3" s="1" t="str">
        <f>IF(Q3="Cash",Q3,IF(OR(Q3="Receivable Investments",Q3="Payable Investments"),"Cash Equivalents",VLOOKUP(R3,LQA!E:S,3,0)))</f>
        <v>Cash</v>
      </c>
      <c r="U3" s="1" t="str">
        <f>IF(Q3="Cash",Q3,IF(OR(Q3="Receivable Investments",Q3="Payable Investments"),"Cash Equivalents",_xll.BDP(R3&amp;" FIGI",$U$1)))</f>
        <v>Cash</v>
      </c>
      <c r="V3" s="10">
        <f>IF(OR(Q3="Cash",Q3="Receivable Investments",Q3="Payable Investments"),0,IF(Q3="Investments",VLOOKUP(R3,LQA!E:Q,12,0),"Not Covered"))</f>
        <v>0</v>
      </c>
      <c r="W3" s="76">
        <f>IF(OR(Q3="Cash",Q3="Receivable Investments",Q3="Payable Investments"),0,IF(Q3="Investments",VLOOKUP(R3,LQA!E:Q,9,0),"Not Covered"))</f>
        <v>0</v>
      </c>
      <c r="X3" s="13" t="str">
        <f>IF(OR(H3=0,T3="Comdty"),"High",IF(V3&lt;='Liquidity Bucket'!$A$4,'Liquidity Bucket'!$I$4,IF(V3&lt;='Liquidity Bucket'!$A$5,'Liquidity Bucket'!$I$5,IF(V3&lt;='Liquidity Bucket'!$A$6,'Liquidity Bucket'!$I$6,IF(V3='Liquidity Bucket'!$A$8,'Liquidity Bucket'!$I$8,'Liquidity Bucket'!$I$7)))))</f>
        <v>High</v>
      </c>
      <c r="Y3" s="153">
        <f>IF(OR(Q3="Cash",Q3="Receivable Investments",Q3="Payable Investments"),0,IF(Q3="Investments",VLOOKUP(R3,'LQA Stress'!E:Q,12,0),"Not Covered"))</f>
        <v>0</v>
      </c>
      <c r="Z3" s="75">
        <f>IF(OR(Q3="Cash",Q3="Receivable Investments",Q3="Payable Investments"),0,IF(Q3="Investments",VLOOKUP(R3,'LQA Stress'!E:Q,9,0),"Not Covered"))</f>
        <v>0</v>
      </c>
      <c r="AA3" s="13" t="str">
        <f>IF(T3="Comdty","High",IF(Y3&lt;='Liquidity Bucket'!$A$4,'Liquidity Bucket'!$I$4,IF(Y3&lt;='Liquidity Bucket'!$A$5,'Liquidity Bucket'!$I$5,IF(Y3&lt;='Liquidity Bucket'!$A$6,'Liquidity Bucket'!$I$6,IF(Y3='Liquidity Bucket'!$A$8,'Liquidity Bucket'!$I$8,'Liquidity Bucket'!$I$7)))))</f>
        <v>High</v>
      </c>
      <c r="AB3" s="14">
        <f>(N3+M3)/'FX Rates'!$C$5</f>
        <v>1699537.5503095975</v>
      </c>
      <c r="AC3" s="15" t="str">
        <f>IF(X3="Not Covered", (H3/_xll.BDP(R3&amp;" FIGI",$AC$1)),"")</f>
        <v/>
      </c>
      <c r="AD3" s="16" t="str">
        <f>IF(X3="Not Covered", _xll.BDP(R3&amp;" FIGI",$AD$1),"")</f>
        <v/>
      </c>
      <c r="AE3" s="16" t="str">
        <f>IF(OR(T3="Corp",T3="Govt"),IF(_xll.BDP(R3&amp;" FIGI",$AE$1)="#N/A N/A","",_xll.BDP(R3&amp;" FIGI",$AE$1)),"")</f>
        <v/>
      </c>
      <c r="AF3" s="1" t="str">
        <f>IF(OR(T3="Corp",T3="Govt"),IF(_xll.BDP(R3&amp;" FIGI",$AF$1)="#N/A N/A","",_xll.BDP(R3&amp;" FIGI",$AF$1)),"")</f>
        <v/>
      </c>
      <c r="AG3" s="16" t="str">
        <f>IF(OR(T3="Corp",T3="Govt"),IF(_xll.BDP(R3&amp;" FIGI",$AG$1)="#N/A N/A","",_xll.BDP(R3&amp;" FIGI",$AG$1)),"")</f>
        <v/>
      </c>
      <c r="AH3" s="125">
        <f>IF(OR(S3="Cash",S3="M-Mkt"),21,IF(AE3="",0,VLOOKUP(AE3,'Rating Scale'!A:B,2,0)))</f>
        <v>21</v>
      </c>
      <c r="AI3" s="125">
        <f>IF(OR(S3="Cash",S3="M-Mkt"),21,IF(AF3="",0,VLOOKUP(AF3,'Rating Scale'!D:E,2,0)))</f>
        <v>21</v>
      </c>
      <c r="AJ3" s="125">
        <f>IF(OR(S3="Cash",S3="M-Mkt"),21,IF(AG3="",0,VLOOKUP(AG3,'Rating Scale'!G:H,2,0)))</f>
        <v>21</v>
      </c>
      <c r="AK3">
        <f t="shared" ref="AK3:AK42" si="3">Rating(AH3,AI3,AJ3)</f>
        <v>21</v>
      </c>
      <c r="AL3" s="1" t="str">
        <f>IF(OR(U3="Cash",U3="Cash Adjustments"),_xll.BDP(G3&amp;" Curncy","Country"),IF(T3="Equity",_xll.BDP(R3&amp;" FIGI","CNTRY_ISSUE_ISO"),_xll.BDP(R3&amp;" FIGI",$AL$1)))</f>
        <v>HK</v>
      </c>
      <c r="AM3" s="126" t="str">
        <f>IF(OR(T3="Cash",T3="Cash Adjustments",T3="M-Mkt"), T3, IF(T3="Comdty",AS3, _xll.BDP(R3&amp;" FIGI", $AM$1)))</f>
        <v>Cash</v>
      </c>
      <c r="AN3" s="126" t="str">
        <f>IF(OR(T3="Cash",T3="Cash Adjustments",T3="M-Mkt"), T3,  IF(T3="Comdty",AS3,_xll.BDP(R3&amp;" FIGI", $AN$1)))</f>
        <v>Cash</v>
      </c>
      <c r="AO3" s="126" t="str">
        <f>IF(OR(T3="Cash",T3="Cash Adjustments",T3="M-Mkt"), T3,  IF(T3="Comdty",AS3,_xll.BDP(R3&amp;" FIGI", $AO$1)))</f>
        <v>Cash</v>
      </c>
      <c r="AP3" s="13" t="str">
        <f>IF(OR(T3="Cash",T3="Cash Adjustments"), T3, IF(_xll.BDP(R3&amp;" FIGI", $AP$1)="#N/A Field Not Applicable","N",_xll.BDP(R3&amp;" FIGI", $AP$1)))</f>
        <v>Cash</v>
      </c>
      <c r="AQ3" s="1" t="str">
        <f>IF(OR(T3="Cash",T3="Cash Adjustments"), T3, IF(_xll.BDP(R3&amp;" FIGI", $AQ$1)="#N/A Field Not Applicable"," ",_xll.BDP(R3&amp;" FIGI", $AQ$1)))</f>
        <v>Cash</v>
      </c>
      <c r="AR3" s="1" t="str">
        <f>IF(OR(T3="Cash",T3="Cash Adjustments"), T3, IF(_xll.BDP(R3&amp;" FIGI", $AR$1)="#N/A Field Not Applicable"," ",_xll.BDP(R3&amp;" FIGI", $AR$1)))</f>
        <v>Cash</v>
      </c>
      <c r="AS3" s="1" t="str">
        <f>VLOOKUP(T3,'SFC Classifcation'!$F$2:$H$7,3,0)</f>
        <v>Cash</v>
      </c>
      <c r="AT3" s="22" t="str">
        <f t="shared" si="0"/>
        <v>Cash</v>
      </c>
      <c r="AU3" s="1" t="str">
        <f t="shared" ref="AU3:AU66" si="4">IF(OR(T3="Cash",T3="Cash Adjustments",T3="Equity", T3="Comdty"),"",IF(AK3&gt;=12,"Investment Grade", "Non-Investment Grade"))</f>
        <v/>
      </c>
      <c r="AV3" s="1" t="str">
        <f>IF(OR(T3="Cash",T3="Cash Adjustments"),T3,VLOOKUP(AL3,'SFC Classifcation'!$A:$C,3,0))</f>
        <v>Cash</v>
      </c>
      <c r="AW3" s="22" t="str">
        <f t="shared" ref="AW3:AW66" si="5">LQBucket(X3,AK3,AD3,AC3)</f>
        <v>High</v>
      </c>
      <c r="AX3" s="22" t="str">
        <f t="shared" ref="AX3:AX66" si="6">LQBucket(AA3,AK3,AD3,AC3)</f>
        <v>High</v>
      </c>
      <c r="AY3" s="45" t="str">
        <f>IF(OR(T3="Cash",T3="Cash Adjustments"), T3, _xll.BDP(R3&amp;" FIGI", $AY$1))</f>
        <v>Cash</v>
      </c>
      <c r="AZ3" s="45" t="str">
        <f>IF(OR(T3="Cash",T3="Cash Adjustments"), T3, _xll.BDP(R3&amp;" FIGI", $AZ$1))</f>
        <v>Cash</v>
      </c>
      <c r="BA3" s="45" t="str">
        <f>IF(OR(T3="Cash",T3="Cash Adjustments"), T3, _xll.BDP(R3&amp;" FIGI", $BA$1))</f>
        <v>Cash</v>
      </c>
      <c r="BB3" s="45" t="str">
        <f>IF(OR(AS3="Government",AS3="Corporate"),(AK3*AB3/'SFC Report'!$C$20),"")</f>
        <v/>
      </c>
      <c r="BC3" s="174" t="str">
        <f>IF(OR(T3="Cash",T3="Cash Adjustments", T3="FX Forward", T3="Repo", T3="Equity", T3="M-Mkt"), "", _xll.BDP(R3&amp;" FIGI", $BC$1))</f>
        <v/>
      </c>
      <c r="BD3" s="125" t="str">
        <f>IF(OR(T3="Cash",T3="Cash Adjustments",T3="FX Forward",T3="Repo", T3="Equity", T3="M-Mkt"),"",(BC3-'SFC Report'!$B$13)/365)</f>
        <v/>
      </c>
      <c r="BE3" s="82" t="str">
        <f t="shared" si="1"/>
        <v/>
      </c>
      <c r="BF3" s="5" t="str">
        <f>IF(BC3="","",BD3*AB3/'SFC Report'!$C$20)</f>
        <v/>
      </c>
      <c r="BG3" s="14" t="str" cm="1">
        <f t="array" ref="BG3">IF(OR(AS3="Corporate",AS3="Government"),_xll.BDP(G3&amp;" ISIN", $BG$1),"")</f>
        <v/>
      </c>
      <c r="BH3" s="140" t="str">
        <f>IF(OR(AS3="Corporate",AS3="Government"),BG3*BN3/'SFC Report'!$C$20,"")</f>
        <v/>
      </c>
      <c r="BI3" s="140" t="str">
        <f>IF(OR(AS3="Corporate",AS3="Government"),_xll.BDP(G3&amp;" ISIN", $BI$1),"")</f>
        <v/>
      </c>
      <c r="BJ3" s="140" t="str">
        <f>IF(S3="Bond",BI3*AB3/'SFC Report'!$C$20,"")</f>
        <v/>
      </c>
      <c r="BK3" s="153" t="str">
        <f>IF(OR(T3="Cash",T3="Cash Adjustments"),"-",_xll.BDP(R3&amp;" FIGI",$BK$1))</f>
        <v>-</v>
      </c>
      <c r="BL3" s="11" t="str">
        <f>IF(OR(AS3="Cash", AS3="Cash Adjustments"),"-",IF(ISNA(VLOOKUP(BK3,'BBG - VaR Data (Sample, Indus )'!C:N,5,0)),"-",VLOOKUP(BK3,'BBG - VaR Data (Sample, Indus )'!C:N,5,0)))</f>
        <v>-</v>
      </c>
      <c r="BM3" s="11" t="str">
        <f>IF(OR(AS3="Cash", AS3="Cash Adjustments"),"-",IF(ISNA(VLOOKUP(BK3,'BBG - Scenarios (Sample View)'!C:Z,14,0)),"-",VLOOKUP(BK3,'BBG - Scenarios (Sample View)'!C:Z,14,0)))</f>
        <v>-</v>
      </c>
      <c r="BN3" s="14">
        <f t="shared" ref="BN3:BN66" si="7">AB3</f>
        <v>1699537.5503095975</v>
      </c>
      <c r="BO3" s="1">
        <f t="shared" ref="BO3:BO66" si="8">BN3/SUM($BN$2:$BN$154)</f>
        <v>3.3338959192999711E-3</v>
      </c>
      <c r="BP3" t="str">
        <f>IF(BC3&lt;&gt;0,MaturityBucket(BG3),"")</f>
        <v/>
      </c>
      <c r="BQ3" s="11" t="str">
        <f>IF(OR(T3="Cash",T3="Cash Adjustments"),T3,VLOOKUP(AL3,'SFC Classifcation'!$A:$C,2,0))</f>
        <v>Cash</v>
      </c>
      <c r="BR3" s="1" t="str">
        <f>IF(S3="Bond",BH3/'SFC Report'!$B$7,"")</f>
        <v/>
      </c>
      <c r="BS3" t="str">
        <f>IF(OR(T3="Cash",T3="Cash Adjustments"),"-",_xll.BDP(R3&amp;" FIGI",$BS$1))</f>
        <v>-</v>
      </c>
      <c r="BT3" t="str">
        <f>IF(OR(T3="Cash",T3="Cash Adjustments"),"-",_xll.BDP(R3&amp;" FIGI",$BT$1))</f>
        <v>-</v>
      </c>
      <c r="BU3" t="str">
        <f>IF(OR(T3="Cash",T3="Cash Adjustments"),"-",_xll.BDP(R3&amp;" FIGI",$BU$1))</f>
        <v>-</v>
      </c>
    </row>
    <row r="4" spans="1:73">
      <c r="A4" s="254" t="s">
        <v>15</v>
      </c>
      <c r="B4" s="254" t="s">
        <v>16</v>
      </c>
      <c r="C4" s="254" t="s">
        <v>17</v>
      </c>
      <c r="D4" s="254" t="s">
        <v>22</v>
      </c>
      <c r="E4" s="254"/>
      <c r="F4" s="254" t="s">
        <v>22</v>
      </c>
      <c r="G4" s="254" t="s">
        <v>23</v>
      </c>
      <c r="H4" s="270">
        <v>5629628.0700000003</v>
      </c>
      <c r="I4" s="270">
        <v>1</v>
      </c>
      <c r="J4" s="270">
        <v>5629628.0700000003</v>
      </c>
      <c r="K4" s="270">
        <v>43631153.719999999</v>
      </c>
      <c r="L4" s="270">
        <v>-410.25</v>
      </c>
      <c r="M4" s="270">
        <v>0</v>
      </c>
      <c r="N4" s="270">
        <v>43630743.469999999</v>
      </c>
      <c r="O4" s="255">
        <v>9.5999999999999992E-3</v>
      </c>
      <c r="P4" s="126"/>
      <c r="Q4" s="1" t="str">
        <f t="shared" si="2"/>
        <v>Cash</v>
      </c>
      <c r="R4" s="1"/>
      <c r="S4" s="1" t="str">
        <f>IF(Q4="Cash",Q4,IF(OR(Q4="Receivable Investments",Q4="Payable Investments"),"Cash Equivalents",_xll.BDP(R4&amp;" FIGI",$S$1)))</f>
        <v>Cash</v>
      </c>
      <c r="T4" s="1" t="str">
        <f>IF(Q4="Cash",Q4,IF(OR(Q4="Receivable Investments",Q4="Payable Investments"),"Cash Equivalents",VLOOKUP(R4,LQA!E:S,3,0)))</f>
        <v>Cash</v>
      </c>
      <c r="U4" s="1" t="str">
        <f>IF(Q4="Cash",Q4,IF(OR(Q4="Receivable Investments",Q4="Payable Investments"),"Cash Equivalents",_xll.BDP(R4&amp;" FIGI",$U$1)))</f>
        <v>Cash</v>
      </c>
      <c r="V4" s="10">
        <f>IF(OR(Q4="Cash",Q4="Receivable Investments",Q4="Payable Investments"),0,IF(Q4="Investments",VLOOKUP(R4,LQA!E:Q,12,0),"Not Covered"))</f>
        <v>0</v>
      </c>
      <c r="W4" s="76">
        <f>IF(OR(Q4="Cash",Q4="Receivable Investments",Q4="Payable Investments"),0,IF(Q4="Investments",VLOOKUP(R4,LQA!E:Q,9,0),"Not Covered"))</f>
        <v>0</v>
      </c>
      <c r="X4" s="13" t="str">
        <f>IF(OR(H4=0,T4="Comdty"),"High",IF(V4&lt;='Liquidity Bucket'!$A$4,'Liquidity Bucket'!$I$4,IF(V4&lt;='Liquidity Bucket'!$A$5,'Liquidity Bucket'!$I$5,IF(V4&lt;='Liquidity Bucket'!$A$6,'Liquidity Bucket'!$I$6,IF(V4='Liquidity Bucket'!$A$8,'Liquidity Bucket'!$I$8,'Liquidity Bucket'!$I$7)))))</f>
        <v>High</v>
      </c>
      <c r="Y4" s="153">
        <f>IF(OR(Q4="Cash",Q4="Receivable Investments",Q4="Payable Investments"),0,IF(Q4="Investments",VLOOKUP(R4,'LQA Stress'!E:Q,12,0),"Not Covered"))</f>
        <v>0</v>
      </c>
      <c r="Z4" s="75">
        <f>IF(OR(Q4="Cash",Q4="Receivable Investments",Q4="Payable Investments"),0,IF(Q4="Investments",VLOOKUP(R4,'LQA Stress'!E:Q,9,0),"Not Covered"))</f>
        <v>0</v>
      </c>
      <c r="AA4" s="13" t="str">
        <f>IF(T4="Comdty","High",IF(Y4&lt;='Liquidity Bucket'!$A$4,'Liquidity Bucket'!$I$4,IF(Y4&lt;='Liquidity Bucket'!$A$5,'Liquidity Bucket'!$I$5,IF(Y4&lt;='Liquidity Bucket'!$A$6,'Liquidity Bucket'!$I$6,IF(Y4='Liquidity Bucket'!$A$8,'Liquidity Bucket'!$I$8,'Liquidity Bucket'!$I$7)))))</f>
        <v>High</v>
      </c>
      <c r="AB4" s="14">
        <f>(N4+M4)/'FX Rates'!$C$5</f>
        <v>5628320.8810629519</v>
      </c>
      <c r="AC4" s="15" t="str">
        <f>IF(X4="Not Covered", (H4/_xll.BDP(R4&amp;" FIGI",$AC$1)),"")</f>
        <v/>
      </c>
      <c r="AD4" s="16" t="str">
        <f>IF(X4="Not Covered", _xll.BDP(R4&amp;" FIGI",$AD$1),"")</f>
        <v/>
      </c>
      <c r="AE4" s="16" t="str">
        <f>IF(OR(T4="Corp",T4="Govt"),IF(_xll.BDP(R4&amp;" FIGI",$AE$1)="#N/A N/A","",_xll.BDP(R4&amp;" FIGI",$AE$1)),"")</f>
        <v/>
      </c>
      <c r="AF4" s="1" t="str">
        <f>IF(OR(T4="Corp",T4="Govt"),IF(_xll.BDP(R4&amp;" FIGI",$AF$1)="#N/A N/A","",_xll.BDP(R4&amp;" FIGI",$AF$1)),"")</f>
        <v/>
      </c>
      <c r="AG4" s="16" t="str">
        <f>IF(OR(T4="Corp",T4="Govt"),IF(_xll.BDP(R4&amp;" FIGI",$AG$1)="#N/A N/A","",_xll.BDP(R4&amp;" FIGI",$AG$1)),"")</f>
        <v/>
      </c>
      <c r="AH4" s="125">
        <f>IF(OR(S4="Cash",S4="M-Mkt"),21,IF(AE4="",0,VLOOKUP(AE4,'Rating Scale'!A:B,2,0)))</f>
        <v>21</v>
      </c>
      <c r="AI4" s="125">
        <f>IF(OR(S4="Cash",S4="M-Mkt"),21,IF(AF4="",0,VLOOKUP(AF4,'Rating Scale'!D:E,2,0)))</f>
        <v>21</v>
      </c>
      <c r="AJ4" s="125">
        <f>IF(OR(S4="Cash",S4="M-Mkt"),21,IF(AG4="",0,VLOOKUP(AG4,'Rating Scale'!G:H,2,0)))</f>
        <v>21</v>
      </c>
      <c r="AK4">
        <f t="shared" si="3"/>
        <v>21</v>
      </c>
      <c r="AL4" s="1" t="str">
        <f>IF(OR(U4="Cash",U4="Cash Adjustments"),_xll.BDP(G4&amp;" Curncy","Country"),IF(T4="Equity",_xll.BDP(R4&amp;" FIGI","CNTRY_ISSUE_ISO"),_xll.BDP(R4&amp;" FIGI",$AL$1)))</f>
        <v>US</v>
      </c>
      <c r="AM4" s="126" t="str">
        <f>IF(OR(T4="Cash",T4="Cash Adjustments",T4="M-Mkt"), T4, IF(T4="Comdty",AS4, _xll.BDP(R4&amp;" FIGI", $AM$1)))</f>
        <v>Cash</v>
      </c>
      <c r="AN4" s="126" t="str">
        <f>IF(OR(T4="Cash",T4="Cash Adjustments",T4="M-Mkt"), T4,  IF(T4="Comdty",AS4,_xll.BDP(R4&amp;" FIGI", $AN$1)))</f>
        <v>Cash</v>
      </c>
      <c r="AO4" s="126" t="str">
        <f>IF(OR(T4="Cash",T4="Cash Adjustments",T4="M-Mkt"), T4,  IF(T4="Comdty",AS4,_xll.BDP(R4&amp;" FIGI", $AO$1)))</f>
        <v>Cash</v>
      </c>
      <c r="AP4" s="13" t="str">
        <f>IF(OR(T4="Cash",T4="Cash Adjustments"), T4, IF(_xll.BDP(R4&amp;" FIGI", $AP$1)="#N/A Field Not Applicable","N",_xll.BDP(R4&amp;" FIGI", $AP$1)))</f>
        <v>Cash</v>
      </c>
      <c r="AQ4" s="1" t="str">
        <f>IF(OR(T4="Cash",T4="Cash Adjustments"), T4, IF(_xll.BDP(R4&amp;" FIGI", $AQ$1)="#N/A Field Not Applicable"," ",_xll.BDP(R4&amp;" FIGI", $AQ$1)))</f>
        <v>Cash</v>
      </c>
      <c r="AR4" s="1" t="str">
        <f>IF(OR(T4="Cash",T4="Cash Adjustments"), T4, IF(_xll.BDP(R4&amp;" FIGI", $AR$1)="#N/A Field Not Applicable"," ",_xll.BDP(R4&amp;" FIGI", $AR$1)))</f>
        <v>Cash</v>
      </c>
      <c r="AS4" s="1" t="str">
        <f>VLOOKUP(T4,'SFC Classifcation'!$F$2:$H$7,3,0)</f>
        <v>Cash</v>
      </c>
      <c r="AT4" s="22" t="str">
        <f t="shared" si="0"/>
        <v>Cash</v>
      </c>
      <c r="AU4" s="1" t="str">
        <f t="shared" si="4"/>
        <v/>
      </c>
      <c r="AV4" s="1" t="str">
        <f>IF(OR(T4="Cash",T4="Cash Adjustments"),T4,VLOOKUP(AL4,'SFC Classifcation'!$A:$C,3,0))</f>
        <v>Cash</v>
      </c>
      <c r="AW4" s="22" t="str">
        <f t="shared" si="5"/>
        <v>High</v>
      </c>
      <c r="AX4" s="22" t="str">
        <f t="shared" si="6"/>
        <v>High</v>
      </c>
      <c r="AY4" s="45" t="str">
        <f>IF(OR(T4="Cash",T4="Cash Adjustments"), T4, _xll.BDP(R4&amp;" FIGI", $AY$1))</f>
        <v>Cash</v>
      </c>
      <c r="AZ4" s="45" t="str">
        <f>IF(OR(T4="Cash",T4="Cash Adjustments"), T4, _xll.BDP(R4&amp;" FIGI", $AZ$1))</f>
        <v>Cash</v>
      </c>
      <c r="BA4" s="45" t="str">
        <f>IF(OR(T4="Cash",T4="Cash Adjustments"), T4, _xll.BDP(R4&amp;" FIGI", $BA$1))</f>
        <v>Cash</v>
      </c>
      <c r="BB4" s="45" t="str">
        <f>IF(OR(AS4="Government",AS4="Corporate"),(AK4*AB4/'SFC Report'!$C$20),"")</f>
        <v/>
      </c>
      <c r="BC4" s="174" t="str">
        <f>IF(OR(T4="Cash",T4="Cash Adjustments", T4="FX Forward", T4="Repo", T4="Equity", T4="M-Mkt"), "", _xll.BDP(R4&amp;" FIGI", $BC$1))</f>
        <v/>
      </c>
      <c r="BD4" s="125" t="str">
        <f>IF(OR(T4="Cash",T4="Cash Adjustments",T4="FX Forward",T4="Repo", T4="Equity", T4="M-Mkt"),"",(BC4-'SFC Report'!$B$13)/365)</f>
        <v/>
      </c>
      <c r="BE4" s="82" t="str">
        <f t="shared" si="1"/>
        <v/>
      </c>
      <c r="BF4" s="5" t="str">
        <f>IF(BC4="","",BD4*AB4/'SFC Report'!$C$20)</f>
        <v/>
      </c>
      <c r="BG4" s="14" t="str" cm="1">
        <f t="array" ref="BG4">IF(OR(AS4="Corporate",AS4="Government"),_xll.BDP(G4&amp;" ISIN", $BG$1),"")</f>
        <v/>
      </c>
      <c r="BH4" s="140" t="str">
        <f>IF(OR(AS4="Corporate",AS4="Government"),BG4*BN4/'SFC Report'!$C$20,"")</f>
        <v/>
      </c>
      <c r="BI4" s="140" t="str">
        <f>IF(OR(AS4="Corporate",AS4="Government"),_xll.BDP(G4&amp;" ISIN", $BI$1),"")</f>
        <v/>
      </c>
      <c r="BJ4" s="140" t="str">
        <f>IF(S4="Bond",BI4*AB4/'SFC Report'!$C$20,"")</f>
        <v/>
      </c>
      <c r="BK4" s="153" t="str">
        <f>IF(OR(T4="Cash",T4="Cash Adjustments"),"-",_xll.BDP(R4&amp;" FIGI",$BK$1))</f>
        <v>-</v>
      </c>
      <c r="BL4" s="11" t="str">
        <f>IF(OR(AS4="Cash", AS4="Cash Adjustments"),"-",IF(ISNA(VLOOKUP(BK4,'BBG - VaR Data (Sample, Indus )'!C:N,5,0)),"-",VLOOKUP(BK4,'BBG - VaR Data (Sample, Indus )'!C:N,5,0)))</f>
        <v>-</v>
      </c>
      <c r="BM4" s="11" t="str">
        <f>IF(OR(AS4="Cash", AS4="Cash Adjustments"),"-",IF(ISNA(VLOOKUP(BK4,'BBG - Scenarios (Sample View)'!C:Z,14,0)),"-",VLOOKUP(BK4,'BBG - Scenarios (Sample View)'!C:Z,14,0)))</f>
        <v>-</v>
      </c>
      <c r="BN4" s="14">
        <f t="shared" si="7"/>
        <v>5628320.8810629519</v>
      </c>
      <c r="BO4" s="1">
        <f>BN4/SUM($BN$2:$BN$154)</f>
        <v>1.1040789310285255E-2</v>
      </c>
      <c r="BP4" t="str">
        <f>IF(BC4&lt;&gt;0,MaturityBucket(BG4),"")</f>
        <v/>
      </c>
      <c r="BQ4" s="11" t="str">
        <f>IF(OR(T4="Cash",T4="Cash Adjustments"),T4,VLOOKUP(AL4,'SFC Classifcation'!$A:$C,2,0))</f>
        <v>Cash</v>
      </c>
      <c r="BR4" s="1" t="str">
        <f>IF(S4="Bond",BH4/'SFC Report'!$B$7,"")</f>
        <v/>
      </c>
      <c r="BS4" t="str">
        <f>IF(OR(T4="Cash",T4="Cash Adjustments"),"-",_xll.BDP(R4&amp;" FIGI",$BS$1))</f>
        <v>-</v>
      </c>
      <c r="BT4" t="str">
        <f>IF(OR(T4="Cash",T4="Cash Adjustments"),"-",_xll.BDP(R4&amp;" FIGI",$BT$1))</f>
        <v>-</v>
      </c>
      <c r="BU4" t="str">
        <f>IF(OR(T4="Cash",T4="Cash Adjustments"),"-",_xll.BDP(R4&amp;" FIGI",$BU$1))</f>
        <v>-</v>
      </c>
    </row>
    <row r="5" spans="1:73">
      <c r="A5" s="254" t="s">
        <v>15</v>
      </c>
      <c r="B5" s="254" t="s">
        <v>16</v>
      </c>
      <c r="C5" s="254" t="s">
        <v>24</v>
      </c>
      <c r="D5" s="254" t="s">
        <v>22</v>
      </c>
      <c r="E5" s="254"/>
      <c r="F5" s="254" t="s">
        <v>22</v>
      </c>
      <c r="G5" s="254" t="s">
        <v>23</v>
      </c>
      <c r="H5" s="270">
        <v>2554047.4</v>
      </c>
      <c r="I5" s="270">
        <v>1</v>
      </c>
      <c r="J5" s="270">
        <v>2554047.4</v>
      </c>
      <c r="K5" s="270">
        <v>19973608.77</v>
      </c>
      <c r="L5" s="270">
        <v>-179230.61</v>
      </c>
      <c r="M5" s="270">
        <v>0</v>
      </c>
      <c r="N5" s="270">
        <v>19794378.16</v>
      </c>
      <c r="O5" s="255">
        <v>4.4000000000000003E-3</v>
      </c>
      <c r="P5" s="1"/>
      <c r="Q5" s="1" t="str">
        <f t="shared" si="2"/>
        <v>Cash</v>
      </c>
      <c r="R5" s="126"/>
      <c r="S5" s="1" t="str">
        <f>IF(Q5="Cash",Q5,IF(OR(Q5="Receivable Investments",Q5="Payable Investments"),"Cash Adjustments",_xll.BDP(R5&amp;" FIGI",$S$1)))</f>
        <v>Cash</v>
      </c>
      <c r="T5" s="1" t="str">
        <f>IF(Q5="Cash",Q5,IF(OR(Q5="Receivable Investments",Q5="Payable Investments"),"Cash Adjustments",VLOOKUP(R5,LQA!E:S,3,0)))</f>
        <v>Cash</v>
      </c>
      <c r="U5" s="1" t="str">
        <f>IF(Q5="Cash",Q5,IF(OR(Q5="Receivable Investments",Q5="Payable Investments"),"Cash Adjustments",_xll.BDP(R5&amp;" FIGI",$U$1)))</f>
        <v>Cash</v>
      </c>
      <c r="V5" s="10">
        <f>IF(OR(Q5="Cash",Q5="Receivable Investments",Q5="Payable Investments"),0,IF(Q5="Investments",VLOOKUP(R5,LQA!E:Q,12,0),"Not Covered"))</f>
        <v>0</v>
      </c>
      <c r="W5" s="76">
        <f>IF(OR(Q5="Cash",Q5="Receivable Investments",Q5="Payable Investments"),0,IF(Q5="Investments",VLOOKUP(R5,LQA!E:Q,9,0),"Not Covered"))</f>
        <v>0</v>
      </c>
      <c r="X5" s="13" t="str">
        <f>IF(OR(H5=0,T5="Comdty"),"High",IF(V5&lt;='Liquidity Bucket'!$A$4,'Liquidity Bucket'!$I$4,IF(V5&lt;='Liquidity Bucket'!$A$5,'Liquidity Bucket'!$I$5,IF(V5&lt;='Liquidity Bucket'!$A$6,'Liquidity Bucket'!$I$6,IF(V5='Liquidity Bucket'!$A$8,'Liquidity Bucket'!$I$8,'Liquidity Bucket'!$I$7)))))</f>
        <v>High</v>
      </c>
      <c r="Y5" s="153">
        <f>IF(OR(Q5="Cash",Q5="Receivable Investments",Q5="Payable Investments"),0,IF(Q5="Investments",VLOOKUP(R5,'LQA Stress'!E:Q,12,0),"Not Covered"))</f>
        <v>0</v>
      </c>
      <c r="Z5" s="75">
        <f>IF(OR(Q5="Cash",Q5="Receivable Investments",Q5="Payable Investments"),0,IF(Q5="Investments",VLOOKUP(R5,'LQA Stress'!E:Q,9,0),"Not Covered"))</f>
        <v>0</v>
      </c>
      <c r="AA5" s="13" t="str">
        <f>IF(T5="Comdty","High",IF(Y5&lt;='Liquidity Bucket'!$A$4,'Liquidity Bucket'!$I$4,IF(Y5&lt;='Liquidity Bucket'!$A$5,'Liquidity Bucket'!$I$5,IF(Y5&lt;='Liquidity Bucket'!$A$6,'Liquidity Bucket'!$I$6,IF(Y5='Liquidity Bucket'!$A$8,'Liquidity Bucket'!$I$8,'Liquidity Bucket'!$I$7)))))</f>
        <v>High</v>
      </c>
      <c r="AB5" s="14">
        <f>(N5+M5)/'FX Rates'!$C$5</f>
        <v>2553454.35500516</v>
      </c>
      <c r="AC5" s="15" t="str">
        <f>IF(X5="Not Covered", (H5/_xll.BDP(R5&amp;" FIGI",$AC$1)),"")</f>
        <v/>
      </c>
      <c r="AD5" s="16" t="str">
        <f>IF(X5="Not Covered", _xll.BDP(R5&amp;" FIGI",$AD$1),"")</f>
        <v/>
      </c>
      <c r="AE5" s="16" t="str">
        <f>IF(OR(T5="Corp",T5="Govt"),IF(_xll.BDP(R5&amp;" FIGI",$AE$1)="#N/A N/A","",_xll.BDP(R5&amp;" FIGI",$AE$1)),"")</f>
        <v/>
      </c>
      <c r="AF5" s="1" t="str">
        <f>IF(OR(T5="Corp",T5="Govt"),IF(_xll.BDP(R5&amp;" FIGI",$AF$1)="#N/A N/A","",_xll.BDP(R5&amp;" FIGI",$AF$1)),"")</f>
        <v/>
      </c>
      <c r="AG5" s="16" t="str">
        <f>IF(OR(T5="Corp",T5="Govt"),IF(_xll.BDP(R5&amp;" FIGI",$AG$1)="#N/A N/A","",_xll.BDP(R5&amp;" FIGI",$AG$1)),"")</f>
        <v/>
      </c>
      <c r="AH5" s="125">
        <f>IF(OR(S5="Cash",S5="M-Mkt"),21,IF(AE5="",0,VLOOKUP(AE5,'Rating Scale'!A:B,2,0)))</f>
        <v>21</v>
      </c>
      <c r="AI5" s="125">
        <f>IF(OR(S5="Cash",S5="M-Mkt"),21,IF(AF5="",0,VLOOKUP(AF5,'Rating Scale'!D:E,2,0)))</f>
        <v>21</v>
      </c>
      <c r="AJ5" s="125">
        <f>IF(OR(S5="Cash",S5="M-Mkt"),21,IF(AG5="",0,VLOOKUP(AG5,'Rating Scale'!G:H,2,0)))</f>
        <v>21</v>
      </c>
      <c r="AK5">
        <f t="shared" si="3"/>
        <v>21</v>
      </c>
      <c r="AL5" s="1" t="str">
        <f>IF(OR(U5="Cash",U5="Cash Adjustments"),_xll.BDP(G5&amp;" Curncy","Country"),IF(T5="Equity",_xll.BDP(R5&amp;" FIGI","CNTRY_ISSUE_ISO"),_xll.BDP(R5&amp;" FIGI",$AL$1)))</f>
        <v>US</v>
      </c>
      <c r="AM5" s="126" t="str">
        <f>IF(OR(T5="Cash",T5="Cash Adjustments",T5="M-Mkt"), T5, IF(T5="Comdty",AS5, _xll.BDP(R5&amp;" FIGI", $AM$1)))</f>
        <v>Cash</v>
      </c>
      <c r="AN5" s="126" t="str">
        <f>IF(OR(T5="Cash",T5="Cash Adjustments",T5="M-Mkt"), T5,  IF(T5="Comdty",AS5,_xll.BDP(R5&amp;" FIGI", $AN$1)))</f>
        <v>Cash</v>
      </c>
      <c r="AO5" s="126" t="str">
        <f>IF(OR(T5="Cash",T5="Cash Adjustments",T5="M-Mkt"), T5,  IF(T5="Comdty",AS5,_xll.BDP(R5&amp;" FIGI", $AO$1)))</f>
        <v>Cash</v>
      </c>
      <c r="AP5" s="13" t="str">
        <f>IF(OR(T5="Cash",T5="Cash Adjustments"), T5, IF(_xll.BDP(R5&amp;" FIGI", $AP$1)="#N/A Field Not Applicable","N",_xll.BDP(R5&amp;" FIGI", $AP$1)))</f>
        <v>Cash</v>
      </c>
      <c r="AQ5" s="1" t="str">
        <f>IF(OR(T5="Cash",T5="Cash Adjustments"), T5, IF(_xll.BDP(R5&amp;" FIGI", $AQ$1)="#N/A Field Not Applicable"," ",_xll.BDP(R5&amp;" FIGI", $AQ$1)))</f>
        <v>Cash</v>
      </c>
      <c r="AR5" s="1" t="str">
        <f>IF(OR(T5="Cash",T5="Cash Adjustments"), T5, IF(_xll.BDP(R5&amp;" FIGI", $AR$1)="#N/A Field Not Applicable"," ",_xll.BDP(R5&amp;" FIGI", $AR$1)))</f>
        <v>Cash</v>
      </c>
      <c r="AS5" s="1" t="str">
        <f>VLOOKUP(T5,'SFC Classifcation'!$F$2:$H$7,3,0)</f>
        <v>Cash</v>
      </c>
      <c r="AT5" s="22" t="str">
        <f t="shared" si="0"/>
        <v>Cash</v>
      </c>
      <c r="AU5" s="1" t="str">
        <f t="shared" si="4"/>
        <v/>
      </c>
      <c r="AV5" s="1" t="str">
        <f>IF(OR(T5="Cash",T5="Cash Adjustments"),T5,VLOOKUP(AL5,'SFC Classifcation'!$A:$C,3,0))</f>
        <v>Cash</v>
      </c>
      <c r="AW5" s="22" t="str">
        <f t="shared" si="5"/>
        <v>High</v>
      </c>
      <c r="AX5" s="22" t="str">
        <f t="shared" si="6"/>
        <v>High</v>
      </c>
      <c r="AY5" s="45" t="str">
        <f>IF(OR(T5="Cash",T5="Cash Adjustments"), T5, _xll.BDP(R5&amp;" FIGI", $AY$1))</f>
        <v>Cash</v>
      </c>
      <c r="AZ5" s="45" t="str">
        <f>IF(OR(T5="Cash",T5="Cash Adjustments"), T5, _xll.BDP(R5&amp;" FIGI", $AZ$1))</f>
        <v>Cash</v>
      </c>
      <c r="BA5" s="45" t="str">
        <f>IF(OR(T5="Cash",T5="Cash Adjustments"), T5, _xll.BDP(R5&amp;" FIGI", $BA$1))</f>
        <v>Cash</v>
      </c>
      <c r="BB5" s="45" t="str">
        <f>IF(OR(AS5="Government",AS5="Corporate"),(AK5*AB5/'SFC Report'!$C$20),"")</f>
        <v/>
      </c>
      <c r="BC5" s="174" t="str">
        <f>IF(OR(T5="Cash",T5="Cash Adjustments", T5="FX Forward", T5="Repo", T5="Equity", T5="M-Mkt"), "", _xll.BDP(R5&amp;" FIGI", $BC$1))</f>
        <v/>
      </c>
      <c r="BD5" s="125" t="str">
        <f>IF(OR(T5="Cash",T5="Cash Adjustments",T5="FX Forward",T5="Repo", T5="Equity", T5="M-Mkt"),"",(BC5-'SFC Report'!$B$13)/365)</f>
        <v/>
      </c>
      <c r="BE5" s="82" t="str">
        <f t="shared" si="1"/>
        <v/>
      </c>
      <c r="BF5" s="5" t="str">
        <f>IF(BC5="","",BD5*AB5/'SFC Report'!$C$20)</f>
        <v/>
      </c>
      <c r="BG5" s="14" t="str" cm="1">
        <f t="array" ref="BG5">IF(OR(AS5="Corporate",AS5="Government"),_xll.BDP(G5&amp;" ISIN", $BG$1),"")</f>
        <v/>
      </c>
      <c r="BH5" s="140" t="str">
        <f>IF(OR(AS5="Corporate",AS5="Government"),BG5*BN5/'SFC Report'!$C$20,"")</f>
        <v/>
      </c>
      <c r="BI5" s="140" t="str">
        <f>IF(OR(AS5="Corporate",AS5="Government"),_xll.BDP(G5&amp;" ISIN", $BI$1),"")</f>
        <v/>
      </c>
      <c r="BJ5" s="140" t="str">
        <f>IF(S5="Bond",BI5*AB5/'SFC Report'!$C$20,"")</f>
        <v/>
      </c>
      <c r="BK5" s="153" t="str">
        <f>IF(OR(T5="Cash",T5="Cash Adjustments"),"-",_xll.BDP(R5&amp;" FIGI",$BK$1))</f>
        <v>-</v>
      </c>
      <c r="BL5" s="11" t="str">
        <f>IF(OR(AS5="Cash", AS5="Cash Adjustments"),"-",IF(ISNA(VLOOKUP(BK5,'BBG - VaR Data (Sample, Indus )'!C:N,5,0)),"-",VLOOKUP(BK5,'BBG - VaR Data (Sample, Indus )'!C:N,5,0)))</f>
        <v>-</v>
      </c>
      <c r="BM5" s="11" t="str">
        <f>IF(OR(AS5="Cash", AS5="Cash Adjustments"),"-",IF(ISNA(VLOOKUP(BK5,'BBG - Scenarios (Sample View)'!C:Z,14,0)),"-",VLOOKUP(BK5,'BBG - Scenarios (Sample View)'!C:Z,14,0)))</f>
        <v>-</v>
      </c>
      <c r="BN5" s="14">
        <f t="shared" si="7"/>
        <v>2553454.35500516</v>
      </c>
      <c r="BO5" s="1">
        <f t="shared" si="8"/>
        <v>5.0089808564216035E-3</v>
      </c>
      <c r="BP5" t="str">
        <f>IF(BC5&lt;&gt;0,MaturityBucket(BG5),"")</f>
        <v/>
      </c>
      <c r="BQ5" s="11" t="str">
        <f>IF(OR(T5="Cash",T5="Cash Adjustments"),T5,VLOOKUP(AL5,'SFC Classifcation'!$A:$C,2,0))</f>
        <v>Cash</v>
      </c>
      <c r="BR5" s="1" t="str">
        <f>IF(S5="Bond",BH5/'SFC Report'!$B$7,"")</f>
        <v/>
      </c>
      <c r="BS5" t="str">
        <f>IF(OR(T5="Cash",T5="Cash Adjustments"),"-",_xll.BDP(R5&amp;" FIGI",$BS$1))</f>
        <v>-</v>
      </c>
      <c r="BT5" t="str">
        <f>IF(OR(T5="Cash",T5="Cash Adjustments"),"-",_xll.BDP(R5&amp;" FIGI",$BT$1))</f>
        <v>-</v>
      </c>
      <c r="BU5" t="str">
        <f>IF(OR(T5="Cash",T5="Cash Adjustments"),"-",_xll.BDP(R5&amp;" FIGI",$BU$1))</f>
        <v>-</v>
      </c>
    </row>
    <row r="6" spans="1:73">
      <c r="A6" s="254" t="s">
        <v>15</v>
      </c>
      <c r="B6" s="254" t="s">
        <v>25</v>
      </c>
      <c r="C6" s="254"/>
      <c r="D6" s="254" t="s">
        <v>20</v>
      </c>
      <c r="E6" s="254"/>
      <c r="F6" s="254" t="s">
        <v>26</v>
      </c>
      <c r="G6" s="254" t="s">
        <v>27</v>
      </c>
      <c r="H6" s="270">
        <v>177200</v>
      </c>
      <c r="I6" s="270">
        <v>71.95</v>
      </c>
      <c r="J6" s="270">
        <v>12571534.66</v>
      </c>
      <c r="K6" s="270">
        <v>12571534.66</v>
      </c>
      <c r="L6" s="270">
        <v>178005.34</v>
      </c>
      <c r="M6" s="270">
        <v>0</v>
      </c>
      <c r="N6" s="270">
        <v>12749540</v>
      </c>
      <c r="O6" s="255">
        <v>2.8E-3</v>
      </c>
      <c r="P6" s="1"/>
      <c r="Q6" s="1" t="str">
        <f t="shared" si="2"/>
        <v>Investments</v>
      </c>
      <c r="R6" s="9" t="str">
        <f>_xll.BDP(G6&amp;" Equity",$R$1)</f>
        <v>BBG0016XR1Q8</v>
      </c>
      <c r="S6" s="1" t="str">
        <f>IF(Q6="Cash",Q6,IF(OR(Q6="Receivable Investments",Q6="Payable Investments"),"Cash Adjustments",_xll.BDP(R6&amp;" FIGI",$S$1)))</f>
        <v>EQUI</v>
      </c>
      <c r="T6" s="1" t="str">
        <f>IF(Q6="Cash",Q6,IF(OR(Q6="Receivable Investments",Q6="Payable Investments"),"Cash Adjustments",VLOOKUP(R6,LQA!E:S,3,0)))</f>
        <v>Equity</v>
      </c>
      <c r="U6" s="1" t="str">
        <f>IF(Q6="Cash",Q6,IF(OR(Q6="Receivable Investments",Q6="Payable Investments"),"Cash Adjustments",_xll.BDP(R6&amp;" FIGI",$U$1)))</f>
        <v>Common Stock</v>
      </c>
      <c r="V6" s="10">
        <f>IF(OR(Q6="Cash",Q6="Receivable Investments",Q6="Payable Investments"),0,IF(Q6="Investments",VLOOKUP(R6,LQA!E:Q,12,0),"Not Covered"))</f>
        <v>0.2</v>
      </c>
      <c r="W6" s="76">
        <f>IF(OR(Q6="Cash",Q6="Receivable Investments",Q6="Payable Investments"),0,IF(Q6="Investments",VLOOKUP(R6,LQA!E:Q,9,0),"Not Covered"))</f>
        <v>1.6579E-2</v>
      </c>
      <c r="X6" s="13" t="str">
        <f>IF(OR(H6=0,T6="Comdty"),"High",IF(V6&lt;='Liquidity Bucket'!$A$4,'Liquidity Bucket'!$I$4,IF(V6&lt;='Liquidity Bucket'!$A$5,'Liquidity Bucket'!$I$5,IF(V6&lt;='Liquidity Bucket'!$A$6,'Liquidity Bucket'!$I$6,IF(V6='Liquidity Bucket'!$A$8,'Liquidity Bucket'!$I$8,'Liquidity Bucket'!$I$7)))))</f>
        <v>High</v>
      </c>
      <c r="Y6" s="153">
        <f>IF(OR(Q6="Cash",Q6="Receivable Investments",Q6="Payable Investments"),0,IF(Q6="Investments",VLOOKUP(R6,'LQA Stress'!E:Q,12,0),"Not Covered"))</f>
        <v>0.4</v>
      </c>
      <c r="Z6" s="75">
        <f>IF(OR(Q6="Cash",Q6="Receivable Investments",Q6="Payable Investments"),0,IF(Q6="Investments",VLOOKUP(R6,'LQA Stress'!E:Q,9,0),"Not Covered"))</f>
        <v>2.9774999999999999E-2</v>
      </c>
      <c r="AA6" s="13" t="str">
        <f>IF(T6="Comdty","High",IF(Y6&lt;='Liquidity Bucket'!$A$4,'Liquidity Bucket'!$I$4,IF(Y6&lt;='Liquidity Bucket'!$A$5,'Liquidity Bucket'!$I$5,IF(Y6&lt;='Liquidity Bucket'!$A$6,'Liquidity Bucket'!$I$6,IF(Y6='Liquidity Bucket'!$A$8,'Liquidity Bucket'!$I$8,'Liquidity Bucket'!$I$7)))))</f>
        <v>High</v>
      </c>
      <c r="AB6" s="14">
        <f>(N6+M6)/'FX Rates'!$C$5</f>
        <v>1644677.5025799794</v>
      </c>
      <c r="AC6" s="15" t="str">
        <f>IF(X6="Not Covered", (H6/_xll.BDP(R6&amp;" FIGI",$AC$1)),"")</f>
        <v/>
      </c>
      <c r="AD6" s="16" t="str">
        <f>IF(X6="Not Covered", _xll.BDP(R6&amp;" FIGI",$AD$1),"")</f>
        <v/>
      </c>
      <c r="AE6" s="16" t="str">
        <f>IF(OR(T6="Corp",T6="Govt"),IF(_xll.BDP(R6&amp;" FIGI",$AE$1)="#N/A N/A","",_xll.BDP(R6&amp;" FIGI",$AE$1)),"")</f>
        <v/>
      </c>
      <c r="AF6" s="1" t="str">
        <f>IF(OR(T6="Corp",T6="Govt"),IF(_xll.BDP(R6&amp;" FIGI",$AF$1)="#N/A N/A","",_xll.BDP(R6&amp;" FIGI",$AF$1)),"")</f>
        <v/>
      </c>
      <c r="AG6" s="16" t="str">
        <f>IF(OR(T6="Corp",T6="Govt"),IF(_xll.BDP(R6&amp;" FIGI",$AG$1)="#N/A N/A","",_xll.BDP(R6&amp;" FIGI",$AG$1)),"")</f>
        <v/>
      </c>
      <c r="AH6" s="125">
        <f>IF(OR(S6="Cash",S6="M-Mkt"),21,IF(AE6="",0,VLOOKUP(AE6,'Rating Scale'!A:B,2,0)))</f>
        <v>0</v>
      </c>
      <c r="AI6" s="125">
        <f>IF(OR(S6="Cash",S6="M-Mkt"),21,IF(AF6="",0,VLOOKUP(AF6,'Rating Scale'!D:E,2,0)))</f>
        <v>0</v>
      </c>
      <c r="AJ6" s="125">
        <f>IF(OR(S6="Cash",S6="M-Mkt"),21,IF(AG6="",0,VLOOKUP(AG6,'Rating Scale'!G:H,2,0)))</f>
        <v>0</v>
      </c>
      <c r="AK6">
        <f t="shared" si="3"/>
        <v>0</v>
      </c>
      <c r="AL6" s="1" t="str">
        <f>IF(OR(U6="Cash",U6="Cash Adjustments"),_xll.BDP(G6&amp;" Curncy","Country"),IF(T6="Equity",_xll.BDP(R6&amp;" FIGI","CNTRY_ISSUE_ISO"),_xll.BDP(R6&amp;" FIGI",$AL$1)))</f>
        <v>HK</v>
      </c>
      <c r="AM6" s="126" t="str">
        <f>IF(OR(T6="Cash",T6="Cash Adjustments",T6="M-Mkt"), T6, IF(T6="Comdty",AS6, _xll.BDP(R6&amp;" FIGI", $AM$1)))</f>
        <v>Financial</v>
      </c>
      <c r="AN6" s="126" t="str">
        <f>IF(OR(T6="Cash",T6="Cash Adjustments",T6="M-Mkt"), T6,  IF(T6="Comdty",AS6,_xll.BDP(R6&amp;" FIGI", $AN$1)))</f>
        <v>Insurance</v>
      </c>
      <c r="AO6" s="126" t="str">
        <f>IF(OR(T6="Cash",T6="Cash Adjustments",T6="M-Mkt"), T6,  IF(T6="Comdty",AS6,_xll.BDP(R6&amp;" FIGI", $AO$1)))</f>
        <v>Life/Health Insurance</v>
      </c>
      <c r="AP6" s="13" t="str">
        <f>IF(OR(T6="Cash",T6="Cash Adjustments"), T6, IF(_xll.BDP(R6&amp;" FIGI", $AP$1)="#N/A Field Not Applicable","N",_xll.BDP(R6&amp;" FIGI", $AP$1)))</f>
        <v>N</v>
      </c>
      <c r="AQ6" s="1" t="str">
        <f>IF(OR(T6="Cash",T6="Cash Adjustments"), T6, IF(_xll.BDP(R6&amp;" FIGI", $AQ$1)="#N/A Field Not Applicable"," ",_xll.BDP(R6&amp;" FIGI", $AQ$1)))</f>
        <v xml:space="preserve"> </v>
      </c>
      <c r="AR6" s="1" t="str">
        <f>IF(OR(T6="Cash",T6="Cash Adjustments"), T6, IF(_xll.BDP(R6&amp;" FIGI", $AR$1)="#N/A Field Not Applicable"," ",_xll.BDP(R6&amp;" FIGI", $AR$1)))</f>
        <v>ACTV</v>
      </c>
      <c r="AS6" s="1" t="str">
        <f>VLOOKUP(T6,'SFC Classifcation'!$F$2:$H$7,3,0)</f>
        <v>Equity</v>
      </c>
      <c r="AT6" s="22" t="str">
        <f t="shared" si="0"/>
        <v>Financial</v>
      </c>
      <c r="AU6" s="1" t="str">
        <f t="shared" si="4"/>
        <v/>
      </c>
      <c r="AV6" s="1" t="str">
        <f>IF(OR(T6="Cash",T6="Cash Adjustments"),T6,VLOOKUP(AL6,'SFC Classifcation'!$A:$C,3,0))</f>
        <v>Hong Kong</v>
      </c>
      <c r="AW6" s="22" t="str">
        <f t="shared" si="5"/>
        <v>High</v>
      </c>
      <c r="AX6" s="22" t="str">
        <f t="shared" si="6"/>
        <v>High</v>
      </c>
      <c r="AY6" s="45" t="str">
        <f>IF(OR(T6="Cash",T6="Cash Adjustments"), T6, _xll.BDP(R6&amp;" FIGI", $AY$1))</f>
        <v>Financials</v>
      </c>
      <c r="AZ6" s="45" t="str">
        <f>IF(OR(T6="Cash",T6="Cash Adjustments"), T6, _xll.BDP(R6&amp;" FIGI", $AZ$1))</f>
        <v>Life/Health Insurance</v>
      </c>
      <c r="BA6" s="45" t="str">
        <f>IF(OR(T6="Cash",T6="Cash Adjustments"), T6, _xll.BDP(R6&amp;" FIGI", $BA$1))</f>
        <v>#N/A Field Not Applicable</v>
      </c>
      <c r="BB6" s="45" t="str">
        <f>IF(OR(AS6="Government",AS6="Corporate"),(AK6*AB6/'SFC Report'!$C$20),"")</f>
        <v/>
      </c>
      <c r="BC6" s="174" t="str">
        <f>IF(OR(T6="Cash",T6="Cash Adjustments", T6="FX Forward", T6="Repo", T6="Equity", T6="M-Mkt"), "", _xll.BDP(R6&amp;" FIGI", $BC$1))</f>
        <v/>
      </c>
      <c r="BD6" s="125" t="str">
        <f>IF(OR(T6="Cash",T6="Cash Adjustments",T6="FX Forward",T6="Repo", T6="Equity", T6="M-Mkt"),"",(BC6-'SFC Report'!$B$13)/365)</f>
        <v/>
      </c>
      <c r="BE6" s="82" t="str">
        <f t="shared" si="1"/>
        <v/>
      </c>
      <c r="BF6" s="5" t="str">
        <f>IF(BC6="","",BD6*AB6/'SFC Report'!$C$20)</f>
        <v/>
      </c>
      <c r="BG6" s="14" t="str" cm="1">
        <f t="array" ref="BG6">IF(OR(AS6="Corporate",AS6="Government"),_xll.BDP(G6&amp;" ISIN", $BG$1),"")</f>
        <v/>
      </c>
      <c r="BH6" s="140" t="str">
        <f>IF(OR(AS6="Corporate",AS6="Government"),BG6*BN6/'SFC Report'!$C$20,"")</f>
        <v/>
      </c>
      <c r="BI6" s="140" t="str">
        <f>IF(OR(AS6="Corporate",AS6="Government"),_xll.BDP(G6&amp;" ISIN", $BI$1),"")</f>
        <v/>
      </c>
      <c r="BJ6" s="140" t="str">
        <f>IF(OR(AS6="Corporate",AS6="Government"),BI6*AB6/'SFC Report'!$C$20,"")</f>
        <v/>
      </c>
      <c r="BK6" s="153" t="str">
        <f>IF(OR(T6="Cash",T6="Cash Adjustments"),"-",_xll.BDP(R6&amp;" FIGI",$BK$1))</f>
        <v>HK0000069689</v>
      </c>
      <c r="BL6" s="11" t="str">
        <f>IF(OR(AS6="Cash", AS6="Cash Adjustments"),"-",IF(ISNA(VLOOKUP(BK6,'BBG - VaR Data (Sample, Indus )'!C:N,5,0)),"-",VLOOKUP(BK6,'BBG - VaR Data (Sample, Indus )'!C:N,5,0)))</f>
        <v>-</v>
      </c>
      <c r="BM6" s="11">
        <f>IF(OR(AS6="Cash", AS6="Cash Adjustments"),"-",IF(ISNA(VLOOKUP(BK6,'BBG - Scenarios (Sample View)'!C:Z,14,0)),"-",VLOOKUP(BK6,'BBG - Scenarios (Sample View)'!C:Z,14,0)))</f>
        <v>-9.0500000000000007</v>
      </c>
      <c r="BN6" s="14">
        <f t="shared" si="7"/>
        <v>1644677.5025799794</v>
      </c>
      <c r="BO6" s="1">
        <f t="shared" si="8"/>
        <v>3.22627976852704E-3</v>
      </c>
      <c r="BP6" t="str">
        <f>IF(BC6&lt;&gt;0,MaturityBucket(BG6),"")</f>
        <v/>
      </c>
      <c r="BQ6" s="11" t="str">
        <f>IF(OR(T6="Cash",T6="Cash Adjustments"),T6,VLOOKUP(AL6,'SFC Classifcation'!$A:$C,2,0))</f>
        <v>Hong Kong</v>
      </c>
      <c r="BR6" s="1" t="str">
        <f>IF(S6="Bond",BH6/'SFC Report'!$B$7,"")</f>
        <v/>
      </c>
      <c r="BS6" t="str">
        <f>IF(OR(T6="Cash",T6="Cash Adjustments"),"-",_xll.BDP(R6&amp;" FIGI",$BS$1))</f>
        <v>#N/A Field Not Applicable</v>
      </c>
      <c r="BT6" t="str">
        <f>IF(OR(T6="Cash",T6="Cash Adjustments"),"-",_xll.BDP(R6&amp;" FIGI",$BT$1))</f>
        <v>#N/A Field Not Applicable</v>
      </c>
      <c r="BU6" t="str">
        <f>IF(OR(T6="Cash",T6="Cash Adjustments"),"-",_xll.BDP(R6&amp;" FIGI",$BU$1))</f>
        <v>#N/A Field Not Applicable</v>
      </c>
    </row>
    <row r="7" spans="1:73">
      <c r="A7" s="254" t="s">
        <v>15</v>
      </c>
      <c r="B7" s="254" t="s">
        <v>25</v>
      </c>
      <c r="C7" s="254"/>
      <c r="D7" s="254" t="s">
        <v>20</v>
      </c>
      <c r="E7" s="254"/>
      <c r="F7" s="254" t="s">
        <v>1065</v>
      </c>
      <c r="G7" s="254" t="s">
        <v>1066</v>
      </c>
      <c r="H7" s="270">
        <v>127000</v>
      </c>
      <c r="I7" s="270">
        <v>197</v>
      </c>
      <c r="J7" s="270">
        <v>22577241.100000001</v>
      </c>
      <c r="K7" s="270">
        <v>22577241.100000001</v>
      </c>
      <c r="L7" s="270">
        <v>2441758.9</v>
      </c>
      <c r="M7" s="270">
        <v>0</v>
      </c>
      <c r="N7" s="270">
        <v>25019000</v>
      </c>
      <c r="O7" s="255">
        <v>5.4999999999999997E-3</v>
      </c>
      <c r="P7" s="1"/>
      <c r="Q7" s="1" t="str">
        <f t="shared" si="2"/>
        <v>Investments</v>
      </c>
      <c r="R7" s="9" t="str">
        <f>_xll.BDP(G7&amp;" Equity",$R$1)</f>
        <v>BBG00QV37ZP9</v>
      </c>
      <c r="S7" s="1" t="str">
        <f>IF(Q7="Cash",Q7,IF(OR(Q7="Receivable Investments",Q7="Payable Investments"),"Cash Adjustments",_xll.BDP(R7&amp;" FIGI",$S$1)))</f>
        <v>EQUI</v>
      </c>
      <c r="T7" s="1" t="str">
        <f>IF(Q7="Cash",Q7,IF(OR(Q7="Receivable Investments",Q7="Payable Investments"),"Cash Adjustments",VLOOKUP(R7,LQA!E:S,3,0)))</f>
        <v>Equity</v>
      </c>
      <c r="U7" s="1" t="str">
        <f>IF(Q7="Cash",Q7,IF(OR(Q7="Receivable Investments",Q7="Payable Investments"),"Cash Adjustments",_xll.BDP(R7&amp;" FIGI",$U$1)))</f>
        <v>Common Stock</v>
      </c>
      <c r="V7" s="10">
        <f>IF(OR(Q7="Cash",Q7="Receivable Investments",Q7="Payable Investments"),0,IF(Q7="Investments",VLOOKUP(R7,LQA!E:Q,12,0),"Not Covered"))</f>
        <v>0.2</v>
      </c>
      <c r="W7" s="76">
        <f>IF(OR(Q7="Cash",Q7="Receivable Investments",Q7="Payable Investments"),0,IF(Q7="Investments",VLOOKUP(R7,LQA!E:Q,9,0),"Not Covered"))</f>
        <v>1.5845999999999999E-2</v>
      </c>
      <c r="X7" s="13" t="str">
        <f>IF(OR(H7=0,T7="Comdty"),"High",IF(V7&lt;='Liquidity Bucket'!$A$4,'Liquidity Bucket'!$I$4,IF(V7&lt;='Liquidity Bucket'!$A$5,'Liquidity Bucket'!$I$5,IF(V7&lt;='Liquidity Bucket'!$A$6,'Liquidity Bucket'!$I$6,IF(V7='Liquidity Bucket'!$A$8,'Liquidity Bucket'!$I$8,'Liquidity Bucket'!$I$7)))))</f>
        <v>High</v>
      </c>
      <c r="Y7" s="153">
        <f>IF(OR(Q7="Cash",Q7="Receivable Investments",Q7="Payable Investments"),0,IF(Q7="Investments",VLOOKUP(R7,'LQA Stress'!E:Q,12,0),"Not Covered"))</f>
        <v>0.5</v>
      </c>
      <c r="Z7" s="75">
        <f>IF(OR(Q7="Cash",Q7="Receivable Investments",Q7="Payable Investments"),0,IF(Q7="Investments",VLOOKUP(R7,'LQA Stress'!E:Q,9,0),"Not Covered"))</f>
        <v>2.852E-2</v>
      </c>
      <c r="AA7" s="13" t="str">
        <f>IF(T7="Comdty","High",IF(Y7&lt;='Liquidity Bucket'!$A$4,'Liquidity Bucket'!$I$4,IF(Y7&lt;='Liquidity Bucket'!$A$5,'Liquidity Bucket'!$I$5,IF(Y7&lt;='Liquidity Bucket'!$A$6,'Liquidity Bucket'!$I$6,IF(Y7='Liquidity Bucket'!$A$8,'Liquidity Bucket'!$I$8,'Liquidity Bucket'!$I$7)))))</f>
        <v>High</v>
      </c>
      <c r="AB7" s="14">
        <f>(N7+M7)/'FX Rates'!$C$5</f>
        <v>3227425.1805985551</v>
      </c>
      <c r="AC7" s="15" t="str">
        <f>IF(X7="Not Covered", (H7/_xll.BDP(R7&amp;" FIGI",$AC$1)),"")</f>
        <v/>
      </c>
      <c r="AD7" s="16" t="str">
        <f>IF(X7="Not Covered", _xll.BDP(R7&amp;" FIGI",$AD$1),"")</f>
        <v/>
      </c>
      <c r="AE7" s="16" t="str">
        <f>IF(OR(T7="Corp",T7="Govt"),IF(_xll.BDP(R7&amp;" FIGI",$AE$1)="#N/A N/A","",_xll.BDP(R7&amp;" FIGI",$AE$1)),"")</f>
        <v/>
      </c>
      <c r="AF7" s="1" t="str">
        <f>IF(OR(T7="Corp",T7="Govt"),IF(_xll.BDP(R7&amp;" FIGI",$AF$1)="#N/A N/A","",_xll.BDP(R7&amp;" FIGI",$AF$1)),"")</f>
        <v/>
      </c>
      <c r="AG7" s="16" t="str">
        <f>IF(OR(T7="Corp",T7="Govt"),IF(_xll.BDP(R7&amp;" FIGI",$AG$1)="#N/A N/A","",_xll.BDP(R7&amp;" FIGI",$AG$1)),"")</f>
        <v/>
      </c>
      <c r="AH7" s="125">
        <f>IF(OR(S7="Cash",S7="M-Mkt"),21,IF(AE7="",0,VLOOKUP(AE7,'Rating Scale'!A:B,2,0)))</f>
        <v>0</v>
      </c>
      <c r="AI7" s="125">
        <f>IF(OR(S7="Cash",S7="M-Mkt"),21,IF(AF7="",0,VLOOKUP(AF7,'Rating Scale'!D:E,2,0)))</f>
        <v>0</v>
      </c>
      <c r="AJ7" s="125">
        <f>IF(OR(S7="Cash",S7="M-Mkt"),21,IF(AG7="",0,VLOOKUP(AG7,'Rating Scale'!G:H,2,0)))</f>
        <v>0</v>
      </c>
      <c r="AK7">
        <f t="shared" si="3"/>
        <v>0</v>
      </c>
      <c r="AL7" s="1" t="str">
        <f>IF(OR(U7="Cash",U7="Cash Adjustments"),_xll.BDP(G7&amp;" Curncy","Country"),IF(T7="Equity",_xll.BDP(R7&amp;" FIGI","CNTRY_ISSUE_ISO"),_xll.BDP(R7&amp;" FIGI",$AL$1)))</f>
        <v>HK</v>
      </c>
      <c r="AM7" s="126" t="str">
        <f>IF(OR(T7="Cash",T7="Cash Adjustments",T7="M-Mkt"), T7, IF(T7="Comdty",AS7, _xll.BDP(R7&amp;" FIGI", $AM$1)))</f>
        <v>Communications</v>
      </c>
      <c r="AN7" s="126" t="str">
        <f>IF(OR(T7="Cash",T7="Cash Adjustments",T7="M-Mkt"), T7,  IF(T7="Comdty",AS7,_xll.BDP(R7&amp;" FIGI", $AN$1)))</f>
        <v>Internet</v>
      </c>
      <c r="AO7" s="126" t="str">
        <f>IF(OR(T7="Cash",T7="Cash Adjustments",T7="M-Mkt"), T7,  IF(T7="Comdty",AS7,_xll.BDP(R7&amp;" FIGI", $AO$1)))</f>
        <v>E-Commerce/Products</v>
      </c>
      <c r="AP7" s="13" t="str">
        <f>IF(OR(T7="Cash",T7="Cash Adjustments"), T7, IF(_xll.BDP(R7&amp;" FIGI", $AP$1)="#N/A Field Not Applicable","N",_xll.BDP(R7&amp;" FIGI", $AP$1)))</f>
        <v>N</v>
      </c>
      <c r="AQ7" s="1" t="str">
        <f>IF(OR(T7="Cash",T7="Cash Adjustments"), T7, IF(_xll.BDP(R7&amp;" FIGI", $AQ$1)="#N/A Field Not Applicable"," ",_xll.BDP(R7&amp;" FIGI", $AQ$1)))</f>
        <v xml:space="preserve"> </v>
      </c>
      <c r="AR7" s="1" t="str">
        <f>IF(OR(T7="Cash",T7="Cash Adjustments"), T7, IF(_xll.BDP(R7&amp;" FIGI", $AR$1)="#N/A Field Not Applicable"," ",_xll.BDP(R7&amp;" FIGI", $AR$1)))</f>
        <v>ACTV</v>
      </c>
      <c r="AS7" s="1" t="str">
        <f>VLOOKUP(T7,'SFC Classifcation'!$F$2:$H$7,3,0)</f>
        <v>Equity</v>
      </c>
      <c r="AT7" s="22" t="str">
        <f t="shared" si="0"/>
        <v>Non-Financial</v>
      </c>
      <c r="AU7" s="1" t="str">
        <f t="shared" si="4"/>
        <v/>
      </c>
      <c r="AV7" s="1" t="str">
        <f>IF(OR(T7="Cash",T7="Cash Adjustments"),T7,VLOOKUP(AL7,'SFC Classifcation'!$A:$C,3,0))</f>
        <v>Hong Kong</v>
      </c>
      <c r="AW7" s="22" t="str">
        <f t="shared" si="5"/>
        <v>High</v>
      </c>
      <c r="AX7" s="22" t="str">
        <f>LQBucket(AA7,AK7,AD7,AC7)</f>
        <v>High</v>
      </c>
      <c r="AY7" s="45" t="str">
        <f>IF(OR(T7="Cash",T7="Cash Adjustments"), T7, _xll.BDP(R7&amp;" FIGI", $AY$1))</f>
        <v>Consumer Discretionary</v>
      </c>
      <c r="AZ7" s="45" t="str">
        <f>IF(OR(T7="Cash",T7="Cash Adjustments"), T7, _xll.BDP(R7&amp;" FIGI", $AZ$1))</f>
        <v>E-Commerce/Products</v>
      </c>
      <c r="BA7" s="45" t="str">
        <f>IF(OR(T7="Cash",T7="Cash Adjustments"), T7, _xll.BDP(R7&amp;" FIGI", $BA$1))</f>
        <v>#N/A Field Not Applicable</v>
      </c>
      <c r="BB7" s="45" t="str">
        <f>IF(OR(AS7="Government",AS7="Corporate"),(AK7*AB7/'SFC Report'!$C$20),"")</f>
        <v/>
      </c>
      <c r="BC7" s="174" t="str">
        <f>IF(OR(T7="Cash",T7="Cash Adjustments", T7="FX Forward", T7="Repo", T7="Equity", T7="M-Mkt"), "", _xll.BDP(R7&amp;" FIGI", $BC$1))</f>
        <v/>
      </c>
      <c r="BD7" s="125" t="str">
        <f>IF(OR(T7="Cash",T7="Cash Adjustments",T7="FX Forward",T7="Repo", T7="Equity", T7="M-Mkt"),"",(BC7-'SFC Report'!$B$13)/365)</f>
        <v/>
      </c>
      <c r="BE7" s="82" t="str">
        <f t="shared" si="1"/>
        <v/>
      </c>
      <c r="BF7" s="5" t="str">
        <f>IF(BC7="","",BD7*AB7/'SFC Report'!$C$20)</f>
        <v/>
      </c>
      <c r="BG7" s="14" t="str" cm="1">
        <f t="array" ref="BG7">IF(OR(AS7="Corporate",AS7="Government"),_xll.BDP(G7&amp;" ISIN", $BG$1),"")</f>
        <v/>
      </c>
      <c r="BH7" s="140" t="str">
        <f>IF(OR(AS7="Corporate",AS7="Government"),BG7*BN7/'SFC Report'!$C$20,"")</f>
        <v/>
      </c>
      <c r="BI7" s="140" t="str">
        <f>IF(OR(AS7="Corporate",AS7="Government"),_xll.BDP(G7&amp;" ISIN", $BI$1),"")</f>
        <v/>
      </c>
      <c r="BJ7" s="140" t="str">
        <f>IF(OR(AS7="Corporate",AS7="Government"),BI7*AB7/'SFC Report'!$C$20,"")</f>
        <v/>
      </c>
      <c r="BK7" s="153" t="str">
        <f>IF(OR(T7="Cash",T7="Cash Adjustments"),"-",_xll.BDP(R7&amp;" FIGI",$BK$1))</f>
        <v>KYG017191142</v>
      </c>
      <c r="BL7" s="11" t="str">
        <f>IF(OR(AS7="Cash", AS7="Cash Adjustments"),"-",IF(ISNA(VLOOKUP(BK7,'BBG - VaR Data (Sample, Indus )'!C:N,5,0)),"-",VLOOKUP(BK7,'BBG - VaR Data (Sample, Indus )'!C:N,5,0)))</f>
        <v>-</v>
      </c>
      <c r="BM7" s="11">
        <f>IF(OR(AS7="Cash", AS7="Cash Adjustments"),"-",IF(ISNA(VLOOKUP(BK7,'BBG - Scenarios (Sample View)'!C:Z,14,0)),"-",VLOOKUP(BK7,'BBG - Scenarios (Sample View)'!C:Z,14,0)))</f>
        <v>-6.44</v>
      </c>
      <c r="BN7" s="14">
        <f t="shared" si="7"/>
        <v>3227425.1805985551</v>
      </c>
      <c r="BO7" s="1">
        <f t="shared" si="8"/>
        <v>6.3310749665304008E-3</v>
      </c>
      <c r="BP7" t="str">
        <f>IF(BC7&lt;&gt;0,MaturityBucket(BG7),"")</f>
        <v/>
      </c>
      <c r="BQ7" s="11" t="str">
        <f>IF(OR(T7="Cash",T7="Cash Adjustments"),T7,VLOOKUP(AL7,'SFC Classifcation'!$A:$C,2,0))</f>
        <v>Hong Kong</v>
      </c>
      <c r="BR7" s="1" t="str">
        <f>IF(S7="Bond",BH7/'SFC Report'!$B$7,"")</f>
        <v/>
      </c>
      <c r="BS7" t="str">
        <f>IF(OR(T7="Cash",T7="Cash Adjustments"),"-",_xll.BDP(R7&amp;" FIGI",$BS$1))</f>
        <v>#N/A Field Not Applicable</v>
      </c>
      <c r="BT7" t="str">
        <f>IF(OR(T7="Cash",T7="Cash Adjustments"),"-",_xll.BDP(R7&amp;" FIGI",$BT$1))</f>
        <v>#N/A Field Not Applicable</v>
      </c>
      <c r="BU7" t="str">
        <f>IF(OR(T7="Cash",T7="Cash Adjustments"),"-",_xll.BDP(R7&amp;" FIGI",$BU$1))</f>
        <v>#N/A Field Not Applicable</v>
      </c>
    </row>
    <row r="8" spans="1:73">
      <c r="A8" s="254" t="s">
        <v>15</v>
      </c>
      <c r="B8" s="254" t="s">
        <v>25</v>
      </c>
      <c r="C8" s="254"/>
      <c r="D8" s="254" t="s">
        <v>20</v>
      </c>
      <c r="E8" s="254"/>
      <c r="F8" s="254" t="s">
        <v>1917</v>
      </c>
      <c r="G8" s="254" t="s">
        <v>1918</v>
      </c>
      <c r="H8" s="270">
        <v>50000</v>
      </c>
      <c r="I8" s="270">
        <v>65.45</v>
      </c>
      <c r="J8" s="270">
        <v>2505192.5</v>
      </c>
      <c r="K8" s="270">
        <v>2505192.5</v>
      </c>
      <c r="L8" s="270">
        <v>767307.5</v>
      </c>
      <c r="M8" s="270">
        <v>0</v>
      </c>
      <c r="N8" s="270">
        <v>3272500</v>
      </c>
      <c r="O8" s="255">
        <v>6.9999999999999999E-4</v>
      </c>
      <c r="P8" s="1"/>
      <c r="Q8" s="1" t="str">
        <f t="shared" si="2"/>
        <v>Investments</v>
      </c>
      <c r="R8" s="9" t="str">
        <f>_xll.BDP(G8&amp;" Equity",$R$1)</f>
        <v>BBG000QWR4M8</v>
      </c>
      <c r="S8" s="1" t="str">
        <f>IF(Q8="Cash",Q8,IF(OR(Q8="Receivable Investments",Q8="Payable Investments"),"Cash Adjustments",_xll.BDP(R8&amp;" FIGI",$S$1)))</f>
        <v>EQUI</v>
      </c>
      <c r="T8" s="1" t="str">
        <f>IF(Q8="Cash",Q8,IF(OR(Q8="Receivable Investments",Q8="Payable Investments"),"Cash Adjustments",VLOOKUP(R8,LQA!E:S,3,0)))</f>
        <v>Equity</v>
      </c>
      <c r="U8" s="1" t="str">
        <f>IF(Q8="Cash",Q8,IF(OR(Q8="Receivable Investments",Q8="Payable Investments"),"Cash Adjustments",_xll.BDP(R8&amp;" FIGI",$U$1)))</f>
        <v>Common Stock</v>
      </c>
      <c r="V8" s="10">
        <f>IF(OR(Q8="Cash",Q8="Receivable Investments",Q8="Payable Investments"),0,IF(Q8="Investments",VLOOKUP(R8,LQA!E:Q,12,0),"Not Covered"))</f>
        <v>0.2</v>
      </c>
      <c r="W8" s="76">
        <f>IF(OR(Q8="Cash",Q8="Receivable Investments",Q8="Payable Investments"),0,IF(Q8="Investments",VLOOKUP(R8,LQA!E:Q,9,0),"Not Covered"))</f>
        <v>3.9952000000000001E-2</v>
      </c>
      <c r="X8" s="13" t="str">
        <f>IF(OR(H8=0,T8="Comdty"),"High",IF(V8&lt;='Liquidity Bucket'!$A$4,'Liquidity Bucket'!$I$4,IF(V8&lt;='Liquidity Bucket'!$A$5,'Liquidity Bucket'!$I$5,IF(V8&lt;='Liquidity Bucket'!$A$6,'Liquidity Bucket'!$I$6,IF(V8='Liquidity Bucket'!$A$8,'Liquidity Bucket'!$I$8,'Liquidity Bucket'!$I$7)))))</f>
        <v>High</v>
      </c>
      <c r="Y8" s="153">
        <f>IF(OR(Q8="Cash",Q8="Receivable Investments",Q8="Payable Investments"),0,IF(Q8="Investments",VLOOKUP(R8,'LQA Stress'!E:Q,12,0),"Not Covered"))</f>
        <v>0.3</v>
      </c>
      <c r="Z8" s="75">
        <f>IF(OR(Q8="Cash",Q8="Receivable Investments",Q8="Payable Investments"),0,IF(Q8="Investments",VLOOKUP(R8,'LQA Stress'!E:Q,9,0),"Not Covered"))</f>
        <v>7.0986999999999995E-2</v>
      </c>
      <c r="AA8" s="13" t="str">
        <f>IF(T8="Comdty","High",IF(Y8&lt;='Liquidity Bucket'!$A$4,'Liquidity Bucket'!$I$4,IF(Y8&lt;='Liquidity Bucket'!$A$5,'Liquidity Bucket'!$I$5,IF(Y8&lt;='Liquidity Bucket'!$A$6,'Liquidity Bucket'!$I$6,IF(Y8='Liquidity Bucket'!$A$8,'Liquidity Bucket'!$I$8,'Liquidity Bucket'!$I$7)))))</f>
        <v>High</v>
      </c>
      <c r="AB8" s="14">
        <f>(N8+M8)/'FX Rates'!$C$5</f>
        <v>422149.12280701753</v>
      </c>
      <c r="AC8" s="15" t="str">
        <f>IF(X8="Not Covered", (H8/_xll.BDP(R8&amp;" FIGI",$AC$1)),"")</f>
        <v/>
      </c>
      <c r="AD8" s="16" t="str">
        <f>IF(X8="Not Covered", _xll.BDP(R8&amp;" FIGI",$AD$1),"")</f>
        <v/>
      </c>
      <c r="AE8" s="16" t="str">
        <f>IF(OR(T8="Corp",T8="Govt"),IF(_xll.BDP(R8&amp;" FIGI",$AE$1)="#N/A N/A","",_xll.BDP(R8&amp;" FIGI",$AE$1)),"")</f>
        <v/>
      </c>
      <c r="AF8" s="1" t="str">
        <f>IF(OR(T8="Corp",T8="Govt"),IF(_xll.BDP(R8&amp;" FIGI",$AF$1)="#N/A N/A","",_xll.BDP(R8&amp;" FIGI",$AF$1)),"")</f>
        <v/>
      </c>
      <c r="AG8" s="16" t="str">
        <f>IF(OR(T8="Corp",T8="Govt"),IF(_xll.BDP(R8&amp;" FIGI",$AG$1)="#N/A N/A","",_xll.BDP(R8&amp;" FIGI",$AG$1)),"")</f>
        <v/>
      </c>
      <c r="AH8" s="125">
        <f>IF(OR(S8="Cash",S8="M-Mkt"),21,IF(AE8="",0,VLOOKUP(AE8,'Rating Scale'!A:B,2,0)))</f>
        <v>0</v>
      </c>
      <c r="AI8" s="125">
        <f>IF(OR(S8="Cash",S8="M-Mkt"),21,IF(AF8="",0,VLOOKUP(AF8,'Rating Scale'!D:E,2,0)))</f>
        <v>0</v>
      </c>
      <c r="AJ8" s="125">
        <f>IF(OR(S8="Cash",S8="M-Mkt"),21,IF(AG8="",0,VLOOKUP(AG8,'Rating Scale'!G:H,2,0)))</f>
        <v>0</v>
      </c>
      <c r="AK8">
        <f t="shared" si="3"/>
        <v>0</v>
      </c>
      <c r="AL8" s="1" t="str">
        <f>IF(OR(U8="Cash",U8="Cash Adjustments"),_xll.BDP(G8&amp;" Curncy","Country"),IF(T8="Equity",_xll.BDP(R8&amp;" FIGI","CNTRY_ISSUE_ISO"),_xll.BDP(R8&amp;" FIGI",$AL$1)))</f>
        <v>HK</v>
      </c>
      <c r="AM8" s="126" t="str">
        <f>IF(OR(T8="Cash",T8="Cash Adjustments",T8="M-Mkt"), T8, IF(T8="Comdty",AS8, _xll.BDP(R8&amp;" FIGI", $AM$1)))</f>
        <v>Consumer, Cyclical</v>
      </c>
      <c r="AN8" s="126" t="str">
        <f>IF(OR(T8="Cash",T8="Cash Adjustments",T8="M-Mkt"), T8,  IF(T8="Comdty",AS8,_xll.BDP(R8&amp;" FIGI", $AN$1)))</f>
        <v>Retail</v>
      </c>
      <c r="AO8" s="126" t="str">
        <f>IF(OR(T8="Cash",T8="Cash Adjustments",T8="M-Mkt"), T8,  IF(T8="Comdty",AS8,_xll.BDP(R8&amp;" FIGI", $AO$1)))</f>
        <v>Retail-Apparel/Shoe</v>
      </c>
      <c r="AP8" s="13" t="str">
        <f>IF(OR(T8="Cash",T8="Cash Adjustments"), T8, IF(_xll.BDP(R8&amp;" FIGI", $AP$1)="#N/A Field Not Applicable","N",_xll.BDP(R8&amp;" FIGI", $AP$1)))</f>
        <v>N</v>
      </c>
      <c r="AQ8" s="1" t="str">
        <f>IF(OR(T8="Cash",T8="Cash Adjustments"), T8, IF(_xll.BDP(R8&amp;" FIGI", $AQ$1)="#N/A Field Not Applicable"," ",_xll.BDP(R8&amp;" FIGI", $AQ$1)))</f>
        <v xml:space="preserve"> </v>
      </c>
      <c r="AR8" s="1" t="str">
        <f>IF(OR(T8="Cash",T8="Cash Adjustments"), T8, IF(_xll.BDP(R8&amp;" FIGI", $AR$1)="#N/A Field Not Applicable"," ",_xll.BDP(R8&amp;" FIGI", $AR$1)))</f>
        <v>ACTV</v>
      </c>
      <c r="AS8" s="1" t="str">
        <f>VLOOKUP(T8,'SFC Classifcation'!$F$2:$H$7,3,0)</f>
        <v>Equity</v>
      </c>
      <c r="AT8" s="22" t="str">
        <f t="shared" si="0"/>
        <v>Non-Financial</v>
      </c>
      <c r="AU8" s="1" t="str">
        <f t="shared" si="4"/>
        <v/>
      </c>
      <c r="AV8" s="1" t="str">
        <f>IF(OR(T8="Cash",T8="Cash Adjustments"),T8,VLOOKUP(AL8,'SFC Classifcation'!$A:$C,3,0))</f>
        <v>Hong Kong</v>
      </c>
      <c r="AW8" s="22" t="str">
        <f t="shared" si="5"/>
        <v>High</v>
      </c>
      <c r="AX8" s="22" t="str">
        <f t="shared" si="6"/>
        <v>High</v>
      </c>
      <c r="AY8" s="45" t="str">
        <f>IF(OR(T8="Cash",T8="Cash Adjustments"), T8, _xll.BDP(R8&amp;" FIGI", $AY$1))</f>
        <v>Consumer Discretionary</v>
      </c>
      <c r="AZ8" s="45" t="str">
        <f>IF(OR(T8="Cash",T8="Cash Adjustments"), T8, _xll.BDP(R8&amp;" FIGI", $AZ$1))</f>
        <v>Retail-Apparel/Shoe</v>
      </c>
      <c r="BA8" s="45" t="str">
        <f>IF(OR(T8="Cash",T8="Cash Adjustments"), T8, _xll.BDP(R8&amp;" FIGI", $BA$1))</f>
        <v>#N/A Field Not Applicable</v>
      </c>
      <c r="BB8" s="45" t="str">
        <f>IF(OR(AS8="Government",AS8="Corporate"),(AK8*AB8/'SFC Report'!$C$20),"")</f>
        <v/>
      </c>
      <c r="BC8" s="174" t="str">
        <f>IF(OR(T8="Cash",T8="Cash Adjustments", T8="FX Forward", T8="Repo", T8="Equity", T8="M-Mkt"), "", _xll.BDP(R8&amp;" FIGI", $BC$1))</f>
        <v/>
      </c>
      <c r="BD8" s="125" t="str">
        <f>IF(OR(T8="Cash",T8="Cash Adjustments",T8="FX Forward",T8="Repo", T8="Equity", T8="M-Mkt"),"",(BC8-'SFC Report'!$B$13)/365)</f>
        <v/>
      </c>
      <c r="BE8" s="82" t="str">
        <f t="shared" si="1"/>
        <v/>
      </c>
      <c r="BF8" s="5" t="str">
        <f>IF(BC8="","",BD8*AB8/'SFC Report'!$C$20)</f>
        <v/>
      </c>
      <c r="BG8" s="14" t="str" cm="1">
        <f t="array" ref="BG8">IF(OR(AS8="Corporate",AS8="Government"),_xll.BDP(G8&amp;" ISIN", $BG$1),"")</f>
        <v/>
      </c>
      <c r="BH8" s="140" t="str">
        <f>IF(OR(AS8="Corporate",AS8="Government"),BG8*BN8/'SFC Report'!$C$20,"")</f>
        <v/>
      </c>
      <c r="BI8" s="140" t="str">
        <f>IF(OR(AS8="Corporate",AS8="Government"),_xll.BDP(G8&amp;" ISIN", $BI$1),"")</f>
        <v/>
      </c>
      <c r="BJ8" s="140" t="str">
        <f>IF(OR(AS8="Corporate",AS8="Government"),BI8*AB8/'SFC Report'!$C$20,"")</f>
        <v/>
      </c>
      <c r="BK8" s="153" t="str">
        <f>IF(OR(T8="Cash",T8="Cash Adjustments"),"-",_xll.BDP(R8&amp;" FIGI",$BK$1))</f>
        <v>KYG040111059</v>
      </c>
      <c r="BL8" s="11" t="str">
        <f>IF(OR(AS8="Cash", AS8="Cash Adjustments"),"-",IF(ISNA(VLOOKUP(BK8,'BBG - VaR Data (Sample, Indus )'!C:N,5,0)),"-",VLOOKUP(BK8,'BBG - VaR Data (Sample, Indus )'!C:N,5,0)))</f>
        <v>-</v>
      </c>
      <c r="BM8" s="11">
        <f>IF(OR(AS8="Cash", AS8="Cash Adjustments"),"-",IF(ISNA(VLOOKUP(BK8,'BBG - Scenarios (Sample View)'!C:Z,14,0)),"-",VLOOKUP(BK8,'BBG - Scenarios (Sample View)'!C:Z,14,0)))</f>
        <v>-10.46</v>
      </c>
      <c r="BN8" s="14">
        <f t="shared" si="7"/>
        <v>422149.12280701753</v>
      </c>
      <c r="BO8" s="1">
        <f t="shared" si="8"/>
        <v>8.2810835077224256E-4</v>
      </c>
      <c r="BP8" t="str">
        <f>IF(BC8&lt;&gt;0,MaturityBucket(BG8),"")</f>
        <v/>
      </c>
      <c r="BQ8" s="11" t="str">
        <f>IF(OR(T8="Cash",T8="Cash Adjustments"),T8,VLOOKUP(AL8,'SFC Classifcation'!$A:$C,2,0))</f>
        <v>Hong Kong</v>
      </c>
      <c r="BR8" s="1" t="str">
        <f>IF(S8="Bond",BH8/'SFC Report'!$B$7,"")</f>
        <v/>
      </c>
      <c r="BS8" t="str">
        <f>IF(OR(T8="Cash",T8="Cash Adjustments"),"-",_xll.BDP(R8&amp;" FIGI",$BS$1))</f>
        <v>#N/A Field Not Applicable</v>
      </c>
      <c r="BT8" t="str">
        <f>IF(OR(T8="Cash",T8="Cash Adjustments"),"-",_xll.BDP(R8&amp;" FIGI",$BT$1))</f>
        <v>#N/A Field Not Applicable</v>
      </c>
      <c r="BU8" t="str">
        <f>IF(OR(T8="Cash",T8="Cash Adjustments"),"-",_xll.BDP(R8&amp;" FIGI",$BU$1))</f>
        <v>#N/A Field Not Applicable</v>
      </c>
    </row>
    <row r="9" spans="1:73">
      <c r="A9" s="254" t="s">
        <v>15</v>
      </c>
      <c r="B9" s="254" t="s">
        <v>25</v>
      </c>
      <c r="C9" s="254"/>
      <c r="D9" s="254" t="s">
        <v>20</v>
      </c>
      <c r="E9" s="254"/>
      <c r="F9" s="254" t="s">
        <v>1054</v>
      </c>
      <c r="G9" s="254" t="s">
        <v>1056</v>
      </c>
      <c r="H9" s="270">
        <v>110000</v>
      </c>
      <c r="I9" s="270">
        <v>27.65</v>
      </c>
      <c r="J9" s="270">
        <v>3463883.29</v>
      </c>
      <c r="K9" s="270">
        <v>3463883.29</v>
      </c>
      <c r="L9" s="270">
        <v>-422383.29</v>
      </c>
      <c r="M9" s="270">
        <v>0</v>
      </c>
      <c r="N9" s="270">
        <v>3041500</v>
      </c>
      <c r="O9" s="255">
        <v>6.9999999999999999E-4</v>
      </c>
      <c r="P9" s="1"/>
      <c r="Q9" s="1" t="str">
        <f t="shared" si="2"/>
        <v>Investments</v>
      </c>
      <c r="R9" s="9" t="str">
        <f>_xll.BDP(G9&amp;" Equity",$R$1)</f>
        <v>BBG000PXTGY5</v>
      </c>
      <c r="S9" s="1" t="str">
        <f>IF(Q9="Cash",Q9,IF(OR(Q9="Receivable Investments",Q9="Payable Investments"),"Cash Adjustments",_xll.BDP(R9&amp;" FIGI",$S$1)))</f>
        <v>EQUI</v>
      </c>
      <c r="T9" s="1" t="str">
        <f>IF(Q9="Cash",Q9,IF(OR(Q9="Receivable Investments",Q9="Payable Investments"),"Cash Adjustments",VLOOKUP(R9,LQA!E:S,3,0)))</f>
        <v>Equity</v>
      </c>
      <c r="U9" s="1" t="str">
        <f>IF(Q9="Cash",Q9,IF(OR(Q9="Receivable Investments",Q9="Payable Investments"),"Cash Adjustments",_xll.BDP(R9&amp;" FIGI",$U$1)))</f>
        <v>Common Stock</v>
      </c>
      <c r="V9" s="10">
        <f>IF(OR(Q9="Cash",Q9="Receivable Investments",Q9="Payable Investments"),0,IF(Q9="Investments",VLOOKUP(R9,LQA!E:Q,12,0),"Not Covered"))</f>
        <v>0.3</v>
      </c>
      <c r="W9" s="76">
        <f>IF(OR(Q9="Cash",Q9="Receivable Investments",Q9="Payable Investments"),0,IF(Q9="Investments",VLOOKUP(R9,LQA!E:Q,9,0),"Not Covered"))</f>
        <v>2.1010000000000001E-2</v>
      </c>
      <c r="X9" s="13" t="str">
        <f>IF(OR(H9=0,T9="Comdty"),"High",IF(V9&lt;='Liquidity Bucket'!$A$4,'Liquidity Bucket'!$I$4,IF(V9&lt;='Liquidity Bucket'!$A$5,'Liquidity Bucket'!$I$5,IF(V9&lt;='Liquidity Bucket'!$A$6,'Liquidity Bucket'!$I$6,IF(V9='Liquidity Bucket'!$A$8,'Liquidity Bucket'!$I$8,'Liquidity Bucket'!$I$7)))))</f>
        <v>High</v>
      </c>
      <c r="Y9" s="153">
        <f>IF(OR(Q9="Cash",Q9="Receivable Investments",Q9="Payable Investments"),0,IF(Q9="Investments",VLOOKUP(R9,'LQA Stress'!E:Q,12,0),"Not Covered"))</f>
        <v>0.7</v>
      </c>
      <c r="Z9" s="75">
        <f>IF(OR(Q9="Cash",Q9="Receivable Investments",Q9="Payable Investments"),0,IF(Q9="Investments",VLOOKUP(R9,'LQA Stress'!E:Q,9,0),"Not Covered"))</f>
        <v>3.7441000000000002E-2</v>
      </c>
      <c r="AA9" s="13" t="str">
        <f>IF(T9="Comdty","High",IF(Y9&lt;='Liquidity Bucket'!$A$4,'Liquidity Bucket'!$I$4,IF(Y9&lt;='Liquidity Bucket'!$A$5,'Liquidity Bucket'!$I$5,IF(Y9&lt;='Liquidity Bucket'!$A$6,'Liquidity Bucket'!$I$6,IF(Y9='Liquidity Bucket'!$A$8,'Liquidity Bucket'!$I$8,'Liquidity Bucket'!$I$7)))))</f>
        <v>High</v>
      </c>
      <c r="AB9" s="14">
        <f>(N9+M9)/'FX Rates'!$C$5</f>
        <v>392350.36119711044</v>
      </c>
      <c r="AC9" s="15" t="str">
        <f>IF(X9="Not Covered", (H9/_xll.BDP(R9&amp;" FIGI",$AC$1)),"")</f>
        <v/>
      </c>
      <c r="AD9" s="16" t="str">
        <f>IF(X9="Not Covered", _xll.BDP(R9&amp;" FIGI",$AD$1),"")</f>
        <v/>
      </c>
      <c r="AE9" s="16" t="str">
        <f>IF(OR(T9="Corp",T9="Govt"),IF(_xll.BDP(R9&amp;" FIGI",$AE$1)="#N/A N/A","",_xll.BDP(R9&amp;" FIGI",$AE$1)),"")</f>
        <v/>
      </c>
      <c r="AF9" s="1" t="str">
        <f>IF(OR(T9="Corp",T9="Govt"),IF(_xll.BDP(R9&amp;" FIGI",$AF$1)="#N/A N/A","",_xll.BDP(R9&amp;" FIGI",$AF$1)),"")</f>
        <v/>
      </c>
      <c r="AG9" s="16" t="str">
        <f>IF(OR(T9="Corp",T9="Govt"),IF(_xll.BDP(R9&amp;" FIGI",$AG$1)="#N/A N/A","",_xll.BDP(R9&amp;" FIGI",$AG$1)),"")</f>
        <v/>
      </c>
      <c r="AH9" s="125">
        <f>IF(OR(S9="Cash",S9="M-Mkt"),21,IF(AE9="",0,VLOOKUP(AE9,'Rating Scale'!A:B,2,0)))</f>
        <v>0</v>
      </c>
      <c r="AI9" s="125">
        <f>IF(OR(S9="Cash",S9="M-Mkt"),21,IF(AF9="",0,VLOOKUP(AF9,'Rating Scale'!D:E,2,0)))</f>
        <v>0</v>
      </c>
      <c r="AJ9" s="125">
        <f>IF(OR(S9="Cash",S9="M-Mkt"),21,IF(AG9="",0,VLOOKUP(AG9,'Rating Scale'!G:H,2,0)))</f>
        <v>0</v>
      </c>
      <c r="AK9">
        <f t="shared" si="3"/>
        <v>0</v>
      </c>
      <c r="AL9" s="1" t="str">
        <f>IF(OR(U9="Cash",U9="Cash Adjustments"),_xll.BDP(G9&amp;" Curncy","Country"),IF(T9="Equity",_xll.BDP(R9&amp;" FIGI","CNTRY_ISSUE_ISO"),_xll.BDP(R9&amp;" FIGI",$AL$1)))</f>
        <v>HK</v>
      </c>
      <c r="AM9" s="126" t="str">
        <f>IF(OR(T9="Cash",T9="Cash Adjustments",T9="M-Mkt"), T9, IF(T9="Comdty",AS9, _xll.BDP(R9&amp;" FIGI", $AM$1)))</f>
        <v>Consumer, Non-cyclical</v>
      </c>
      <c r="AN9" s="126" t="str">
        <f>IF(OR(T9="Cash",T9="Cash Adjustments",T9="M-Mkt"), T9,  IF(T9="Comdty",AS9,_xll.BDP(R9&amp;" FIGI", $AN$1)))</f>
        <v>Food</v>
      </c>
      <c r="AO9" s="126" t="str">
        <f>IF(OR(T9="Cash",T9="Cash Adjustments",T9="M-Mkt"), T9,  IF(T9="Comdty",AS9,_xll.BDP(R9&amp;" FIGI", $AO$1)))</f>
        <v>Food-Dairy Products</v>
      </c>
      <c r="AP9" s="13" t="str">
        <f>IF(OR(T9="Cash",T9="Cash Adjustments"), T9, IF(_xll.BDP(R9&amp;" FIGI", $AP$1)="#N/A Field Not Applicable","N",_xll.BDP(R9&amp;" FIGI", $AP$1)))</f>
        <v>N</v>
      </c>
      <c r="AQ9" s="1" t="str">
        <f>IF(OR(T9="Cash",T9="Cash Adjustments"), T9, IF(_xll.BDP(R9&amp;" FIGI", $AQ$1)="#N/A Field Not Applicable"," ",_xll.BDP(R9&amp;" FIGI", $AQ$1)))</f>
        <v xml:space="preserve"> </v>
      </c>
      <c r="AR9" s="1" t="str">
        <f>IF(OR(T9="Cash",T9="Cash Adjustments"), T9, IF(_xll.BDP(R9&amp;" FIGI", $AR$1)="#N/A Field Not Applicable"," ",_xll.BDP(R9&amp;" FIGI", $AR$1)))</f>
        <v>ACTV</v>
      </c>
      <c r="AS9" s="1" t="str">
        <f>VLOOKUP(T9,'SFC Classifcation'!$F$2:$H$7,3,0)</f>
        <v>Equity</v>
      </c>
      <c r="AT9" s="22" t="str">
        <f t="shared" si="0"/>
        <v>Non-Financial</v>
      </c>
      <c r="AU9" s="1" t="str">
        <f t="shared" si="4"/>
        <v/>
      </c>
      <c r="AV9" s="1" t="str">
        <f>IF(OR(T9="Cash",T9="Cash Adjustments"),T9,VLOOKUP(AL9,'SFC Classifcation'!$A:$C,3,0))</f>
        <v>Hong Kong</v>
      </c>
      <c r="AW9" s="22" t="str">
        <f t="shared" si="5"/>
        <v>High</v>
      </c>
      <c r="AX9" s="22" t="str">
        <f t="shared" si="6"/>
        <v>High</v>
      </c>
      <c r="AY9" s="45" t="str">
        <f>IF(OR(T9="Cash",T9="Cash Adjustments"), T9, _xll.BDP(R9&amp;" FIGI", $AY$1))</f>
        <v>Consumer Staples</v>
      </c>
      <c r="AZ9" s="45" t="str">
        <f>IF(OR(T9="Cash",T9="Cash Adjustments"), T9, _xll.BDP(R9&amp;" FIGI", $AZ$1))</f>
        <v>Food-Dairy Products</v>
      </c>
      <c r="BA9" s="45" t="str">
        <f>IF(OR(T9="Cash",T9="Cash Adjustments"), T9, _xll.BDP(R9&amp;" FIGI", $BA$1))</f>
        <v>#N/A Field Not Applicable</v>
      </c>
      <c r="BB9" s="45" t="str">
        <f>IF(OR(AS9="Government",AS9="Corporate"),(AK9*AB9/'SFC Report'!$C$20),"")</f>
        <v/>
      </c>
      <c r="BC9" s="174" t="str">
        <f>IF(OR(T9="Cash",T9="Cash Adjustments", T9="FX Forward", T9="Repo", T9="Equity", T9="M-Mkt"), "", _xll.BDP(R9&amp;" FIGI", $BC$1))</f>
        <v/>
      </c>
      <c r="BD9" s="125" t="str">
        <f>IF(OR(T9="Cash",T9="Cash Adjustments",T9="FX Forward",T9="Repo", T9="Equity", T9="M-Mkt"),"",(BC9-'SFC Report'!$B$13)/365)</f>
        <v/>
      </c>
      <c r="BE9" s="82" t="str">
        <f t="shared" si="1"/>
        <v/>
      </c>
      <c r="BF9" s="5" t="str">
        <f>IF(BC9="","",BD9*AB9/'SFC Report'!$C$20)</f>
        <v/>
      </c>
      <c r="BG9" s="14" t="str" cm="1">
        <f t="array" ref="BG9">IF(OR(AS9="Corporate",AS9="Government"),_xll.BDP(G9&amp;" ISIN", $BG$1),"")</f>
        <v/>
      </c>
      <c r="BH9" s="140" t="str">
        <f>IF(OR(AS9="Corporate",AS9="Government"),BG9*BN9/'SFC Report'!$C$20,"")</f>
        <v/>
      </c>
      <c r="BI9" s="140" t="str">
        <f>IF(OR(AS9="Corporate",AS9="Government"),_xll.BDP(G9&amp;" ISIN", $BI$1),"")</f>
        <v/>
      </c>
      <c r="BJ9" s="140" t="str">
        <f>IF(OR(AS9="Corporate",AS9="Government"),BI9*AB9/'SFC Report'!$C$20,"")</f>
        <v/>
      </c>
      <c r="BK9" s="153" t="str">
        <f>IF(OR(T9="Cash",T9="Cash Adjustments"),"-",_xll.BDP(R9&amp;" FIGI",$BK$1))</f>
        <v>KYG210961051</v>
      </c>
      <c r="BL9" s="11" t="str">
        <f>IF(OR(AS9="Cash", AS9="Cash Adjustments"),"-",IF(ISNA(VLOOKUP(BK9,'BBG - VaR Data (Sample, Indus )'!C:N,5,0)),"-",VLOOKUP(BK9,'BBG - VaR Data (Sample, Indus )'!C:N,5,0)))</f>
        <v>-</v>
      </c>
      <c r="BM9" s="11">
        <f>IF(OR(AS9="Cash", AS9="Cash Adjustments"),"-",IF(ISNA(VLOOKUP(BK9,'BBG - Scenarios (Sample View)'!C:Z,14,0)),"-",VLOOKUP(BK9,'BBG - Scenarios (Sample View)'!C:Z,14,0)))</f>
        <v>-7.92</v>
      </c>
      <c r="BN9" s="14">
        <f t="shared" si="7"/>
        <v>392350.36119711044</v>
      </c>
      <c r="BO9" s="1">
        <f t="shared" si="8"/>
        <v>7.6965364365890788E-4</v>
      </c>
      <c r="BP9" t="str">
        <f>IF(BC9&lt;&gt;0,MaturityBucket(BG9),"")</f>
        <v/>
      </c>
      <c r="BQ9" s="11" t="str">
        <f>IF(OR(T9="Cash",T9="Cash Adjustments"),T9,VLOOKUP(AL9,'SFC Classifcation'!$A:$C,2,0))</f>
        <v>Hong Kong</v>
      </c>
      <c r="BR9" s="1" t="str">
        <f>IF(S9="Bond",BH9/'SFC Report'!$B$7,"")</f>
        <v/>
      </c>
      <c r="BS9" t="str">
        <f>IF(OR(T9="Cash",T9="Cash Adjustments"),"-",_xll.BDP(R9&amp;" FIGI",$BS$1))</f>
        <v>#N/A Field Not Applicable</v>
      </c>
      <c r="BT9" t="str">
        <f>IF(OR(T9="Cash",T9="Cash Adjustments"),"-",_xll.BDP(R9&amp;" FIGI",$BT$1))</f>
        <v>#N/A Field Not Applicable</v>
      </c>
      <c r="BU9" t="str">
        <f>IF(OR(T9="Cash",T9="Cash Adjustments"),"-",_xll.BDP(R9&amp;" FIGI",$BU$1))</f>
        <v>#N/A Field Not Applicable</v>
      </c>
    </row>
    <row r="10" spans="1:73">
      <c r="A10" s="254" t="s">
        <v>15</v>
      </c>
      <c r="B10" s="254" t="s">
        <v>25</v>
      </c>
      <c r="C10" s="254"/>
      <c r="D10" s="254" t="s">
        <v>20</v>
      </c>
      <c r="E10" s="254"/>
      <c r="F10" s="254" t="s">
        <v>957</v>
      </c>
      <c r="G10" s="254" t="s">
        <v>958</v>
      </c>
      <c r="H10" s="270">
        <v>290000</v>
      </c>
      <c r="I10" s="270">
        <v>37.15</v>
      </c>
      <c r="J10" s="270">
        <v>10831349.199999999</v>
      </c>
      <c r="K10" s="270">
        <v>10831349.199999999</v>
      </c>
      <c r="L10" s="270">
        <v>-57849.2</v>
      </c>
      <c r="M10" s="270">
        <v>0</v>
      </c>
      <c r="N10" s="270">
        <v>10773500</v>
      </c>
      <c r="O10" s="255">
        <v>2.3999999999999998E-3</v>
      </c>
      <c r="P10" s="1"/>
      <c r="Q10" s="1" t="str">
        <f t="shared" si="2"/>
        <v>Investments</v>
      </c>
      <c r="R10" s="9" t="str">
        <f>_xll.BDP(G10&amp;" Equity",$R$1)</f>
        <v>BBG000DVPPK1</v>
      </c>
      <c r="S10" s="1" t="str">
        <f>IF(Q10="Cash",Q10,IF(OR(Q10="Receivable Investments",Q10="Payable Investments"),"Cash Adjustments",_xll.BDP(R10&amp;" FIGI",$S$1)))</f>
        <v>EQUI</v>
      </c>
      <c r="T10" s="1" t="str">
        <f>IF(Q10="Cash",Q10,IF(OR(Q10="Receivable Investments",Q10="Payable Investments"),"Cash Adjustments",VLOOKUP(R10,LQA!E:S,3,0)))</f>
        <v>Equity</v>
      </c>
      <c r="U10" s="1" t="str">
        <f>IF(Q10="Cash",Q10,IF(OR(Q10="Receivable Investments",Q10="Payable Investments"),"Cash Adjustments",_xll.BDP(R10&amp;" FIGI",$U$1)))</f>
        <v>Common Stock</v>
      </c>
      <c r="V10" s="10">
        <f>IF(OR(Q10="Cash",Q10="Receivable Investments",Q10="Payable Investments"),0,IF(Q10="Investments",VLOOKUP(R10,LQA!E:Q,12,0),"Not Covered"))</f>
        <v>0.6</v>
      </c>
      <c r="W10" s="76">
        <f>IF(OR(Q10="Cash",Q10="Receivable Investments",Q10="Payable Investments"),0,IF(Q10="Investments",VLOOKUP(R10,LQA!E:Q,9,0),"Not Covered"))</f>
        <v>1.8598E-2</v>
      </c>
      <c r="X10" s="13" t="str">
        <f>IF(OR(H10=0,T10="Comdty"),"High",IF(V10&lt;='Liquidity Bucket'!$A$4,'Liquidity Bucket'!$I$4,IF(V10&lt;='Liquidity Bucket'!$A$5,'Liquidity Bucket'!$I$5,IF(V10&lt;='Liquidity Bucket'!$A$6,'Liquidity Bucket'!$I$6,IF(V10='Liquidity Bucket'!$A$8,'Liquidity Bucket'!$I$8,'Liquidity Bucket'!$I$7)))))</f>
        <v>High</v>
      </c>
      <c r="Y10" s="153">
        <f>IF(OR(Q10="Cash",Q10="Receivable Investments",Q10="Payable Investments"),0,IF(Q10="Investments",VLOOKUP(R10,'LQA Stress'!E:Q,12,0),"Not Covered"))</f>
        <v>1.3</v>
      </c>
      <c r="Z10" s="75">
        <f>IF(OR(Q10="Cash",Q10="Receivable Investments",Q10="Payable Investments"),0,IF(Q10="Investments",VLOOKUP(R10,'LQA Stress'!E:Q,9,0),"Not Covered"))</f>
        <v>3.3168999999999997E-2</v>
      </c>
      <c r="AA10" s="13" t="str">
        <f>IF(T10="Comdty","High",IF(Y10&lt;='Liquidity Bucket'!$A$4,'Liquidity Bucket'!$I$4,IF(Y10&lt;='Liquidity Bucket'!$A$5,'Liquidity Bucket'!$I$5,IF(Y10&lt;='Liquidity Bucket'!$A$6,'Liquidity Bucket'!$I$6,IF(Y10='Liquidity Bucket'!$A$8,'Liquidity Bucket'!$I$8,'Liquidity Bucket'!$I$7)))))</f>
        <v>High</v>
      </c>
      <c r="AB10" s="14">
        <f>(N10+M10)/'FX Rates'!$C$5</f>
        <v>1389770.3818369454</v>
      </c>
      <c r="AC10" s="15" t="str">
        <f>IF(X10="Not Covered", (H10/_xll.BDP(R10&amp;" FIGI",$AC$1)),"")</f>
        <v/>
      </c>
      <c r="AD10" s="16" t="str">
        <f>IF(X10="Not Covered", _xll.BDP(R10&amp;" FIGI",$AD$1),"")</f>
        <v/>
      </c>
      <c r="AE10" s="16" t="str">
        <f>IF(OR(T10="Corp",T10="Govt"),IF(_xll.BDP(R10&amp;" FIGI",$AE$1)="#N/A N/A","",_xll.BDP(R10&amp;" FIGI",$AE$1)),"")</f>
        <v/>
      </c>
      <c r="AF10" s="1" t="str">
        <f>IF(OR(T10="Corp",T10="Govt"),IF(_xll.BDP(R10&amp;" FIGI",$AF$1)="#N/A N/A","",_xll.BDP(R10&amp;" FIGI",$AF$1)),"")</f>
        <v/>
      </c>
      <c r="AG10" s="16" t="str">
        <f>IF(OR(T10="Corp",T10="Govt"),IF(_xll.BDP(R10&amp;" FIGI",$AG$1)="#N/A N/A","",_xll.BDP(R10&amp;" FIGI",$AG$1)),"")</f>
        <v/>
      </c>
      <c r="AH10" s="125">
        <f>IF(OR(S10="Cash",S10="M-Mkt"),21,IF(AE10="",0,VLOOKUP(AE10,'Rating Scale'!A:B,2,0)))</f>
        <v>0</v>
      </c>
      <c r="AI10" s="125">
        <f>IF(OR(S10="Cash",S10="M-Mkt"),21,IF(AF10="",0,VLOOKUP(AF10,'Rating Scale'!D:E,2,0)))</f>
        <v>0</v>
      </c>
      <c r="AJ10" s="125">
        <f>IF(OR(S10="Cash",S10="M-Mkt"),21,IF(AG10="",0,VLOOKUP(AG10,'Rating Scale'!G:H,2,0)))</f>
        <v>0</v>
      </c>
      <c r="AK10">
        <f t="shared" si="3"/>
        <v>0</v>
      </c>
      <c r="AL10" s="1" t="str">
        <f>IF(OR(U10="Cash",U10="Cash Adjustments"),_xll.BDP(G10&amp;" Curncy","Country"),IF(T10="Equity",_xll.BDP(R10&amp;" FIGI","CNTRY_ISSUE_ISO"),_xll.BDP(R10&amp;" FIGI",$AL$1)))</f>
        <v>HK</v>
      </c>
      <c r="AM10" s="126" t="str">
        <f>IF(OR(T10="Cash",T10="Cash Adjustments",T10="M-Mkt"), T10, IF(T10="Comdty",AS10, _xll.BDP(R10&amp;" FIGI", $AM$1)))</f>
        <v>Financial</v>
      </c>
      <c r="AN10" s="126" t="str">
        <f>IF(OR(T10="Cash",T10="Cash Adjustments",T10="M-Mkt"), T10,  IF(T10="Comdty",AS10,_xll.BDP(R10&amp;" FIGI", $AN$1)))</f>
        <v>Banks</v>
      </c>
      <c r="AO10" s="126" t="str">
        <f>IF(OR(T10="Cash",T10="Cash Adjustments",T10="M-Mkt"), T10,  IF(T10="Comdty",AS10,_xll.BDP(R10&amp;" FIGI", $AO$1)))</f>
        <v>Commer Banks Non-US</v>
      </c>
      <c r="AP10" s="13" t="str">
        <f>IF(OR(T10="Cash",T10="Cash Adjustments"), T10, IF(_xll.BDP(R10&amp;" FIGI", $AP$1)="#N/A Field Not Applicable","N",_xll.BDP(R10&amp;" FIGI", $AP$1)))</f>
        <v>N</v>
      </c>
      <c r="AQ10" s="1" t="str">
        <f>IF(OR(T10="Cash",T10="Cash Adjustments"), T10, IF(_xll.BDP(R10&amp;" FIGI", $AQ$1)="#N/A Field Not Applicable"," ",_xll.BDP(R10&amp;" FIGI", $AQ$1)))</f>
        <v xml:space="preserve"> </v>
      </c>
      <c r="AR10" s="1" t="str">
        <f>IF(OR(T10="Cash",T10="Cash Adjustments"), T10, IF(_xll.BDP(R10&amp;" FIGI", $AR$1)="#N/A Field Not Applicable"," ",_xll.BDP(R10&amp;" FIGI", $AR$1)))</f>
        <v>ACTV</v>
      </c>
      <c r="AS10" s="1" t="str">
        <f>VLOOKUP(T10,'SFC Classifcation'!$F$2:$H$7,3,0)</f>
        <v>Equity</v>
      </c>
      <c r="AT10" s="22" t="str">
        <f t="shared" si="0"/>
        <v>Financial</v>
      </c>
      <c r="AU10" s="1" t="str">
        <f t="shared" si="4"/>
        <v/>
      </c>
      <c r="AV10" s="1" t="str">
        <f>IF(OR(T10="Cash",T10="Cash Adjustments"),T10,VLOOKUP(AL10,'SFC Classifcation'!$A:$C,3,0))</f>
        <v>Hong Kong</v>
      </c>
      <c r="AW10" s="22" t="str">
        <f t="shared" si="5"/>
        <v>High</v>
      </c>
      <c r="AX10" s="22" t="str">
        <f t="shared" si="6"/>
        <v>High</v>
      </c>
      <c r="AY10" s="45" t="str">
        <f>IF(OR(T10="Cash",T10="Cash Adjustments"), T10, _xll.BDP(R10&amp;" FIGI", $AY$1))</f>
        <v>Financials</v>
      </c>
      <c r="AZ10" s="45" t="str">
        <f>IF(OR(T10="Cash",T10="Cash Adjustments"), T10, _xll.BDP(R10&amp;" FIGI", $AZ$1))</f>
        <v>Commer Banks Non-US</v>
      </c>
      <c r="BA10" s="45" t="str">
        <f>IF(OR(T10="Cash",T10="Cash Adjustments"), T10, _xll.BDP(R10&amp;" FIGI", $BA$1))</f>
        <v>#N/A Field Not Applicable</v>
      </c>
      <c r="BB10" s="45" t="str">
        <f>IF(OR(AS10="Government",AS10="Corporate"),(AK10*AB10/'SFC Report'!$C$20),"")</f>
        <v/>
      </c>
      <c r="BC10" s="174" t="str">
        <f>IF(OR(T10="Cash",T10="Cash Adjustments", T10="FX Forward", T10="Repo", T10="Equity", T10="M-Mkt"), "", _xll.BDP(R10&amp;" FIGI", $BC$1))</f>
        <v/>
      </c>
      <c r="BD10" s="125" t="str">
        <f>IF(OR(T10="Cash",T10="Cash Adjustments",T10="FX Forward",T10="Repo", T10="Equity", T10="M-Mkt"),"",(BC10-'SFC Report'!$B$13)/365)</f>
        <v/>
      </c>
      <c r="BE10" s="82" t="str">
        <f t="shared" si="1"/>
        <v/>
      </c>
      <c r="BF10" s="5" t="str">
        <f>IF(BC10="","",BD10*AB10/'SFC Report'!$C$20)</f>
        <v/>
      </c>
      <c r="BG10" s="14" t="str" cm="1">
        <f t="array" ref="BG10">IF(OR(AS10="Corporate",AS10="Government"),_xll.BDP(G10&amp;" ISIN", $BG$1),"")</f>
        <v/>
      </c>
      <c r="BH10" s="140" t="str">
        <f>IF(OR(AS10="Corporate",AS10="Government"),BG10*BN10/'SFC Report'!$C$20,"")</f>
        <v/>
      </c>
      <c r="BI10" s="140" t="str">
        <f>IF(OR(AS10="Corporate",AS10="Government"),_xll.BDP(G10&amp;" ISIN", $BI$1),"")</f>
        <v/>
      </c>
      <c r="BJ10" s="140" t="str">
        <f>IF(OR(AS10="Corporate",AS10="Government"),BI10*AB10/'SFC Report'!$C$20,"")</f>
        <v/>
      </c>
      <c r="BK10" s="153" t="str">
        <f>IF(OR(T10="Cash",T10="Cash Adjustments"),"-",_xll.BDP(R10&amp;" FIGI",$BK$1))</f>
        <v>CNE1000002M1</v>
      </c>
      <c r="BL10" s="11" t="str">
        <f>IF(OR(AS10="Cash", AS10="Cash Adjustments"),"-",IF(ISNA(VLOOKUP(BK10,'BBG - VaR Data (Sample, Indus )'!C:N,5,0)),"-",VLOOKUP(BK10,'BBG - VaR Data (Sample, Indus )'!C:N,5,0)))</f>
        <v>-</v>
      </c>
      <c r="BM10" s="11">
        <f>IF(OR(AS10="Cash", AS10="Cash Adjustments"),"-",IF(ISNA(VLOOKUP(BK10,'BBG - Scenarios (Sample View)'!C:Z,14,0)),"-",VLOOKUP(BK10,'BBG - Scenarios (Sample View)'!C:Z,14,0)))</f>
        <v>-8.77</v>
      </c>
      <c r="BN10" s="14">
        <f t="shared" si="7"/>
        <v>1389770.3818369454</v>
      </c>
      <c r="BO10" s="1">
        <f t="shared" si="8"/>
        <v>2.7262415025346848E-3</v>
      </c>
      <c r="BP10" t="str">
        <f>IF(BC10&lt;&gt;0,MaturityBucket(BG10),"")</f>
        <v/>
      </c>
      <c r="BQ10" s="11" t="str">
        <f>IF(OR(T10="Cash",T10="Cash Adjustments"),T10,VLOOKUP(AL10,'SFC Classifcation'!$A:$C,2,0))</f>
        <v>Hong Kong</v>
      </c>
      <c r="BR10" s="1" t="str">
        <f>IF(S10="Bond",BH10/'SFC Report'!$B$7,"")</f>
        <v/>
      </c>
      <c r="BS10" t="str">
        <f>IF(OR(T10="Cash",T10="Cash Adjustments"),"-",_xll.BDP(R10&amp;" FIGI",$BS$1))</f>
        <v>#N/A Field Not Applicable</v>
      </c>
      <c r="BT10" t="str">
        <f>IF(OR(T10="Cash",T10="Cash Adjustments"),"-",_xll.BDP(R10&amp;" FIGI",$BT$1))</f>
        <v>#N/A Field Not Applicable</v>
      </c>
      <c r="BU10" t="str">
        <f>IF(OR(T10="Cash",T10="Cash Adjustments"),"-",_xll.BDP(R10&amp;" FIGI",$BU$1))</f>
        <v>#N/A Field Not Applicable</v>
      </c>
    </row>
    <row r="11" spans="1:73">
      <c r="A11" s="254" t="s">
        <v>15</v>
      </c>
      <c r="B11" s="254" t="s">
        <v>25</v>
      </c>
      <c r="C11" s="254"/>
      <c r="D11" s="254" t="s">
        <v>20</v>
      </c>
      <c r="E11" s="254"/>
      <c r="F11" s="254" t="s">
        <v>28</v>
      </c>
      <c r="G11" s="254" t="s">
        <v>29</v>
      </c>
      <c r="H11" s="270">
        <v>125000</v>
      </c>
      <c r="I11" s="270">
        <v>62.45</v>
      </c>
      <c r="J11" s="270">
        <v>8479164.1300000008</v>
      </c>
      <c r="K11" s="270">
        <v>8479164.1300000008</v>
      </c>
      <c r="L11" s="270">
        <v>-672914.13</v>
      </c>
      <c r="M11" s="270">
        <v>0</v>
      </c>
      <c r="N11" s="270">
        <v>7806250</v>
      </c>
      <c r="O11" s="255">
        <v>1.6999999999999999E-3</v>
      </c>
      <c r="P11" s="1"/>
      <c r="Q11" s="1" t="str">
        <f t="shared" si="2"/>
        <v>Investments</v>
      </c>
      <c r="R11" s="9" t="str">
        <f>_xll.BDP(G11&amp;" Equity",$R$1)</f>
        <v>BBG000BZWNT2</v>
      </c>
      <c r="S11" s="1" t="str">
        <f>IF(Q11="Cash",Q11,IF(OR(Q11="Receivable Investments",Q11="Payable Investments"),"Cash Adjustments",_xll.BDP(R11&amp;" FIGI",$S$1)))</f>
        <v>EQUI</v>
      </c>
      <c r="T11" s="1" t="str">
        <f>IF(Q11="Cash",Q11,IF(OR(Q11="Receivable Investments",Q11="Payable Investments"),"Cash Adjustments",VLOOKUP(R11,LQA!E:S,3,0)))</f>
        <v>Equity</v>
      </c>
      <c r="U11" s="1" t="str">
        <f>IF(Q11="Cash",Q11,IF(OR(Q11="Receivable Investments",Q11="Payable Investments"),"Cash Adjustments",_xll.BDP(R11&amp;" FIGI",$U$1)))</f>
        <v>Common Stock</v>
      </c>
      <c r="V11" s="10">
        <f>IF(OR(Q11="Cash",Q11="Receivable Investments",Q11="Payable Investments"),0,IF(Q11="Investments",VLOOKUP(R11,LQA!E:Q,12,0),"Not Covered"))</f>
        <v>0.2</v>
      </c>
      <c r="W11" s="76">
        <f>IF(OR(Q11="Cash",Q11="Receivable Investments",Q11="Payable Investments"),0,IF(Q11="Investments",VLOOKUP(R11,LQA!E:Q,9,0),"Not Covered"))</f>
        <v>1.8037000000000001E-2</v>
      </c>
      <c r="X11" s="13" t="str">
        <f>IF(OR(H11=0,T11="Comdty"),"High",IF(V11&lt;='Liquidity Bucket'!$A$4,'Liquidity Bucket'!$I$4,IF(V11&lt;='Liquidity Bucket'!$A$5,'Liquidity Bucket'!$I$5,IF(V11&lt;='Liquidity Bucket'!$A$6,'Liquidity Bucket'!$I$6,IF(V11='Liquidity Bucket'!$A$8,'Liquidity Bucket'!$I$8,'Liquidity Bucket'!$I$7)))))</f>
        <v>High</v>
      </c>
      <c r="Y11" s="153">
        <f>IF(OR(Q11="Cash",Q11="Receivable Investments",Q11="Payable Investments"),0,IF(Q11="Investments",VLOOKUP(R11,'LQA Stress'!E:Q,12,0),"Not Covered"))</f>
        <v>0.4</v>
      </c>
      <c r="Z11" s="75">
        <f>IF(OR(Q11="Cash",Q11="Receivable Investments",Q11="Payable Investments"),0,IF(Q11="Investments",VLOOKUP(R11,'LQA Stress'!E:Q,9,0),"Not Covered"))</f>
        <v>3.2431000000000001E-2</v>
      </c>
      <c r="AA11" s="13" t="str">
        <f>IF(T11="Comdty","High",IF(Y11&lt;='Liquidity Bucket'!$A$4,'Liquidity Bucket'!$I$4,IF(Y11&lt;='Liquidity Bucket'!$A$5,'Liquidity Bucket'!$I$5,IF(Y11&lt;='Liquidity Bucket'!$A$6,'Liquidity Bucket'!$I$6,IF(Y11='Liquidity Bucket'!$A$8,'Liquidity Bucket'!$I$8,'Liquidity Bucket'!$I$7)))))</f>
        <v>High</v>
      </c>
      <c r="AB11" s="14">
        <f>(N11+M11)/'FX Rates'!$C$5</f>
        <v>1006998.1940144479</v>
      </c>
      <c r="AC11" s="15" t="str">
        <f>IF(X11="Not Covered", (H11/_xll.BDP(R11&amp;" FIGI",$AC$1)),"")</f>
        <v/>
      </c>
      <c r="AD11" s="16" t="str">
        <f>IF(X11="Not Covered", _xll.BDP(R11&amp;" FIGI",$AD$1),"")</f>
        <v/>
      </c>
      <c r="AE11" s="16" t="str">
        <f>IF(OR(T11="Corp",T11="Govt"),IF(_xll.BDP(R11&amp;" FIGI",$AE$1)="#N/A N/A","",_xll.BDP(R11&amp;" FIGI",$AE$1)),"")</f>
        <v/>
      </c>
      <c r="AF11" s="1" t="str">
        <f>IF(OR(T11="Corp",T11="Govt"),IF(_xll.BDP(R11&amp;" FIGI",$AF$1)="#N/A N/A","",_xll.BDP(R11&amp;" FIGI",$AF$1)),"")</f>
        <v/>
      </c>
      <c r="AG11" s="16" t="str">
        <f>IF(OR(T11="Corp",T11="Govt"),IF(_xll.BDP(R11&amp;" FIGI",$AG$1)="#N/A N/A","",_xll.BDP(R11&amp;" FIGI",$AG$1)),"")</f>
        <v/>
      </c>
      <c r="AH11" s="125">
        <f>IF(OR(S11="Cash",S11="M-Mkt"),21,IF(AE11="",0,VLOOKUP(AE11,'Rating Scale'!A:B,2,0)))</f>
        <v>0</v>
      </c>
      <c r="AI11" s="125">
        <f>IF(OR(S11="Cash",S11="M-Mkt"),21,IF(AF11="",0,VLOOKUP(AF11,'Rating Scale'!D:E,2,0)))</f>
        <v>0</v>
      </c>
      <c r="AJ11" s="125">
        <f>IF(OR(S11="Cash",S11="M-Mkt"),21,IF(AG11="",0,VLOOKUP(AG11,'Rating Scale'!G:H,2,0)))</f>
        <v>0</v>
      </c>
      <c r="AK11">
        <f>Rating(AH11,AI11,AJ11)</f>
        <v>0</v>
      </c>
      <c r="AL11" s="1" t="str">
        <f>IF(OR(U11="Cash",U11="Cash Adjustments"),_xll.BDP(G11&amp;" Curncy","Country"),IF(T11="Equity",_xll.BDP(R11&amp;" FIGI","CNTRY_ISSUE_ISO"),_xll.BDP(R11&amp;" FIGI",$AL$1)))</f>
        <v>HK</v>
      </c>
      <c r="AM11" s="126" t="str">
        <f>IF(OR(T11="Cash",T11="Cash Adjustments",T11="M-Mkt"), T11, IF(T11="Comdty",AS11, _xll.BDP(R11&amp;" FIGI", $AM$1)))</f>
        <v>Communications</v>
      </c>
      <c r="AN11" s="126" t="str">
        <f>IF(OR(T11="Cash",T11="Cash Adjustments",T11="M-Mkt"), T11,  IF(T11="Comdty",AS11,_xll.BDP(R11&amp;" FIGI", $AN$1)))</f>
        <v>Telecommunications</v>
      </c>
      <c r="AO11" s="126" t="str">
        <f>IF(OR(T11="Cash",T11="Cash Adjustments",T11="M-Mkt"), T11,  IF(T11="Comdty",AS11,_xll.BDP(R11&amp;" FIGI", $AO$1)))</f>
        <v>Cellular Telecom</v>
      </c>
      <c r="AP11" s="13" t="str">
        <f>IF(OR(T11="Cash",T11="Cash Adjustments"), T11, IF(_xll.BDP(R11&amp;" FIGI", $AP$1)="#N/A Field Not Applicable","N",_xll.BDP(R11&amp;" FIGI", $AP$1)))</f>
        <v>N</v>
      </c>
      <c r="AQ11" s="1" t="str">
        <f>IF(OR(T11="Cash",T11="Cash Adjustments"), T11, IF(_xll.BDP(R11&amp;" FIGI", $AQ$1)="#N/A Field Not Applicable"," ",_xll.BDP(R11&amp;" FIGI", $AQ$1)))</f>
        <v xml:space="preserve"> </v>
      </c>
      <c r="AR11" s="1" t="str">
        <f>IF(OR(T11="Cash",T11="Cash Adjustments"), T11, IF(_xll.BDP(R11&amp;" FIGI", $AR$1)="#N/A Field Not Applicable"," ",_xll.BDP(R11&amp;" FIGI", $AR$1)))</f>
        <v>ACTV</v>
      </c>
      <c r="AS11" s="1" t="str">
        <f>VLOOKUP(T11,'SFC Classifcation'!$F$2:$H$7,3,0)</f>
        <v>Equity</v>
      </c>
      <c r="AT11" s="22" t="str">
        <f t="shared" si="0"/>
        <v>Non-Financial</v>
      </c>
      <c r="AU11" s="1" t="str">
        <f t="shared" si="4"/>
        <v/>
      </c>
      <c r="AV11" s="1" t="str">
        <f>IF(OR(T11="Cash",T11="Cash Adjustments"),T11,VLOOKUP(AL11,'SFC Classifcation'!$A:$C,3,0))</f>
        <v>Hong Kong</v>
      </c>
      <c r="AW11" s="22" t="str">
        <f t="shared" si="5"/>
        <v>High</v>
      </c>
      <c r="AX11" s="22" t="str">
        <f t="shared" si="6"/>
        <v>High</v>
      </c>
      <c r="AY11" s="45" t="str">
        <f>IF(OR(T11="Cash",T11="Cash Adjustments"), T11, _xll.BDP(R11&amp;" FIGI", $AY$1))</f>
        <v>Communication Services</v>
      </c>
      <c r="AZ11" s="45" t="str">
        <f>IF(OR(T11="Cash",T11="Cash Adjustments"), T11, _xll.BDP(R11&amp;" FIGI", $AZ$1))</f>
        <v>Cellular Telecom</v>
      </c>
      <c r="BA11" s="45" t="str">
        <f>IF(OR(T11="Cash",T11="Cash Adjustments"), T11, _xll.BDP(R11&amp;" FIGI", $BA$1))</f>
        <v>#N/A Field Not Applicable</v>
      </c>
      <c r="BB11" s="45" t="str">
        <f>IF(OR(AS11="Government",AS11="Corporate"),(AK11*AB11/'SFC Report'!$C$20),"")</f>
        <v/>
      </c>
      <c r="BC11" s="174" t="str">
        <f>IF(OR(T11="Cash",T11="Cash Adjustments", T11="FX Forward", T11="Repo", T11="Equity", T11="M-Mkt"), "", _xll.BDP(R11&amp;" FIGI", $BC$1))</f>
        <v/>
      </c>
      <c r="BD11" s="125" t="str">
        <f>IF(OR(T11="Cash",T11="Cash Adjustments",T11="FX Forward",T11="Repo", T11="Equity", T11="M-Mkt"),"",(BC11-'SFC Report'!$B$13)/365)</f>
        <v/>
      </c>
      <c r="BE11" s="82" t="str">
        <f t="shared" si="1"/>
        <v/>
      </c>
      <c r="BF11" s="5" t="str">
        <f>IF(BC11="","",BD11*AB11/'SFC Report'!$C$20)</f>
        <v/>
      </c>
      <c r="BG11" s="14" t="str" cm="1">
        <f t="array" ref="BG11">IF(OR(AS11="Corporate",AS11="Government"),_xll.BDP(G11&amp;" ISIN", $BG$1),"")</f>
        <v/>
      </c>
      <c r="BH11" s="140" t="str">
        <f>IF(OR(AS11="Corporate",AS11="Government"),BG11*BN11/'SFC Report'!$C$20,"")</f>
        <v/>
      </c>
      <c r="BI11" s="140" t="str">
        <f>IF(OR(AS11="Corporate",AS11="Government"),_xll.BDP(G11&amp;" ISIN", $BI$1),"")</f>
        <v/>
      </c>
      <c r="BJ11" s="140" t="str">
        <f>IF(OR(AS11="Corporate",AS11="Government"),BI11*AB11/'SFC Report'!$C$20,"")</f>
        <v/>
      </c>
      <c r="BK11" s="153" t="str">
        <f>IF(OR(T11="Cash",T11="Cash Adjustments"),"-",_xll.BDP(R11&amp;" FIGI",$BK$1))</f>
        <v>HK0941009539</v>
      </c>
      <c r="BL11" s="11" t="str">
        <f>IF(OR(AS11="Cash", AS11="Cash Adjustments"),"-",IF(ISNA(VLOOKUP(BK11,'BBG - VaR Data (Sample, Indus )'!C:N,5,0)),"-",VLOOKUP(BK11,'BBG - VaR Data (Sample, Indus )'!C:N,5,0)))</f>
        <v>-</v>
      </c>
      <c r="BM11" s="11">
        <f>IF(OR(AS11="Cash", AS11="Cash Adjustments"),"-",IF(ISNA(VLOOKUP(BK11,'BBG - Scenarios (Sample View)'!C:Z,14,0)),"-",VLOOKUP(BK11,'BBG - Scenarios (Sample View)'!C:Z,14,0)))</f>
        <v>-6.34</v>
      </c>
      <c r="BN11" s="14">
        <f t="shared" si="7"/>
        <v>1006998.1940144479</v>
      </c>
      <c r="BO11" s="1">
        <f t="shared" si="8"/>
        <v>1.9753768718764916E-3</v>
      </c>
      <c r="BP11" t="str">
        <f>IF(BC11&lt;&gt;0,MaturityBucket(BG11),"")</f>
        <v/>
      </c>
      <c r="BQ11" s="11" t="str">
        <f>IF(OR(T11="Cash",T11="Cash Adjustments"),T11,VLOOKUP(AL11,'SFC Classifcation'!$A:$C,2,0))</f>
        <v>Hong Kong</v>
      </c>
      <c r="BR11" s="1" t="str">
        <f>IF(S11="Bond",BH11/'SFC Report'!$B$7,"")</f>
        <v/>
      </c>
      <c r="BS11" t="str">
        <f>IF(OR(T11="Cash",T11="Cash Adjustments"),"-",_xll.BDP(R11&amp;" FIGI",$BS$1))</f>
        <v>#N/A Field Not Applicable</v>
      </c>
      <c r="BT11" t="str">
        <f>IF(OR(T11="Cash",T11="Cash Adjustments"),"-",_xll.BDP(R11&amp;" FIGI",$BT$1))</f>
        <v>#N/A Field Not Applicable</v>
      </c>
      <c r="BU11" t="str">
        <f>IF(OR(T11="Cash",T11="Cash Adjustments"),"-",_xll.BDP(R11&amp;" FIGI",$BU$1))</f>
        <v>#N/A Field Not Applicable</v>
      </c>
    </row>
    <row r="12" spans="1:73">
      <c r="A12" s="254" t="s">
        <v>15</v>
      </c>
      <c r="B12" s="254" t="s">
        <v>25</v>
      </c>
      <c r="C12" s="254"/>
      <c r="D12" s="254" t="s">
        <v>20</v>
      </c>
      <c r="E12" s="254"/>
      <c r="F12" s="254" t="s">
        <v>1285</v>
      </c>
      <c r="G12" s="254" t="s">
        <v>1286</v>
      </c>
      <c r="H12" s="270">
        <v>3500000</v>
      </c>
      <c r="I12" s="270">
        <v>1.74</v>
      </c>
      <c r="J12" s="270">
        <v>5643848.8300000001</v>
      </c>
      <c r="K12" s="270">
        <v>5643848.8300000001</v>
      </c>
      <c r="L12" s="270">
        <v>446151.17</v>
      </c>
      <c r="M12" s="270">
        <v>0</v>
      </c>
      <c r="N12" s="270">
        <v>6090000</v>
      </c>
      <c r="O12" s="255">
        <v>1.2999999999999999E-3</v>
      </c>
      <c r="P12" s="1"/>
      <c r="Q12" s="1" t="str">
        <f t="shared" si="2"/>
        <v>Investments</v>
      </c>
      <c r="R12" s="9" t="str">
        <f>_xll.BDP(G12&amp;" Equity",$R$1)</f>
        <v>BBG00LD1QR26</v>
      </c>
      <c r="S12" s="1" t="str">
        <f>IF(Q12="Cash",Q12,IF(OR(Q12="Receivable Investments",Q12="Payable Investments"),"Cash Adjustments",_xll.BDP(R12&amp;" FIGI",$S$1)))</f>
        <v>EQUI</v>
      </c>
      <c r="T12" s="1" t="str">
        <f>IF(Q12="Cash",Q12,IF(OR(Q12="Receivable Investments",Q12="Payable Investments"),"Cash Adjustments",VLOOKUP(R12,LQA!E:S,3,0)))</f>
        <v>Equity</v>
      </c>
      <c r="U12" s="1" t="str">
        <f>IF(Q12="Cash",Q12,IF(OR(Q12="Receivable Investments",Q12="Payable Investments"),"Cash Adjustments",_xll.BDP(R12&amp;" FIGI",$U$1)))</f>
        <v>Common Stock</v>
      </c>
      <c r="V12" s="10">
        <f>IF(OR(Q12="Cash",Q12="Receivable Investments",Q12="Payable Investments"),0,IF(Q12="Investments",VLOOKUP(R12,LQA!E:Q,12,0),"Not Covered"))</f>
        <v>0.3</v>
      </c>
      <c r="W12" s="76">
        <f>IF(OR(Q12="Cash",Q12="Receivable Investments",Q12="Payable Investments"),0,IF(Q12="Investments",VLOOKUP(R12,LQA!E:Q,9,0),"Not Covered"))</f>
        <v>1.8851E-2</v>
      </c>
      <c r="X12" s="13" t="str">
        <f>IF(OR(H12=0,T12="Comdty"),"High",IF(V12&lt;='Liquidity Bucket'!$A$4,'Liquidity Bucket'!$I$4,IF(V12&lt;='Liquidity Bucket'!$A$5,'Liquidity Bucket'!$I$5,IF(V12&lt;='Liquidity Bucket'!$A$6,'Liquidity Bucket'!$I$6,IF(V12='Liquidity Bucket'!$A$8,'Liquidity Bucket'!$I$8,'Liquidity Bucket'!$I$7)))))</f>
        <v>High</v>
      </c>
      <c r="Y12" s="153">
        <f>IF(OR(Q12="Cash",Q12="Receivable Investments",Q12="Payable Investments"),0,IF(Q12="Investments",VLOOKUP(R12,'LQA Stress'!E:Q,12,0),"Not Covered"))</f>
        <v>0.5</v>
      </c>
      <c r="Z12" s="75">
        <f>IF(OR(Q12="Cash",Q12="Receivable Investments",Q12="Payable Investments"),0,IF(Q12="Investments",VLOOKUP(R12,'LQA Stress'!E:Q,9,0),"Not Covered"))</f>
        <v>3.3730000000000003E-2</v>
      </c>
      <c r="AA12" s="13" t="str">
        <f>IF(T12="Comdty","High",IF(Y12&lt;='Liquidity Bucket'!$A$4,'Liquidity Bucket'!$I$4,IF(Y12&lt;='Liquidity Bucket'!$A$5,'Liquidity Bucket'!$I$5,IF(Y12&lt;='Liquidity Bucket'!$A$6,'Liquidity Bucket'!$I$6,IF(Y12='Liquidity Bucket'!$A$8,'Liquidity Bucket'!$I$8,'Liquidity Bucket'!$I$7)))))</f>
        <v>High</v>
      </c>
      <c r="AB12" s="14">
        <f>(N12+M12)/'FX Rates'!$C$5</f>
        <v>785603.71517027868</v>
      </c>
      <c r="AC12" s="15" t="str">
        <f>IF(X12="Not Covered", (H12/_xll.BDP(R12&amp;" FIGI",$AC$1)),"")</f>
        <v/>
      </c>
      <c r="AD12" s="16" t="str">
        <f>IF(X12="Not Covered", _xll.BDP(R12&amp;" FIGI",$AD$1),"")</f>
        <v/>
      </c>
      <c r="AE12" s="16" t="str">
        <f>IF(OR(T12="Corp",T12="Govt"),IF(_xll.BDP(R12&amp;" FIGI",$AE$1)="#N/A N/A","",_xll.BDP(R12&amp;" FIGI",$AE$1)),"")</f>
        <v/>
      </c>
      <c r="AF12" s="1" t="str">
        <f>IF(OR(T12="Corp",T12="Govt"),IF(_xll.BDP(R12&amp;" FIGI",$AF$1)="#N/A N/A","",_xll.BDP(R12&amp;" FIGI",$AF$1)),"")</f>
        <v/>
      </c>
      <c r="AG12" s="16" t="str">
        <f>IF(OR(T12="Corp",T12="Govt"),IF(_xll.BDP(R12&amp;" FIGI",$AG$1)="#N/A N/A","",_xll.BDP(R12&amp;" FIGI",$AG$1)),"")</f>
        <v/>
      </c>
      <c r="AH12" s="125">
        <f>IF(OR(S12="Cash",S12="M-Mkt"),21,IF(AE12="",0,VLOOKUP(AE12,'Rating Scale'!A:B,2,0)))</f>
        <v>0</v>
      </c>
      <c r="AI12" s="125">
        <f>IF(OR(S12="Cash",S12="M-Mkt"),21,IF(AF12="",0,VLOOKUP(AF12,'Rating Scale'!D:E,2,0)))</f>
        <v>0</v>
      </c>
      <c r="AJ12" s="125">
        <f>IF(OR(S12="Cash",S12="M-Mkt"),21,IF(AG12="",0,VLOOKUP(AG12,'Rating Scale'!G:H,2,0)))</f>
        <v>0</v>
      </c>
      <c r="AK12">
        <f t="shared" si="3"/>
        <v>0</v>
      </c>
      <c r="AL12" s="1" t="str">
        <f>IF(OR(U12="Cash",U12="Cash Adjustments"),_xll.BDP(G12&amp;" Curncy","Country"),IF(T12="Equity",_xll.BDP(R12&amp;" FIGI","CNTRY_ISSUE_ISO"),_xll.BDP(R12&amp;" FIGI",$AL$1)))</f>
        <v>HK</v>
      </c>
      <c r="AM12" s="126" t="str">
        <f>IF(OR(T12="Cash",T12="Cash Adjustments",T12="M-Mkt"), T12, IF(T12="Comdty",AS12, _xll.BDP(R12&amp;" FIGI", $AM$1)))</f>
        <v>Industrial</v>
      </c>
      <c r="AN12" s="126" t="str">
        <f>IF(OR(T12="Cash",T12="Cash Adjustments",T12="M-Mkt"), T12,  IF(T12="Comdty",AS12,_xll.BDP(R12&amp;" FIGI", $AN$1)))</f>
        <v>Engineering&amp;Construction</v>
      </c>
      <c r="AO12" s="126" t="str">
        <f>IF(OR(T12="Cash",T12="Cash Adjustments",T12="M-Mkt"), T12,  IF(T12="Comdty",AS12,_xll.BDP(R12&amp;" FIGI", $AO$1)))</f>
        <v>Building-Heavy Construct</v>
      </c>
      <c r="AP12" s="13" t="str">
        <f>IF(OR(T12="Cash",T12="Cash Adjustments"), T12, IF(_xll.BDP(R12&amp;" FIGI", $AP$1)="#N/A Field Not Applicable","N",_xll.BDP(R12&amp;" FIGI", $AP$1)))</f>
        <v>N</v>
      </c>
      <c r="AQ12" s="1" t="str">
        <f>IF(OR(T12="Cash",T12="Cash Adjustments"), T12, IF(_xll.BDP(R12&amp;" FIGI", $AQ$1)="#N/A Field Not Applicable"," ",_xll.BDP(R12&amp;" FIGI", $AQ$1)))</f>
        <v xml:space="preserve"> </v>
      </c>
      <c r="AR12" s="1" t="str">
        <f>IF(OR(T12="Cash",T12="Cash Adjustments"), T12, IF(_xll.BDP(R12&amp;" FIGI", $AR$1)="#N/A Field Not Applicable"," ",_xll.BDP(R12&amp;" FIGI", $AR$1)))</f>
        <v>ACTV</v>
      </c>
      <c r="AS12" s="1" t="str">
        <f>VLOOKUP(T12,'SFC Classifcation'!$F$2:$H$7,3,0)</f>
        <v>Equity</v>
      </c>
      <c r="AT12" s="22" t="str">
        <f t="shared" si="0"/>
        <v>Non-Financial</v>
      </c>
      <c r="AU12" s="1" t="str">
        <f t="shared" si="4"/>
        <v/>
      </c>
      <c r="AV12" s="1" t="str">
        <f>IF(OR(T12="Cash",T12="Cash Adjustments"),T12,VLOOKUP(AL12,'SFC Classifcation'!$A:$C,3,0))</f>
        <v>Hong Kong</v>
      </c>
      <c r="AW12" s="22" t="str">
        <f t="shared" si="5"/>
        <v>High</v>
      </c>
      <c r="AX12" s="22" t="str">
        <f t="shared" si="6"/>
        <v>High</v>
      </c>
      <c r="AY12" s="45" t="str">
        <f>IF(OR(T12="Cash",T12="Cash Adjustments"), T12, _xll.BDP(R12&amp;" FIGI", $AY$1))</f>
        <v>Communication Services</v>
      </c>
      <c r="AZ12" s="45" t="str">
        <f>IF(OR(T12="Cash",T12="Cash Adjustments"), T12, _xll.BDP(R12&amp;" FIGI", $AZ$1))</f>
        <v>Building-Heavy Construct</v>
      </c>
      <c r="BA12" s="45" t="str">
        <f>IF(OR(T12="Cash",T12="Cash Adjustments"), T12, _xll.BDP(R12&amp;" FIGI", $BA$1))</f>
        <v>#N/A Field Not Applicable</v>
      </c>
      <c r="BB12" s="45" t="str">
        <f>IF(OR(AS12="Government",AS12="Corporate"),(AK12*AB12/'SFC Report'!$C$20),"")</f>
        <v/>
      </c>
      <c r="BC12" s="174" t="str">
        <f>IF(OR(T12="Cash",T12="Cash Adjustments", T12="FX Forward", T12="Repo", T12="Equity", T12="M-Mkt"), "", _xll.BDP(R12&amp;" FIGI", $BC$1))</f>
        <v/>
      </c>
      <c r="BD12" s="125" t="str">
        <f>IF(OR(T12="Cash",T12="Cash Adjustments",T12="FX Forward",T12="Repo", T12="Equity", T12="M-Mkt"),"",(BC12-'SFC Report'!$B$13)/365)</f>
        <v/>
      </c>
      <c r="BE12" s="82" t="str">
        <f t="shared" si="1"/>
        <v/>
      </c>
      <c r="BF12" s="5" t="str">
        <f>IF(BC12="","",BD12*AB12/'SFC Report'!$C$20)</f>
        <v/>
      </c>
      <c r="BG12" s="14" t="str" cm="1">
        <f t="array" ref="BG12">IF(OR(AS12="Corporate",AS12="Government"),_xll.BDP(G12&amp;" ISIN", $BG$1),"")</f>
        <v/>
      </c>
      <c r="BH12" s="140" t="str">
        <f>IF(OR(AS12="Corporate",AS12="Government"),BG12*BN12/'SFC Report'!$C$20,"")</f>
        <v/>
      </c>
      <c r="BI12" s="140" t="str">
        <f>IF(OR(AS12="Corporate",AS12="Government"),_xll.BDP(G12&amp;" ISIN", $BI$1),"")</f>
        <v/>
      </c>
      <c r="BJ12" s="140" t="str">
        <f>IF(OR(AS12="Corporate",AS12="Government"),BI12*AB12/'SFC Report'!$C$20,"")</f>
        <v/>
      </c>
      <c r="BK12" s="153" t="str">
        <f>IF(OR(T12="Cash",T12="Cash Adjustments"),"-",_xll.BDP(R12&amp;" FIGI",$BK$1))</f>
        <v>CNE100003688</v>
      </c>
      <c r="BL12" s="11" t="str">
        <f>IF(OR(AS12="Cash", AS12="Cash Adjustments"),"-",IF(ISNA(VLOOKUP(BK12,'BBG - VaR Data (Sample, Indus )'!C:N,5,0)),"-",VLOOKUP(BK12,'BBG - VaR Data (Sample, Indus )'!C:N,5,0)))</f>
        <v>-</v>
      </c>
      <c r="BM12" s="11">
        <f>IF(OR(AS12="Cash", AS12="Cash Adjustments"),"-",IF(ISNA(VLOOKUP(BK12,'BBG - Scenarios (Sample View)'!C:Z,14,0)),"-",VLOOKUP(BK12,'BBG - Scenarios (Sample View)'!C:Z,14,0)))</f>
        <v>-9.6300000000000008</v>
      </c>
      <c r="BN12" s="14">
        <f t="shared" si="7"/>
        <v>785603.71517027868</v>
      </c>
      <c r="BO12" s="1">
        <f t="shared" si="8"/>
        <v>1.5410786420788259E-3</v>
      </c>
      <c r="BP12" t="str">
        <f>IF(BC12&lt;&gt;0,MaturityBucket(BG12),"")</f>
        <v/>
      </c>
      <c r="BQ12" s="11" t="str">
        <f>IF(OR(T12="Cash",T12="Cash Adjustments"),T12,VLOOKUP(AL12,'SFC Classifcation'!$A:$C,2,0))</f>
        <v>Hong Kong</v>
      </c>
      <c r="BR12" s="1" t="str">
        <f>IF(S12="Bond",BH12/'SFC Report'!$B$7,"")</f>
        <v/>
      </c>
      <c r="BS12" t="str">
        <f>IF(OR(T12="Cash",T12="Cash Adjustments"),"-",_xll.BDP(R12&amp;" FIGI",$BS$1))</f>
        <v>#N/A Field Not Applicable</v>
      </c>
      <c r="BT12" t="str">
        <f>IF(OR(T12="Cash",T12="Cash Adjustments"),"-",_xll.BDP(R12&amp;" FIGI",$BT$1))</f>
        <v>#N/A Field Not Applicable</v>
      </c>
      <c r="BU12" t="str">
        <f>IF(OR(T12="Cash",T12="Cash Adjustments"),"-",_xll.BDP(R12&amp;" FIGI",$BU$1))</f>
        <v>#N/A Field Not Applicable</v>
      </c>
    </row>
    <row r="13" spans="1:73">
      <c r="A13" s="254" t="s">
        <v>15</v>
      </c>
      <c r="B13" s="254" t="s">
        <v>25</v>
      </c>
      <c r="C13" s="254"/>
      <c r="D13" s="254" t="s">
        <v>20</v>
      </c>
      <c r="E13" s="254"/>
      <c r="F13" s="254" t="s">
        <v>30</v>
      </c>
      <c r="G13" s="254" t="s">
        <v>31</v>
      </c>
      <c r="H13" s="270">
        <v>55000</v>
      </c>
      <c r="I13" s="270">
        <v>82.8</v>
      </c>
      <c r="J13" s="270">
        <v>4743347.9400000004</v>
      </c>
      <c r="K13" s="270">
        <v>4743347.9400000004</v>
      </c>
      <c r="L13" s="270">
        <v>-189347.94</v>
      </c>
      <c r="M13" s="270">
        <v>0</v>
      </c>
      <c r="N13" s="270">
        <v>4554000</v>
      </c>
      <c r="O13" s="255">
        <v>1E-3</v>
      </c>
      <c r="P13" s="1"/>
      <c r="Q13" s="1" t="str">
        <f t="shared" si="2"/>
        <v>Investments</v>
      </c>
      <c r="R13" s="9" t="str">
        <f>_xll.BDP(G13&amp;" Equity",$R$1)</f>
        <v>BBG000BDV566</v>
      </c>
      <c r="S13" s="1" t="str">
        <f>IF(Q13="Cash",Q13,IF(OR(Q13="Receivable Investments",Q13="Payable Investments"),"Cash Adjustments",_xll.BDP(R13&amp;" FIGI",$S$1)))</f>
        <v>EQUI</v>
      </c>
      <c r="T13" s="1" t="str">
        <f>IF(Q13="Cash",Q13,IF(OR(Q13="Receivable Investments",Q13="Payable Investments"),"Cash Adjustments",VLOOKUP(R13,LQA!E:S,3,0)))</f>
        <v>Equity</v>
      </c>
      <c r="U13" s="1" t="str">
        <f>IF(Q13="Cash",Q13,IF(OR(Q13="Receivable Investments",Q13="Payable Investments"),"Cash Adjustments",_xll.BDP(R13&amp;" FIGI",$U$1)))</f>
        <v>Common Stock</v>
      </c>
      <c r="V13" s="10">
        <f>IF(OR(Q13="Cash",Q13="Receivable Investments",Q13="Payable Investments"),0,IF(Q13="Investments",VLOOKUP(R13,LQA!E:Q,12,0),"Not Covered"))</f>
        <v>0.4</v>
      </c>
      <c r="W13" s="76">
        <f>IF(OR(Q13="Cash",Q13="Receivable Investments",Q13="Payable Investments"),0,IF(Q13="Investments",VLOOKUP(R13,LQA!E:Q,9,0),"Not Covered"))</f>
        <v>1.6756E-2</v>
      </c>
      <c r="X13" s="13" t="str">
        <f>IF(OR(H13=0,T13="Comdty"),"High",IF(V13&lt;='Liquidity Bucket'!$A$4,'Liquidity Bucket'!$I$4,IF(V13&lt;='Liquidity Bucket'!$A$5,'Liquidity Bucket'!$I$5,IF(V13&lt;='Liquidity Bucket'!$A$6,'Liquidity Bucket'!$I$6,IF(V13='Liquidity Bucket'!$A$8,'Liquidity Bucket'!$I$8,'Liquidity Bucket'!$I$7)))))</f>
        <v>High</v>
      </c>
      <c r="Y13" s="153">
        <f>IF(OR(Q13="Cash",Q13="Receivable Investments",Q13="Payable Investments"),0,IF(Q13="Investments",VLOOKUP(R13,'LQA Stress'!E:Q,12,0),"Not Covered"))</f>
        <v>0.8</v>
      </c>
      <c r="Z13" s="75">
        <f>IF(OR(Q13="Cash",Q13="Receivable Investments",Q13="Payable Investments"),0,IF(Q13="Investments",VLOOKUP(R13,'LQA Stress'!E:Q,9,0),"Not Covered"))</f>
        <v>2.9912000000000001E-2</v>
      </c>
      <c r="AA13" s="13" t="str">
        <f>IF(T13="Comdty","High",IF(Y13&lt;='Liquidity Bucket'!$A$4,'Liquidity Bucket'!$I$4,IF(Y13&lt;='Liquidity Bucket'!$A$5,'Liquidity Bucket'!$I$5,IF(Y13&lt;='Liquidity Bucket'!$A$6,'Liquidity Bucket'!$I$6,IF(Y13='Liquidity Bucket'!$A$8,'Liquidity Bucket'!$I$8,'Liquidity Bucket'!$I$7)))))</f>
        <v>High</v>
      </c>
      <c r="AB13" s="14">
        <f>(N13+M13)/'FX Rates'!$C$5</f>
        <v>587461.30030959751</v>
      </c>
      <c r="AC13" s="15" t="str">
        <f>IF(X13="Not Covered", (H13/_xll.BDP(R13&amp;" FIGI",$AC$1)),"")</f>
        <v/>
      </c>
      <c r="AD13" s="16" t="str">
        <f>IF(X13="Not Covered", _xll.BDP(R13&amp;" FIGI",$AD$1),"")</f>
        <v/>
      </c>
      <c r="AE13" s="16" t="str">
        <f>IF(OR(T13="Corp",T13="Govt"),IF(_xll.BDP(R13&amp;" FIGI",$AE$1)="#N/A N/A","",_xll.BDP(R13&amp;" FIGI",$AE$1)),"")</f>
        <v/>
      </c>
      <c r="AF13" s="1" t="str">
        <f>IF(OR(T13="Corp",T13="Govt"),IF(_xll.BDP(R13&amp;" FIGI",$AF$1)="#N/A N/A","",_xll.BDP(R13&amp;" FIGI",$AF$1)),"")</f>
        <v/>
      </c>
      <c r="AG13" s="16" t="str">
        <f>IF(OR(T13="Corp",T13="Govt"),IF(_xll.BDP(R13&amp;" FIGI",$AG$1)="#N/A N/A","",_xll.BDP(R13&amp;" FIGI",$AG$1)),"")</f>
        <v/>
      </c>
      <c r="AH13" s="125">
        <f>IF(OR(S13="Cash",S13="M-Mkt"),21,IF(AE13="",0,VLOOKUP(AE13,'Rating Scale'!A:B,2,0)))</f>
        <v>0</v>
      </c>
      <c r="AI13" s="125">
        <f>IF(OR(S13="Cash",S13="M-Mkt"),21,IF(AF13="",0,VLOOKUP(AF13,'Rating Scale'!D:E,2,0)))</f>
        <v>0</v>
      </c>
      <c r="AJ13" s="125">
        <f>IF(OR(S13="Cash",S13="M-Mkt"),21,IF(AG13="",0,VLOOKUP(AG13,'Rating Scale'!G:H,2,0)))</f>
        <v>0</v>
      </c>
      <c r="AK13">
        <f t="shared" si="3"/>
        <v>0</v>
      </c>
      <c r="AL13" s="1" t="str">
        <f>IF(OR(U13="Cash",U13="Cash Adjustments"),_xll.BDP(G13&amp;" Curncy","Country"),IF(T13="Equity",_xll.BDP(R13&amp;" FIGI","CNTRY_ISSUE_ISO"),_xll.BDP(R13&amp;" FIGI",$AL$1)))</f>
        <v>HK</v>
      </c>
      <c r="AM13" s="126" t="str">
        <f>IF(OR(T13="Cash",T13="Cash Adjustments",T13="M-Mkt"), T13, IF(T13="Comdty",AS13, _xll.BDP(R13&amp;" FIGI", $AM$1)))</f>
        <v>Utilities</v>
      </c>
      <c r="AN13" s="126" t="str">
        <f>IF(OR(T13="Cash",T13="Cash Adjustments",T13="M-Mkt"), T13,  IF(T13="Comdty",AS13,_xll.BDP(R13&amp;" FIGI", $AN$1)))</f>
        <v>Electric</v>
      </c>
      <c r="AO13" s="126" t="str">
        <f>IF(OR(T13="Cash",T13="Cash Adjustments",T13="M-Mkt"), T13,  IF(T13="Comdty",AS13,_xll.BDP(R13&amp;" FIGI", $AO$1)))</f>
        <v>Electric-Integrated</v>
      </c>
      <c r="AP13" s="13" t="str">
        <f>IF(OR(T13="Cash",T13="Cash Adjustments"), T13, IF(_xll.BDP(R13&amp;" FIGI", $AP$1)="#N/A Field Not Applicable","N",_xll.BDP(R13&amp;" FIGI", $AP$1)))</f>
        <v>N</v>
      </c>
      <c r="AQ13" s="1" t="str">
        <f>IF(OR(T13="Cash",T13="Cash Adjustments"), T13, IF(_xll.BDP(R13&amp;" FIGI", $AQ$1)="#N/A Field Not Applicable"," ",_xll.BDP(R13&amp;" FIGI", $AQ$1)))</f>
        <v xml:space="preserve"> </v>
      </c>
      <c r="AR13" s="1" t="str">
        <f>IF(OR(T13="Cash",T13="Cash Adjustments"), T13, IF(_xll.BDP(R13&amp;" FIGI", $AR$1)="#N/A Field Not Applicable"," ",_xll.BDP(R13&amp;" FIGI", $AR$1)))</f>
        <v>ACTV</v>
      </c>
      <c r="AS13" s="1" t="str">
        <f>VLOOKUP(T13,'SFC Classifcation'!$F$2:$H$7,3,0)</f>
        <v>Equity</v>
      </c>
      <c r="AT13" s="22" t="str">
        <f t="shared" si="0"/>
        <v>Non-Financial</v>
      </c>
      <c r="AU13" s="1" t="str">
        <f t="shared" si="4"/>
        <v/>
      </c>
      <c r="AV13" s="1" t="str">
        <f>IF(OR(T13="Cash",T13="Cash Adjustments"),T13,VLOOKUP(AL13,'SFC Classifcation'!$A:$C,3,0))</f>
        <v>Hong Kong</v>
      </c>
      <c r="AW13" s="22" t="str">
        <f t="shared" si="5"/>
        <v>High</v>
      </c>
      <c r="AX13" s="22" t="str">
        <f t="shared" si="6"/>
        <v>High</v>
      </c>
      <c r="AY13" s="45" t="str">
        <f>IF(OR(T13="Cash",T13="Cash Adjustments"), T13, _xll.BDP(R13&amp;" FIGI", $AY$1))</f>
        <v>Utilities</v>
      </c>
      <c r="AZ13" s="45" t="str">
        <f>IF(OR(T13="Cash",T13="Cash Adjustments"), T13, _xll.BDP(R13&amp;" FIGI", $AZ$1))</f>
        <v>Electric-Integrated</v>
      </c>
      <c r="BA13" s="45" t="str">
        <f>IF(OR(T13="Cash",T13="Cash Adjustments"), T13, _xll.BDP(R13&amp;" FIGI", $BA$1))</f>
        <v>#N/A Field Not Applicable</v>
      </c>
      <c r="BB13" s="45" t="str">
        <f>IF(OR(AS13="Government",AS13="Corporate"),(AK13*AB13/'SFC Report'!$C$20),"")</f>
        <v/>
      </c>
      <c r="BC13" s="174" t="str">
        <f>IF(OR(T13="Cash",T13="Cash Adjustments", T13="FX Forward", T13="Repo", T13="Equity", T13="M-Mkt"), "", _xll.BDP(R13&amp;" FIGI", $BC$1))</f>
        <v/>
      </c>
      <c r="BD13" s="125" t="str">
        <f>IF(OR(T13="Cash",T13="Cash Adjustments",T13="FX Forward",T13="Repo", T13="Equity", T13="M-Mkt"),"",(BC13-'SFC Report'!$B$13)/365)</f>
        <v/>
      </c>
      <c r="BE13" s="82" t="str">
        <f t="shared" si="1"/>
        <v/>
      </c>
      <c r="BF13" s="5" t="str">
        <f>IF(BC13="","",BD13*AB13/'SFC Report'!$C$20)</f>
        <v/>
      </c>
      <c r="BG13" s="14" t="str" cm="1">
        <f t="array" ref="BG13">IF(OR(AS13="Corporate",AS13="Government"),_xll.BDP(G13&amp;" ISIN", $BG$1),"")</f>
        <v/>
      </c>
      <c r="BH13" s="140" t="str">
        <f>IF(OR(AS13="Corporate",AS13="Government"),BG13*BN13/'SFC Report'!$C$20,"")</f>
        <v/>
      </c>
      <c r="BI13" s="140" t="str">
        <f>IF(OR(AS13="Corporate",AS13="Government"),_xll.BDP(G13&amp;" ISIN", $BI$1),"")</f>
        <v/>
      </c>
      <c r="BJ13" s="140" t="str">
        <f>IF(OR(AS13="Corporate",AS13="Government"),BI13*AB13/'SFC Report'!$C$20,"")</f>
        <v/>
      </c>
      <c r="BK13" s="153" t="str">
        <f>IF(OR(T13="Cash",T13="Cash Adjustments"),"-",_xll.BDP(R13&amp;" FIGI",$BK$1))</f>
        <v>HK0002007356</v>
      </c>
      <c r="BL13" s="11" t="str">
        <f>IF(OR(AS13="Cash", AS13="Cash Adjustments"),"-",IF(ISNA(VLOOKUP(BK13,'BBG - VaR Data (Sample, Indus )'!C:N,5,0)),"-",VLOOKUP(BK13,'BBG - VaR Data (Sample, Indus )'!C:N,5,0)))</f>
        <v>-</v>
      </c>
      <c r="BM13" s="11">
        <f>IF(OR(AS13="Cash", AS13="Cash Adjustments"),"-",IF(ISNA(VLOOKUP(BK13,'BBG - Scenarios (Sample View)'!C:Z,14,0)),"-",VLOOKUP(BK13,'BBG - Scenarios (Sample View)'!C:Z,14,0)))</f>
        <v>-7.32</v>
      </c>
      <c r="BN13" s="14">
        <f t="shared" si="7"/>
        <v>587461.30030959751</v>
      </c>
      <c r="BO13" s="1">
        <f t="shared" si="8"/>
        <v>1.1523927973771711E-3</v>
      </c>
      <c r="BP13" t="str">
        <f>IF(BC13&lt;&gt;0,MaturityBucket(BG13),"")</f>
        <v/>
      </c>
      <c r="BQ13" s="11" t="str">
        <f>IF(OR(T13="Cash",T13="Cash Adjustments"),T13,VLOOKUP(AL13,'SFC Classifcation'!$A:$C,2,0))</f>
        <v>Hong Kong</v>
      </c>
      <c r="BR13" s="1" t="str">
        <f>IF(S13="Bond",BH13/'SFC Report'!$B$7,"")</f>
        <v/>
      </c>
      <c r="BS13" t="str">
        <f>IF(OR(T13="Cash",T13="Cash Adjustments"),"-",_xll.BDP(R13&amp;" FIGI",$BS$1))</f>
        <v>#N/A Field Not Applicable</v>
      </c>
      <c r="BT13" t="str">
        <f>IF(OR(T13="Cash",T13="Cash Adjustments"),"-",_xll.BDP(R13&amp;" FIGI",$BT$1))</f>
        <v>#N/A Field Not Applicable</v>
      </c>
      <c r="BU13" t="str">
        <f>IF(OR(T13="Cash",T13="Cash Adjustments"),"-",_xll.BDP(R13&amp;" FIGI",$BU$1))</f>
        <v>#N/A Field Not Applicable</v>
      </c>
    </row>
    <row r="14" spans="1:73">
      <c r="A14" s="254" t="s">
        <v>15</v>
      </c>
      <c r="B14" s="254" t="s">
        <v>25</v>
      </c>
      <c r="C14" s="254"/>
      <c r="D14" s="254" t="s">
        <v>20</v>
      </c>
      <c r="E14" s="254"/>
      <c r="F14" s="254" t="s">
        <v>32</v>
      </c>
      <c r="G14" s="254" t="s">
        <v>33</v>
      </c>
      <c r="H14" s="270">
        <v>750000</v>
      </c>
      <c r="I14" s="270">
        <v>16.12</v>
      </c>
      <c r="J14" s="270">
        <v>11300550.470000001</v>
      </c>
      <c r="K14" s="270">
        <v>11300550.470000001</v>
      </c>
      <c r="L14" s="270">
        <v>789449.53</v>
      </c>
      <c r="M14" s="270">
        <v>0</v>
      </c>
      <c r="N14" s="270">
        <v>12090000</v>
      </c>
      <c r="O14" s="255">
        <v>2.7000000000000001E-3</v>
      </c>
      <c r="P14" s="1"/>
      <c r="Q14" s="1" t="str">
        <f t="shared" si="2"/>
        <v>Investments</v>
      </c>
      <c r="R14" s="9" t="str">
        <f>_xll.BDP(G14&amp;" Equity",$R$1)</f>
        <v>BBG000BDW8M1</v>
      </c>
      <c r="S14" s="1" t="str">
        <f>IF(Q14="Cash",Q14,IF(OR(Q14="Receivable Investments",Q14="Payable Investments"),"Cash Adjustments",_xll.BDP(R14&amp;" FIGI",$S$1)))</f>
        <v>EQUI</v>
      </c>
      <c r="T14" s="1" t="str">
        <f>IF(Q14="Cash",Q14,IF(OR(Q14="Receivable Investments",Q14="Payable Investments"),"Cash Adjustments",VLOOKUP(R14,LQA!E:S,3,0)))</f>
        <v>Equity</v>
      </c>
      <c r="U14" s="1" t="str">
        <f>IF(Q14="Cash",Q14,IF(OR(Q14="Receivable Investments",Q14="Payable Investments"),"Cash Adjustments",_xll.BDP(R14&amp;" FIGI",$U$1)))</f>
        <v>Common Stock</v>
      </c>
      <c r="V14" s="10">
        <f>IF(OR(Q14="Cash",Q14="Receivable Investments",Q14="Payable Investments"),0,IF(Q14="Investments",VLOOKUP(R14,LQA!E:Q,12,0),"Not Covered"))</f>
        <v>2</v>
      </c>
      <c r="W14" s="76">
        <f>IF(OR(Q14="Cash",Q14="Receivable Investments",Q14="Payable Investments"),0,IF(Q14="Investments",VLOOKUP(R14,LQA!E:Q,9,0),"Not Covered"))</f>
        <v>1.43E-2</v>
      </c>
      <c r="X14" s="13" t="str">
        <f>IF(OR(H14=0,T14="Comdty"),"High",IF(V14&lt;='Liquidity Bucket'!$A$4,'Liquidity Bucket'!$I$4,IF(V14&lt;='Liquidity Bucket'!$A$5,'Liquidity Bucket'!$I$5,IF(V14&lt;='Liquidity Bucket'!$A$6,'Liquidity Bucket'!$I$6,IF(V14='Liquidity Bucket'!$A$8,'Liquidity Bucket'!$I$8,'Liquidity Bucket'!$I$7)))))</f>
        <v>High</v>
      </c>
      <c r="Y14" s="153">
        <f>IF(OR(Q14="Cash",Q14="Receivable Investments",Q14="Payable Investments"),0,IF(Q14="Investments",VLOOKUP(R14,'LQA Stress'!E:Q,12,0),"Not Covered"))</f>
        <v>5.7</v>
      </c>
      <c r="Z14" s="75">
        <f>IF(OR(Q14="Cash",Q14="Receivable Investments",Q14="Payable Investments"),0,IF(Q14="Investments",VLOOKUP(R14,'LQA Stress'!E:Q,9,0),"Not Covered"))</f>
        <v>2.5059000000000001E-2</v>
      </c>
      <c r="AA14" s="13" t="str">
        <f>IF(T14="Comdty","High",IF(Y14&lt;='Liquidity Bucket'!$A$4,'Liquidity Bucket'!$I$4,IF(Y14&lt;='Liquidity Bucket'!$A$5,'Liquidity Bucket'!$I$5,IF(Y14&lt;='Liquidity Bucket'!$A$6,'Liquidity Bucket'!$I$6,IF(Y14='Liquidity Bucket'!$A$8,'Liquidity Bucket'!$I$8,'Liquidity Bucket'!$I$7)))))</f>
        <v>Medium</v>
      </c>
      <c r="AB14" s="14">
        <f>(N14+M14)/'FX Rates'!$C$5</f>
        <v>1559597.5232198143</v>
      </c>
      <c r="AC14" s="15" t="str">
        <f>IF(X14="Not Covered", (H14/_xll.BDP(R14&amp;" FIGI",$AC$1)),"")</f>
        <v/>
      </c>
      <c r="AD14" s="16" t="str">
        <f>IF(X14="Not Covered", _xll.BDP(R14&amp;" FIGI",$AD$1),"")</f>
        <v/>
      </c>
      <c r="AE14" s="16" t="str">
        <f>IF(OR(T14="Corp",T14="Govt"),IF(_xll.BDP(R14&amp;" FIGI",$AE$1)="#N/A N/A","",_xll.BDP(R14&amp;" FIGI",$AE$1)),"")</f>
        <v/>
      </c>
      <c r="AF14" s="1" t="str">
        <f>IF(OR(T14="Corp",T14="Govt"),IF(_xll.BDP(R14&amp;" FIGI",$AF$1)="#N/A N/A","",_xll.BDP(R14&amp;" FIGI",$AF$1)),"")</f>
        <v/>
      </c>
      <c r="AG14" s="16" t="str">
        <f>IF(OR(T14="Corp",T14="Govt"),IF(_xll.BDP(R14&amp;" FIGI",$AG$1)="#N/A N/A","",_xll.BDP(R14&amp;" FIGI",$AG$1)),"")</f>
        <v/>
      </c>
      <c r="AH14" s="125">
        <f>IF(OR(S14="Cash",S14="M-Mkt"),21,IF(AE14="",0,VLOOKUP(AE14,'Rating Scale'!A:B,2,0)))</f>
        <v>0</v>
      </c>
      <c r="AI14" s="125">
        <f>IF(OR(S14="Cash",S14="M-Mkt"),21,IF(AF14="",0,VLOOKUP(AF14,'Rating Scale'!D:E,2,0)))</f>
        <v>0</v>
      </c>
      <c r="AJ14" s="125">
        <f>IF(OR(S14="Cash",S14="M-Mkt"),21,IF(AG14="",0,VLOOKUP(AG14,'Rating Scale'!G:H,2,0)))</f>
        <v>0</v>
      </c>
      <c r="AK14">
        <f>Rating(AH14,AI14,AJ14)</f>
        <v>0</v>
      </c>
      <c r="AL14" s="1" t="str">
        <f>IF(OR(U14="Cash",U14="Cash Adjustments"),_xll.BDP(G14&amp;" Curncy","Country"),IF(T14="Equity",_xll.BDP(R14&amp;" FIGI","CNTRY_ISSUE_ISO"),_xll.BDP(R14&amp;" FIGI",$AL$1)))</f>
        <v>HK</v>
      </c>
      <c r="AM14" s="126" t="str">
        <f>IF(OR(T14="Cash",T14="Cash Adjustments",T14="M-Mkt"), T14, IF(T14="Comdty",AS14, _xll.BDP(R14&amp;" FIGI", $AM$1)))</f>
        <v>Utilities</v>
      </c>
      <c r="AN14" s="126" t="str">
        <f>IF(OR(T14="Cash",T14="Cash Adjustments",T14="M-Mkt"), T14,  IF(T14="Comdty",AS14,_xll.BDP(R14&amp;" FIGI", $AN$1)))</f>
        <v>Water</v>
      </c>
      <c r="AO14" s="126" t="str">
        <f>IF(OR(T14="Cash",T14="Cash Adjustments",T14="M-Mkt"), T14,  IF(T14="Comdty",AS14,_xll.BDP(R14&amp;" FIGI", $AO$1)))</f>
        <v>Water</v>
      </c>
      <c r="AP14" s="13" t="str">
        <f>IF(OR(T14="Cash",T14="Cash Adjustments"), T14, IF(_xll.BDP(R14&amp;" FIGI", $AP$1)="#N/A Field Not Applicable","N",_xll.BDP(R14&amp;" FIGI", $AP$1)))</f>
        <v>N</v>
      </c>
      <c r="AQ14" s="1" t="str">
        <f>IF(OR(T14="Cash",T14="Cash Adjustments"), T14, IF(_xll.BDP(R14&amp;" FIGI", $AQ$1)="#N/A Field Not Applicable"," ",_xll.BDP(R14&amp;" FIGI", $AQ$1)))</f>
        <v xml:space="preserve"> </v>
      </c>
      <c r="AR14" s="1" t="str">
        <f>IF(OR(T14="Cash",T14="Cash Adjustments"), T14, IF(_xll.BDP(R14&amp;" FIGI", $AR$1)="#N/A Field Not Applicable"," ",_xll.BDP(R14&amp;" FIGI", $AR$1)))</f>
        <v>ACTV</v>
      </c>
      <c r="AS14" s="1" t="str">
        <f>VLOOKUP(T14,'SFC Classifcation'!$F$2:$H$7,3,0)</f>
        <v>Equity</v>
      </c>
      <c r="AT14" s="22" t="str">
        <f t="shared" si="0"/>
        <v>Non-Financial</v>
      </c>
      <c r="AU14" s="1" t="str">
        <f t="shared" si="4"/>
        <v/>
      </c>
      <c r="AV14" s="1" t="str">
        <f>IF(OR(T14="Cash",T14="Cash Adjustments"),T14,VLOOKUP(AL14,'SFC Classifcation'!$A:$C,3,0))</f>
        <v>Hong Kong</v>
      </c>
      <c r="AW14" s="22" t="str">
        <f t="shared" si="5"/>
        <v>High</v>
      </c>
      <c r="AX14" s="22" t="str">
        <f t="shared" si="6"/>
        <v>Medium</v>
      </c>
      <c r="AY14" s="45" t="str">
        <f>IF(OR(T14="Cash",T14="Cash Adjustments"), T14, _xll.BDP(R14&amp;" FIGI", $AY$1))</f>
        <v>Utilities</v>
      </c>
      <c r="AZ14" s="45" t="str">
        <f>IF(OR(T14="Cash",T14="Cash Adjustments"), T14, _xll.BDP(R14&amp;" FIGI", $AZ$1))</f>
        <v>Water</v>
      </c>
      <c r="BA14" s="45" t="str">
        <f>IF(OR(T14="Cash",T14="Cash Adjustments"), T14, _xll.BDP(R14&amp;" FIGI", $BA$1))</f>
        <v>#N/A Field Not Applicable</v>
      </c>
      <c r="BB14" s="45" t="str">
        <f>IF(OR(AS14="Government",AS14="Corporate"),(AK14*AB14/'SFC Report'!$C$20),"")</f>
        <v/>
      </c>
      <c r="BC14" s="174" t="str">
        <f>IF(OR(T14="Cash",T14="Cash Adjustments", T14="FX Forward", T14="Repo", T14="Equity", T14="M-Mkt"), "", _xll.BDP(R14&amp;" FIGI", $BC$1))</f>
        <v/>
      </c>
      <c r="BD14" s="125" t="str">
        <f>IF(OR(T14="Cash",T14="Cash Adjustments",T14="FX Forward",T14="Repo", T14="Equity", T14="M-Mkt"),"",(BC14-'SFC Report'!$B$13)/365)</f>
        <v/>
      </c>
      <c r="BE14" s="82" t="str">
        <f t="shared" si="1"/>
        <v/>
      </c>
      <c r="BF14" s="5" t="str">
        <f>IF(BC14="","",BD14*AB14/'SFC Report'!$C$20)</f>
        <v/>
      </c>
      <c r="BG14" s="14" t="str" cm="1">
        <f t="array" ref="BG14">IF(OR(AS14="Corporate",AS14="Government"),_xll.BDP(G14&amp;" ISIN", $BG$1),"")</f>
        <v/>
      </c>
      <c r="BH14" s="140" t="str">
        <f>IF(OR(AS14="Corporate",AS14="Government"),BG14*BN14/'SFC Report'!$C$20,"")</f>
        <v/>
      </c>
      <c r="BI14" s="140" t="str">
        <f>IF(OR(AS14="Corporate",AS14="Government"),_xll.BDP(G14&amp;" ISIN", $BI$1),"")</f>
        <v/>
      </c>
      <c r="BJ14" s="140" t="str">
        <f>IF(OR(AS14="Corporate",AS14="Government"),BI14*AB14/'SFC Report'!$C$20,"")</f>
        <v/>
      </c>
      <c r="BK14" s="153" t="str">
        <f>IF(OR(T14="Cash",T14="Cash Adjustments"),"-",_xll.BDP(R14&amp;" FIGI",$BK$1))</f>
        <v>HK0270001396</v>
      </c>
      <c r="BL14" s="11" t="str">
        <f>IF(OR(AS14="Cash", AS14="Cash Adjustments"),"-",IF(ISNA(VLOOKUP(BK14,'BBG - VaR Data (Sample, Indus )'!C:N,5,0)),"-",VLOOKUP(BK14,'BBG - VaR Data (Sample, Indus )'!C:N,5,0)))</f>
        <v>-</v>
      </c>
      <c r="BM14" s="11">
        <f>IF(OR(AS14="Cash", AS14="Cash Adjustments"),"-",IF(ISNA(VLOOKUP(BK14,'BBG - Scenarios (Sample View)'!C:Z,14,0)),"-",VLOOKUP(BK14,'BBG - Scenarios (Sample View)'!C:Z,14,0)))</f>
        <v>-6.88</v>
      </c>
      <c r="BN14" s="14">
        <f t="shared" si="7"/>
        <v>1559597.5232198143</v>
      </c>
      <c r="BO14" s="1">
        <f t="shared" si="8"/>
        <v>3.059382722944664E-3</v>
      </c>
      <c r="BP14" t="str">
        <f>IF(BC14&lt;&gt;0,MaturityBucket(BG14),"")</f>
        <v/>
      </c>
      <c r="BQ14" s="11" t="str">
        <f>IF(OR(T14="Cash",T14="Cash Adjustments"),T14,VLOOKUP(AL14,'SFC Classifcation'!$A:$C,2,0))</f>
        <v>Hong Kong</v>
      </c>
      <c r="BR14" s="1" t="str">
        <f>IF(S14="Bond",BH14/'SFC Report'!$B$7,"")</f>
        <v/>
      </c>
      <c r="BS14" t="str">
        <f>IF(OR(T14="Cash",T14="Cash Adjustments"),"-",_xll.BDP(R14&amp;" FIGI",$BS$1))</f>
        <v>#N/A Field Not Applicable</v>
      </c>
      <c r="BT14" t="str">
        <f>IF(OR(T14="Cash",T14="Cash Adjustments"),"-",_xll.BDP(R14&amp;" FIGI",$BT$1))</f>
        <v>#N/A Field Not Applicable</v>
      </c>
      <c r="BU14" t="str">
        <f>IF(OR(T14="Cash",T14="Cash Adjustments"),"-",_xll.BDP(R14&amp;" FIGI",$BU$1))</f>
        <v>#N/A Field Not Applicable</v>
      </c>
    </row>
    <row r="15" spans="1:73">
      <c r="A15" s="254" t="s">
        <v>15</v>
      </c>
      <c r="B15" s="254" t="s">
        <v>25</v>
      </c>
      <c r="C15" s="254"/>
      <c r="D15" s="254" t="s">
        <v>20</v>
      </c>
      <c r="E15" s="254"/>
      <c r="F15" s="254" t="s">
        <v>1195</v>
      </c>
      <c r="G15" s="254" t="s">
        <v>1196</v>
      </c>
      <c r="H15" s="270">
        <v>1052500</v>
      </c>
      <c r="I15" s="270">
        <v>8</v>
      </c>
      <c r="J15" s="270">
        <v>8185153.1399999997</v>
      </c>
      <c r="K15" s="270">
        <v>8185153.1399999997</v>
      </c>
      <c r="L15" s="270">
        <v>234846.86</v>
      </c>
      <c r="M15" s="270">
        <v>0</v>
      </c>
      <c r="N15" s="270">
        <v>8420000</v>
      </c>
      <c r="O15" s="255">
        <v>1.9E-3</v>
      </c>
      <c r="P15" s="1"/>
      <c r="Q15" s="1" t="str">
        <f t="shared" si="2"/>
        <v>Investments</v>
      </c>
      <c r="R15" s="9" t="str">
        <f>_xll.BDP(G15&amp;" Equity",$R$1)</f>
        <v>BBG005Q0XWK0</v>
      </c>
      <c r="S15" s="1" t="str">
        <f>IF(Q15="Cash",Q15,IF(OR(Q15="Receivable Investments",Q15="Payable Investments"),"Cash Adjustments",_xll.BDP(R15&amp;" FIGI",$S$1)))</f>
        <v>EQUI</v>
      </c>
      <c r="T15" s="1" t="str">
        <f>IF(Q15="Cash",Q15,IF(OR(Q15="Receivable Investments",Q15="Payable Investments"),"Cash Adjustments",VLOOKUP(R15,LQA!E:S,3,0)))</f>
        <v>Equity</v>
      </c>
      <c r="U15" s="1" t="str">
        <f>IF(Q15="Cash",Q15,IF(OR(Q15="Receivable Investments",Q15="Payable Investments"),"Cash Adjustments",_xll.BDP(R15&amp;" FIGI",$U$1)))</f>
        <v>Unit</v>
      </c>
      <c r="V15" s="10">
        <f>IF(OR(Q15="Cash",Q15="Receivable Investments",Q15="Payable Investments"),0,IF(Q15="Investments",VLOOKUP(R15,LQA!E:Q,12,0),"Not Covered"))</f>
        <v>3.5</v>
      </c>
      <c r="W15" s="76">
        <f>IF(OR(Q15="Cash",Q15="Receivable Investments",Q15="Payable Investments"),0,IF(Q15="Investments",VLOOKUP(R15,LQA!E:Q,9,0),"Not Covered"))</f>
        <v>1.2414E-2</v>
      </c>
      <c r="X15" s="13" t="str">
        <f>IF(OR(H15=0,T15="Comdty"),"High",IF(V15&lt;='Liquidity Bucket'!$A$4,'Liquidity Bucket'!$I$4,IF(V15&lt;='Liquidity Bucket'!$A$5,'Liquidity Bucket'!$I$5,IF(V15&lt;='Liquidity Bucket'!$A$6,'Liquidity Bucket'!$I$6,IF(V15='Liquidity Bucket'!$A$8,'Liquidity Bucket'!$I$8,'Liquidity Bucket'!$I$7)))))</f>
        <v>Medium</v>
      </c>
      <c r="Y15" s="153">
        <f>IF(OR(Q15="Cash",Q15="Receivable Investments",Q15="Payable Investments"),0,IF(Q15="Investments",VLOOKUP(R15,'LQA Stress'!E:Q,12,0),"Not Covered"))</f>
        <v>10.4</v>
      </c>
      <c r="Z15" s="75">
        <f>IF(OR(Q15="Cash",Q15="Receivable Investments",Q15="Payable Investments"),0,IF(Q15="Investments",VLOOKUP(R15,'LQA Stress'!E:Q,9,0),"Not Covered"))</f>
        <v>2.1561E-2</v>
      </c>
      <c r="AA15" s="13" t="str">
        <f>IF(T15="Comdty","High",IF(Y15&lt;='Liquidity Bucket'!$A$4,'Liquidity Bucket'!$I$4,IF(Y15&lt;='Liquidity Bucket'!$A$5,'Liquidity Bucket'!$I$5,IF(Y15&lt;='Liquidity Bucket'!$A$6,'Liquidity Bucket'!$I$6,IF(Y15='Liquidity Bucket'!$A$8,'Liquidity Bucket'!$I$8,'Liquidity Bucket'!$I$7)))))</f>
        <v>Illiquid</v>
      </c>
      <c r="AB15" s="14">
        <f>(N15+M15)/'FX Rates'!$C$5</f>
        <v>1086171.310629515</v>
      </c>
      <c r="AC15" s="15" t="str">
        <f>IF(X15="Not Covered", (H15/_xll.BDP(R15&amp;" FIGI",$AC$1)),"")</f>
        <v/>
      </c>
      <c r="AD15" s="16" t="str">
        <f>IF(X15="Not Covered", _xll.BDP(R15&amp;" FIGI",$AD$1),"")</f>
        <v/>
      </c>
      <c r="AE15" s="16" t="str">
        <f>IF(OR(T15="Corp",T15="Govt"),IF(_xll.BDP(R15&amp;" FIGI",$AE$1)="#N/A N/A","",_xll.BDP(R15&amp;" FIGI",$AE$1)),"")</f>
        <v/>
      </c>
      <c r="AF15" s="1" t="str">
        <f>IF(OR(T15="Corp",T15="Govt"),IF(_xll.BDP(R15&amp;" FIGI",$AF$1)="#N/A N/A","",_xll.BDP(R15&amp;" FIGI",$AF$1)),"")</f>
        <v/>
      </c>
      <c r="AG15" s="16" t="str">
        <f>IF(OR(T15="Corp",T15="Govt"),IF(_xll.BDP(R15&amp;" FIGI",$AG$1)="#N/A N/A","",_xll.BDP(R15&amp;" FIGI",$AG$1)),"")</f>
        <v/>
      </c>
      <c r="AH15" s="125">
        <f>IF(OR(S15="Cash",S15="M-Mkt"),21,IF(AE15="",0,VLOOKUP(AE15,'Rating Scale'!A:B,2,0)))</f>
        <v>0</v>
      </c>
      <c r="AI15" s="125">
        <f>IF(OR(S15="Cash",S15="M-Mkt"),21,IF(AF15="",0,VLOOKUP(AF15,'Rating Scale'!D:E,2,0)))</f>
        <v>0</v>
      </c>
      <c r="AJ15" s="125">
        <f>IF(OR(S15="Cash",S15="M-Mkt"),21,IF(AG15="",0,VLOOKUP(AG15,'Rating Scale'!G:H,2,0)))</f>
        <v>0</v>
      </c>
      <c r="AK15">
        <f t="shared" si="3"/>
        <v>0</v>
      </c>
      <c r="AL15" s="1" t="str">
        <f>IF(OR(U15="Cash",U15="Cash Adjustments"),_xll.BDP(G15&amp;" Curncy","Country"),IF(T15="Equity",_xll.BDP(R15&amp;" FIGI","CNTRY_ISSUE_ISO"),_xll.BDP(R15&amp;" FIGI",$AL$1)))</f>
        <v>HK</v>
      </c>
      <c r="AM15" s="126" t="str">
        <f>IF(OR(T15="Cash",T15="Cash Adjustments",T15="M-Mkt"), T15, IF(T15="Comdty",AS15, _xll.BDP(R15&amp;" FIGI", $AM$1)))</f>
        <v>Utilities</v>
      </c>
      <c r="AN15" s="126" t="str">
        <f>IF(OR(T15="Cash",T15="Cash Adjustments",T15="M-Mkt"), T15,  IF(T15="Comdty",AS15,_xll.BDP(R15&amp;" FIGI", $AN$1)))</f>
        <v>Electric</v>
      </c>
      <c r="AO15" s="126" t="str">
        <f>IF(OR(T15="Cash",T15="Cash Adjustments",T15="M-Mkt"), T15,  IF(T15="Comdty",AS15,_xll.BDP(R15&amp;" FIGI", $AO$1)))</f>
        <v>Electric-Distribution</v>
      </c>
      <c r="AP15" s="13" t="str">
        <f>IF(OR(T15="Cash",T15="Cash Adjustments"), T15, IF(_xll.BDP(R15&amp;" FIGI", $AP$1)="#N/A Field Not Applicable","N",_xll.BDP(R15&amp;" FIGI", $AP$1)))</f>
        <v>N</v>
      </c>
      <c r="AQ15" s="1" t="str">
        <f>IF(OR(T15="Cash",T15="Cash Adjustments"), T15, IF(_xll.BDP(R15&amp;" FIGI", $AQ$1)="#N/A Field Not Applicable"," ",_xll.BDP(R15&amp;" FIGI", $AQ$1)))</f>
        <v xml:space="preserve"> </v>
      </c>
      <c r="AR15" s="1" t="str">
        <f>IF(OR(T15="Cash",T15="Cash Adjustments"), T15, IF(_xll.BDP(R15&amp;" FIGI", $AR$1)="#N/A Field Not Applicable"," ",_xll.BDP(R15&amp;" FIGI", $AR$1)))</f>
        <v>ACTV</v>
      </c>
      <c r="AS15" s="1" t="str">
        <f>VLOOKUP(T15,'SFC Classifcation'!$F$2:$H$7,3,0)</f>
        <v>Equity</v>
      </c>
      <c r="AT15" s="22" t="str">
        <f t="shared" si="0"/>
        <v>Non-Financial</v>
      </c>
      <c r="AU15" s="1" t="str">
        <f t="shared" si="4"/>
        <v/>
      </c>
      <c r="AV15" s="1" t="str">
        <f>IF(OR(T15="Cash",T15="Cash Adjustments"),T15,VLOOKUP(AL15,'SFC Classifcation'!$A:$C,3,0))</f>
        <v>Hong Kong</v>
      </c>
      <c r="AW15" s="22" t="str">
        <f t="shared" si="5"/>
        <v>Medium</v>
      </c>
      <c r="AX15" s="22" t="str">
        <f>LQBucket(AA15,AK15,AD15,AC15)</f>
        <v>Illiquid</v>
      </c>
      <c r="AY15" s="45" t="str">
        <f>IF(OR(T15="Cash",T15="Cash Adjustments"), T15, _xll.BDP(R15&amp;" FIGI", $AY$1))</f>
        <v>Utilities</v>
      </c>
      <c r="AZ15" s="45" t="str">
        <f>IF(OR(T15="Cash",T15="Cash Adjustments"), T15, _xll.BDP(R15&amp;" FIGI", $AZ$1))</f>
        <v>Electric-Distribution</v>
      </c>
      <c r="BA15" s="45" t="str">
        <f>IF(OR(T15="Cash",T15="Cash Adjustments"), T15, _xll.BDP(R15&amp;" FIGI", $BA$1))</f>
        <v>#N/A Field Not Applicable</v>
      </c>
      <c r="BB15" s="45" t="str">
        <f>IF(OR(AS15="Government",AS15="Corporate"),(AK15*AB15/'SFC Report'!$C$20),"")</f>
        <v/>
      </c>
      <c r="BC15" s="174" t="str">
        <f>IF(OR(T15="Cash",T15="Cash Adjustments", T15="FX Forward", T15="Repo", T15="Equity", T15="M-Mkt"), "", _xll.BDP(R15&amp;" FIGI", $BC$1))</f>
        <v/>
      </c>
      <c r="BD15" s="125" t="str">
        <f>IF(OR(T15="Cash",T15="Cash Adjustments",T15="FX Forward",T15="Repo", T15="Equity", T15="M-Mkt"),"",(BC15-'SFC Report'!$B$13)/365)</f>
        <v/>
      </c>
      <c r="BE15" s="82" t="str">
        <f t="shared" si="1"/>
        <v/>
      </c>
      <c r="BF15" s="5" t="str">
        <f>IF(BC15="","",BD15*AB15/'SFC Report'!$C$20)</f>
        <v/>
      </c>
      <c r="BG15" s="14" t="str" cm="1">
        <f t="array" ref="BG15">IF(OR(AS15="Corporate",AS15="Government"),_xll.BDP(G15&amp;" ISIN", $BG$1),"")</f>
        <v/>
      </c>
      <c r="BH15" s="140" t="str">
        <f>IF(OR(AS15="Corporate",AS15="Government"),BG15*BN15/'SFC Report'!$C$20,"")</f>
        <v/>
      </c>
      <c r="BI15" s="140" t="str">
        <f>IF(OR(AS15="Corporate",AS15="Government"),_xll.BDP(G15&amp;" ISIN", $BI$1),"")</f>
        <v/>
      </c>
      <c r="BJ15" s="140" t="str">
        <f>IF(OR(AS15="Corporate",AS15="Government"),BI15*AB15/'SFC Report'!$C$20,"")</f>
        <v/>
      </c>
      <c r="BK15" s="153" t="str">
        <f>IF(OR(T15="Cash",T15="Cash Adjustments"),"-",_xll.BDP(R15&amp;" FIGI",$BK$1))</f>
        <v>HK0000179108</v>
      </c>
      <c r="BL15" s="11" t="str">
        <f>IF(OR(AS15="Cash", AS15="Cash Adjustments"),"-",IF(ISNA(VLOOKUP(BK15,'BBG - VaR Data (Sample, Indus )'!C:N,5,0)),"-",VLOOKUP(BK15,'BBG - VaR Data (Sample, Indus )'!C:N,5,0)))</f>
        <v>-</v>
      </c>
      <c r="BM15" s="11">
        <f>IF(OR(AS15="Cash", AS15="Cash Adjustments"),"-",IF(ISNA(VLOOKUP(BK15,'BBG - Scenarios (Sample View)'!C:Z,14,0)),"-",VLOOKUP(BK15,'BBG - Scenarios (Sample View)'!C:Z,14,0)))</f>
        <v>-6.41</v>
      </c>
      <c r="BN15" s="14">
        <f t="shared" si="7"/>
        <v>1086171.310629515</v>
      </c>
      <c r="BO15" s="1">
        <f t="shared" si="8"/>
        <v>2.1306867268150597E-3</v>
      </c>
      <c r="BP15" t="str">
        <f>IF(BC15&lt;&gt;0,MaturityBucket(BG15),"")</f>
        <v/>
      </c>
      <c r="BQ15" s="11" t="str">
        <f>IF(OR(T15="Cash",T15="Cash Adjustments"),T15,VLOOKUP(AL15,'SFC Classifcation'!$A:$C,2,0))</f>
        <v>Hong Kong</v>
      </c>
      <c r="BR15" s="1" t="str">
        <f>IF(S15="Bond",BH15/'SFC Report'!$B$7,"")</f>
        <v/>
      </c>
      <c r="BS15" t="str">
        <f>IF(OR(T15="Cash",T15="Cash Adjustments"),"-",_xll.BDP(R15&amp;" FIGI",$BS$1))</f>
        <v>#N/A Field Not Applicable</v>
      </c>
      <c r="BT15" t="str">
        <f>IF(OR(T15="Cash",T15="Cash Adjustments"),"-",_xll.BDP(R15&amp;" FIGI",$BT$1))</f>
        <v>#N/A Field Not Applicable</v>
      </c>
      <c r="BU15" t="str">
        <f>IF(OR(T15="Cash",T15="Cash Adjustments"),"-",_xll.BDP(R15&amp;" FIGI",$BU$1))</f>
        <v>#N/A Field Not Applicable</v>
      </c>
    </row>
    <row r="16" spans="1:73">
      <c r="A16" s="254" t="s">
        <v>15</v>
      </c>
      <c r="B16" s="254" t="s">
        <v>25</v>
      </c>
      <c r="C16" s="254"/>
      <c r="D16" s="254" t="s">
        <v>20</v>
      </c>
      <c r="E16" s="254"/>
      <c r="F16" s="254" t="s">
        <v>34</v>
      </c>
      <c r="G16" s="254" t="s">
        <v>35</v>
      </c>
      <c r="H16" s="270">
        <v>957000</v>
      </c>
      <c r="I16" s="270">
        <v>12.46</v>
      </c>
      <c r="J16" s="270">
        <v>9928959.3200000003</v>
      </c>
      <c r="K16" s="270">
        <v>9928959.3200000003</v>
      </c>
      <c r="L16" s="270">
        <v>1995260.68</v>
      </c>
      <c r="M16" s="270">
        <v>0</v>
      </c>
      <c r="N16" s="270">
        <v>11924220</v>
      </c>
      <c r="O16" s="255">
        <v>2.5999999999999999E-3</v>
      </c>
      <c r="P16" s="1"/>
      <c r="Q16" s="1" t="str">
        <f t="shared" si="2"/>
        <v>Investments</v>
      </c>
      <c r="R16" s="9" t="str">
        <f>_xll.BDP(G16&amp;" Equity",$R$1)</f>
        <v>BBG00226B1T3</v>
      </c>
      <c r="S16" s="1" t="str">
        <f>IF(Q16="Cash",Q16,IF(OR(Q16="Receivable Investments",Q16="Payable Investments"),"Cash Adjustments",_xll.BDP(R16&amp;" FIGI",$S$1)))</f>
        <v>EQUI</v>
      </c>
      <c r="T16" s="1" t="str">
        <f>IF(Q16="Cash",Q16,IF(OR(Q16="Receivable Investments",Q16="Payable Investments"),"Cash Adjustments",VLOOKUP(R16,LQA!E:S,3,0)))</f>
        <v>Equity</v>
      </c>
      <c r="U16" s="1" t="str">
        <f>IF(Q16="Cash",Q16,IF(OR(Q16="Receivable Investments",Q16="Payable Investments"),"Cash Adjustments",_xll.BDP(R16&amp;" FIGI",$U$1)))</f>
        <v>Unit</v>
      </c>
      <c r="V16" s="10">
        <f>IF(OR(Q16="Cash",Q16="Receivable Investments",Q16="Payable Investments"),0,IF(Q16="Investments",VLOOKUP(R16,LQA!E:Q,12,0),"Not Covered"))</f>
        <v>1.6</v>
      </c>
      <c r="W16" s="76">
        <f>IF(OR(Q16="Cash",Q16="Receivable Investments",Q16="Payable Investments"),0,IF(Q16="Investments",VLOOKUP(R16,LQA!E:Q,9,0),"Not Covered"))</f>
        <v>2.0095999999999999E-2</v>
      </c>
      <c r="X16" s="13" t="str">
        <f>IF(OR(H16=0,T16="Comdty"),"High",IF(V16&lt;='Liquidity Bucket'!$A$4,'Liquidity Bucket'!$I$4,IF(V16&lt;='Liquidity Bucket'!$A$5,'Liquidity Bucket'!$I$5,IF(V16&lt;='Liquidity Bucket'!$A$6,'Liquidity Bucket'!$I$6,IF(V16='Liquidity Bucket'!$A$8,'Liquidity Bucket'!$I$8,'Liquidity Bucket'!$I$7)))))</f>
        <v>High</v>
      </c>
      <c r="Y16" s="153">
        <f>IF(OR(Q16="Cash",Q16="Receivable Investments",Q16="Payable Investments"),0,IF(Q16="Investments",VLOOKUP(R16,'LQA Stress'!E:Q,12,0),"Not Covered"))</f>
        <v>4.4000000000000004</v>
      </c>
      <c r="Z16" s="75">
        <f>IF(OR(Q16="Cash",Q16="Receivable Investments",Q16="Payable Investments"),0,IF(Q16="Investments",VLOOKUP(R16,'LQA Stress'!E:Q,9,0),"Not Covered"))</f>
        <v>3.5222999999999997E-2</v>
      </c>
      <c r="AA16" s="13" t="str">
        <f>IF(T16="Comdty","High",IF(Y16&lt;='Liquidity Bucket'!$A$4,'Liquidity Bucket'!$I$4,IF(Y16&lt;='Liquidity Bucket'!$A$5,'Liquidity Bucket'!$I$5,IF(Y16&lt;='Liquidity Bucket'!$A$6,'Liquidity Bucket'!$I$6,IF(Y16='Liquidity Bucket'!$A$8,'Liquidity Bucket'!$I$8,'Liquidity Bucket'!$I$7)))))</f>
        <v>Medium</v>
      </c>
      <c r="AB16" s="14">
        <f>(N16+M16)/'FX Rates'!$C$5</f>
        <v>1538212.0743034056</v>
      </c>
      <c r="AC16" s="15" t="str">
        <f>IF(X16="Not Covered", (H16/_xll.BDP(R16&amp;" FIGI",$AC$1)),"")</f>
        <v/>
      </c>
      <c r="AD16" s="16" t="str">
        <f>IF(X16="Not Covered", _xll.BDP(R16&amp;" FIGI",$AD$1),"")</f>
        <v/>
      </c>
      <c r="AE16" s="16" t="str">
        <f>IF(OR(T16="Corp",T16="Govt"),IF(_xll.BDP(R16&amp;" FIGI",$AE$1)="#N/A N/A","",_xll.BDP(R16&amp;" FIGI",$AE$1)),"")</f>
        <v/>
      </c>
      <c r="AF16" s="1" t="str">
        <f>IF(OR(T16="Corp",T16="Govt"),IF(_xll.BDP(R16&amp;" FIGI",$AF$1)="#N/A N/A","",_xll.BDP(R16&amp;" FIGI",$AF$1)),"")</f>
        <v/>
      </c>
      <c r="AG16" s="16" t="str">
        <f>IF(OR(T16="Corp",T16="Govt"),IF(_xll.BDP(R16&amp;" FIGI",$AG$1)="#N/A N/A","",_xll.BDP(R16&amp;" FIGI",$AG$1)),"")</f>
        <v/>
      </c>
      <c r="AH16" s="125">
        <f>IF(OR(S16="Cash",S16="M-Mkt"),21,IF(AE16="",0,VLOOKUP(AE16,'Rating Scale'!A:B,2,0)))</f>
        <v>0</v>
      </c>
      <c r="AI16" s="125">
        <f>IF(OR(S16="Cash",S16="M-Mkt"),21,IF(AF16="",0,VLOOKUP(AF16,'Rating Scale'!D:E,2,0)))</f>
        <v>0</v>
      </c>
      <c r="AJ16" s="125">
        <f>IF(OR(S16="Cash",S16="M-Mkt"),21,IF(AG16="",0,VLOOKUP(AG16,'Rating Scale'!G:H,2,0)))</f>
        <v>0</v>
      </c>
      <c r="AK16">
        <f t="shared" si="3"/>
        <v>0</v>
      </c>
      <c r="AL16" s="1" t="str">
        <f>IF(OR(U16="Cash",U16="Cash Adjustments"),_xll.BDP(G16&amp;" Curncy","Country"),IF(T16="Equity",_xll.BDP(R16&amp;" FIGI","CNTRY_ISSUE_ISO"),_xll.BDP(R16&amp;" FIGI",$AL$1)))</f>
        <v>HK</v>
      </c>
      <c r="AM16" s="126" t="str">
        <f>IF(OR(T16="Cash",T16="Cash Adjustments",T16="M-Mkt"), T16, IF(T16="Comdty",AS16, _xll.BDP(R16&amp;" FIGI", $AM$1)))</f>
        <v>Communications</v>
      </c>
      <c r="AN16" s="126" t="str">
        <f>IF(OR(T16="Cash",T16="Cash Adjustments",T16="M-Mkt"), T16,  IF(T16="Comdty",AS16,_xll.BDP(R16&amp;" FIGI", $AN$1)))</f>
        <v>Telecommunications</v>
      </c>
      <c r="AO16" s="126" t="str">
        <f>IF(OR(T16="Cash",T16="Cash Adjustments",T16="M-Mkt"), T16,  IF(T16="Comdty",AS16,_xll.BDP(R16&amp;" FIGI", $AO$1)))</f>
        <v>Telecom Services</v>
      </c>
      <c r="AP16" s="13" t="str">
        <f>IF(OR(T16="Cash",T16="Cash Adjustments"), T16, IF(_xll.BDP(R16&amp;" FIGI", $AP$1)="#N/A Field Not Applicable","N",_xll.BDP(R16&amp;" FIGI", $AP$1)))</f>
        <v>N</v>
      </c>
      <c r="AQ16" s="1" t="str">
        <f>IF(OR(T16="Cash",T16="Cash Adjustments"), T16, IF(_xll.BDP(R16&amp;" FIGI", $AQ$1)="#N/A Field Not Applicable"," ",_xll.BDP(R16&amp;" FIGI", $AQ$1)))</f>
        <v xml:space="preserve"> </v>
      </c>
      <c r="AR16" s="1" t="str">
        <f>IF(OR(T16="Cash",T16="Cash Adjustments"), T16, IF(_xll.BDP(R16&amp;" FIGI", $AR$1)="#N/A Field Not Applicable"," ",_xll.BDP(R16&amp;" FIGI", $AR$1)))</f>
        <v>ACTV</v>
      </c>
      <c r="AS16" s="1" t="str">
        <f>VLOOKUP(T16,'SFC Classifcation'!$F$2:$H$7,3,0)</f>
        <v>Equity</v>
      </c>
      <c r="AT16" s="22" t="str">
        <f t="shared" si="0"/>
        <v>Non-Financial</v>
      </c>
      <c r="AU16" s="1" t="str">
        <f t="shared" si="4"/>
        <v/>
      </c>
      <c r="AV16" s="1" t="str">
        <f>IF(OR(T16="Cash",T16="Cash Adjustments"),T16,VLOOKUP(AL16,'SFC Classifcation'!$A:$C,3,0))</f>
        <v>Hong Kong</v>
      </c>
      <c r="AW16" s="22" t="str">
        <f t="shared" si="5"/>
        <v>High</v>
      </c>
      <c r="AX16" s="22" t="str">
        <f t="shared" si="6"/>
        <v>Medium</v>
      </c>
      <c r="AY16" s="45" t="str">
        <f>IF(OR(T16="Cash",T16="Cash Adjustments"), T16, _xll.BDP(R16&amp;" FIGI", $AY$1))</f>
        <v>Communication Services</v>
      </c>
      <c r="AZ16" s="45" t="str">
        <f>IF(OR(T16="Cash",T16="Cash Adjustments"), T16, _xll.BDP(R16&amp;" FIGI", $AZ$1))</f>
        <v>Telecom Services</v>
      </c>
      <c r="BA16" s="45" t="str">
        <f>IF(OR(T16="Cash",T16="Cash Adjustments"), T16, _xll.BDP(R16&amp;" FIGI", $BA$1))</f>
        <v>#N/A Field Not Applicable</v>
      </c>
      <c r="BB16" s="45" t="str">
        <f>IF(OR(AS16="Government",AS16="Corporate"),(AK16*AB16/'SFC Report'!$C$20),"")</f>
        <v/>
      </c>
      <c r="BC16" s="174" t="str">
        <f>IF(OR(T16="Cash",T16="Cash Adjustments", T16="FX Forward", T16="Repo", T16="Equity", T16="M-Mkt"), "", _xll.BDP(R16&amp;" FIGI", $BC$1))</f>
        <v/>
      </c>
      <c r="BD16" s="125" t="str">
        <f>IF(OR(T16="Cash",T16="Cash Adjustments",T16="FX Forward",T16="Repo", T16="Equity", T16="M-Mkt"),"",(BC16-'SFC Report'!$B$13)/365)</f>
        <v/>
      </c>
      <c r="BE16" s="82" t="str">
        <f t="shared" si="1"/>
        <v/>
      </c>
      <c r="BF16" s="5" t="str">
        <f>IF(BC16="","",BD16*AB16/'SFC Report'!$C$20)</f>
        <v/>
      </c>
      <c r="BG16" s="14" t="str" cm="1">
        <f t="array" ref="BG16">IF(OR(AS16="Corporate",AS16="Government"),_xll.BDP(G16&amp;" ISIN", $BG$1),"")</f>
        <v/>
      </c>
      <c r="BH16" s="140" t="str">
        <f>IF(OR(AS16="Corporate",AS16="Government"),BG16*BN16/'SFC Report'!$C$20,"")</f>
        <v/>
      </c>
      <c r="BI16" s="140" t="str">
        <f>IF(OR(AS16="Corporate",AS16="Government"),_xll.BDP(G16&amp;" ISIN", $BI$1),"")</f>
        <v/>
      </c>
      <c r="BJ16" s="140" t="str">
        <f>IF(OR(AS16="Corporate",AS16="Government"),BI16*AB16/'SFC Report'!$C$20,"")</f>
        <v/>
      </c>
      <c r="BK16" s="153" t="str">
        <f>IF(OR(T16="Cash",T16="Cash Adjustments"),"-",_xll.BDP(R16&amp;" FIGI",$BK$1))</f>
        <v>HK0000093390</v>
      </c>
      <c r="BL16" s="11" t="str">
        <f>IF(OR(AS16="Cash", AS16="Cash Adjustments"),"-",IF(ISNA(VLOOKUP(BK16,'BBG - VaR Data (Sample, Indus )'!C:N,5,0)),"-",VLOOKUP(BK16,'BBG - VaR Data (Sample, Indus )'!C:N,5,0)))</f>
        <v>-</v>
      </c>
      <c r="BM16" s="11">
        <f>IF(OR(AS16="Cash", AS16="Cash Adjustments"),"-",IF(ISNA(VLOOKUP(BK16,'BBG - Scenarios (Sample View)'!C:Z,14,0)),"-",VLOOKUP(BK16,'BBG - Scenarios (Sample View)'!C:Z,14,0)))</f>
        <v>-6.26</v>
      </c>
      <c r="BN16" s="14">
        <f t="shared" si="7"/>
        <v>1538212.0743034056</v>
      </c>
      <c r="BO16" s="1">
        <f t="shared" si="8"/>
        <v>3.0174319811903409E-3</v>
      </c>
      <c r="BP16" t="str">
        <f>IF(BC16&lt;&gt;0,MaturityBucket(BG16),"")</f>
        <v/>
      </c>
      <c r="BQ16" s="11" t="str">
        <f>IF(OR(T16="Cash",T16="Cash Adjustments"),T16,VLOOKUP(AL16,'SFC Classifcation'!$A:$C,2,0))</f>
        <v>Hong Kong</v>
      </c>
      <c r="BR16" s="1" t="str">
        <f>IF(S16="Bond",BH16/'SFC Report'!$B$7,"")</f>
        <v/>
      </c>
      <c r="BS16" t="str">
        <f>IF(OR(T16="Cash",T16="Cash Adjustments"),"-",_xll.BDP(R16&amp;" FIGI",$BS$1))</f>
        <v>#N/A Field Not Applicable</v>
      </c>
      <c r="BT16" t="str">
        <f>IF(OR(T16="Cash",T16="Cash Adjustments"),"-",_xll.BDP(R16&amp;" FIGI",$BT$1))</f>
        <v>#N/A Field Not Applicable</v>
      </c>
      <c r="BU16" t="str">
        <f>IF(OR(T16="Cash",T16="Cash Adjustments"),"-",_xll.BDP(R16&amp;" FIGI",$BU$1))</f>
        <v>#N/A Field Not Applicable</v>
      </c>
    </row>
    <row r="17" spans="1:73">
      <c r="A17" s="254" t="s">
        <v>15</v>
      </c>
      <c r="B17" s="254" t="s">
        <v>25</v>
      </c>
      <c r="C17" s="254"/>
      <c r="D17" s="254" t="s">
        <v>20</v>
      </c>
      <c r="E17" s="254"/>
      <c r="F17" s="254" t="s">
        <v>959</v>
      </c>
      <c r="G17" s="254" t="s">
        <v>960</v>
      </c>
      <c r="H17" s="270">
        <v>40000</v>
      </c>
      <c r="I17" s="270">
        <v>252</v>
      </c>
      <c r="J17" s="270">
        <v>9792037.1600000001</v>
      </c>
      <c r="K17" s="270">
        <v>9792037.1600000001</v>
      </c>
      <c r="L17" s="270">
        <v>287962.84000000003</v>
      </c>
      <c r="M17" s="270">
        <v>0</v>
      </c>
      <c r="N17" s="270">
        <v>10080000</v>
      </c>
      <c r="O17" s="255">
        <v>2.2000000000000001E-3</v>
      </c>
      <c r="P17" s="1"/>
      <c r="Q17" s="1" t="str">
        <f t="shared" si="2"/>
        <v>Investments</v>
      </c>
      <c r="R17" s="9" t="str">
        <f>_xll.BDP(G17&amp;" Equity",$R$1)</f>
        <v>BBG000BGW354</v>
      </c>
      <c r="S17" s="1" t="str">
        <f>IF(Q17="Cash",Q17,IF(OR(Q17="Receivable Investments",Q17="Payable Investments"),"Cash Adjustments",_xll.BDP(R17&amp;" FIGI",$S$1)))</f>
        <v>EQUI</v>
      </c>
      <c r="T17" s="1" t="str">
        <f>IF(Q17="Cash",Q17,IF(OR(Q17="Receivable Investments",Q17="Payable Investments"),"Cash Adjustments",VLOOKUP(R17,LQA!E:S,3,0)))</f>
        <v>Equity</v>
      </c>
      <c r="U17" s="1" t="str">
        <f>IF(Q17="Cash",Q17,IF(OR(Q17="Receivable Investments",Q17="Payable Investments"),"Cash Adjustments",_xll.BDP(R17&amp;" FIGI",$U$1)))</f>
        <v>Common Stock</v>
      </c>
      <c r="V17" s="10">
        <f>IF(OR(Q17="Cash",Q17="Receivable Investments",Q17="Payable Investments"),0,IF(Q17="Investments",VLOOKUP(R17,LQA!E:Q,12,0),"Not Covered"))</f>
        <v>0.3</v>
      </c>
      <c r="W17" s="76">
        <f>IF(OR(Q17="Cash",Q17="Receivable Investments",Q17="Payable Investments"),0,IF(Q17="Investments",VLOOKUP(R17,LQA!E:Q,9,0),"Not Covered"))</f>
        <v>1.1353E-2</v>
      </c>
      <c r="X17" s="13" t="str">
        <f>IF(OR(H17=0,T17="Comdty"),"High",IF(V17&lt;='Liquidity Bucket'!$A$4,'Liquidity Bucket'!$I$4,IF(V17&lt;='Liquidity Bucket'!$A$5,'Liquidity Bucket'!$I$5,IF(V17&lt;='Liquidity Bucket'!$A$6,'Liquidity Bucket'!$I$6,IF(V17='Liquidity Bucket'!$A$8,'Liquidity Bucket'!$I$8,'Liquidity Bucket'!$I$7)))))</f>
        <v>High</v>
      </c>
      <c r="Y17" s="153">
        <f>IF(OR(Q17="Cash",Q17="Receivable Investments",Q17="Payable Investments"),0,IF(Q17="Investments",VLOOKUP(R17,'LQA Stress'!E:Q,12,0),"Not Covered"))</f>
        <v>0.7</v>
      </c>
      <c r="Z17" s="75">
        <f>IF(OR(Q17="Cash",Q17="Receivable Investments",Q17="Payable Investments"),0,IF(Q17="Investments",VLOOKUP(R17,'LQA Stress'!E:Q,9,0),"Not Covered"))</f>
        <v>2.035E-2</v>
      </c>
      <c r="AA17" s="13" t="str">
        <f>IF(T17="Comdty","High",IF(Y17&lt;='Liquidity Bucket'!$A$4,'Liquidity Bucket'!$I$4,IF(Y17&lt;='Liquidity Bucket'!$A$5,'Liquidity Bucket'!$I$5,IF(Y17&lt;='Liquidity Bucket'!$A$6,'Liquidity Bucket'!$I$6,IF(Y17='Liquidity Bucket'!$A$8,'Liquidity Bucket'!$I$8,'Liquidity Bucket'!$I$7)))))</f>
        <v>High</v>
      </c>
      <c r="AB17" s="14">
        <f>(N17+M17)/'FX Rates'!$C$5</f>
        <v>1300309.5975232199</v>
      </c>
      <c r="AC17" s="15" t="str">
        <f>IF(X17="Not Covered", (H17/_xll.BDP(R17&amp;" FIGI",$AC$1)),"")</f>
        <v/>
      </c>
      <c r="AD17" s="16" t="str">
        <f>IF(X17="Not Covered", _xll.BDP(R17&amp;" FIGI",$AD$1),"")</f>
        <v/>
      </c>
      <c r="AE17" s="16" t="str">
        <f>IF(OR(T17="Corp",T17="Govt"),IF(_xll.BDP(R17&amp;" FIGI",$AE$1)="#N/A N/A","",_xll.BDP(R17&amp;" FIGI",$AE$1)),"")</f>
        <v/>
      </c>
      <c r="AF17" s="1" t="str">
        <f>IF(OR(T17="Corp",T17="Govt"),IF(_xll.BDP(R17&amp;" FIGI",$AF$1)="#N/A N/A","",_xll.BDP(R17&amp;" FIGI",$AF$1)),"")</f>
        <v/>
      </c>
      <c r="AG17" s="16" t="str">
        <f>IF(OR(T17="Corp",T17="Govt"),IF(_xll.BDP(R17&amp;" FIGI",$AG$1)="#N/A N/A","",_xll.BDP(R17&amp;" FIGI",$AG$1)),"")</f>
        <v/>
      </c>
      <c r="AH17" s="125">
        <f>IF(OR(S17="Cash",S17="M-Mkt"),21,IF(AE17="",0,VLOOKUP(AE17,'Rating Scale'!A:B,2,0)))</f>
        <v>0</v>
      </c>
      <c r="AI17" s="125">
        <f>IF(OR(S17="Cash",S17="M-Mkt"),21,IF(AF17="",0,VLOOKUP(AF17,'Rating Scale'!D:E,2,0)))</f>
        <v>0</v>
      </c>
      <c r="AJ17" s="125">
        <f>IF(OR(S17="Cash",S17="M-Mkt"),21,IF(AG17="",0,VLOOKUP(AG17,'Rating Scale'!G:H,2,0)))</f>
        <v>0</v>
      </c>
      <c r="AK17">
        <f t="shared" si="3"/>
        <v>0</v>
      </c>
      <c r="AL17" s="1" t="str">
        <f>IF(OR(U17="Cash",U17="Cash Adjustments"),_xll.BDP(G17&amp;" Curncy","Country"),IF(T17="Equity",_xll.BDP(R17&amp;" FIGI","CNTRY_ISSUE_ISO"),_xll.BDP(R17&amp;" FIGI",$AL$1)))</f>
        <v>HK</v>
      </c>
      <c r="AM17" s="126" t="str">
        <f>IF(OR(T17="Cash",T17="Cash Adjustments",T17="M-Mkt"), T17, IF(T17="Comdty",AS17, _xll.BDP(R17&amp;" FIGI", $AM$1)))</f>
        <v>Financial</v>
      </c>
      <c r="AN17" s="126" t="str">
        <f>IF(OR(T17="Cash",T17="Cash Adjustments",T17="M-Mkt"), T17,  IF(T17="Comdty",AS17,_xll.BDP(R17&amp;" FIGI", $AN$1)))</f>
        <v>Diversified Finan Serv</v>
      </c>
      <c r="AO17" s="126" t="str">
        <f>IF(OR(T17="Cash",T17="Cash Adjustments",T17="M-Mkt"), T17,  IF(T17="Comdty",AS17,_xll.BDP(R17&amp;" FIGI", $AO$1)))</f>
        <v>Finance-Other Services</v>
      </c>
      <c r="AP17" s="13" t="str">
        <f>IF(OR(T17="Cash",T17="Cash Adjustments"), T17, IF(_xll.BDP(R17&amp;" FIGI", $AP$1)="#N/A Field Not Applicable","N",_xll.BDP(R17&amp;" FIGI", $AP$1)))</f>
        <v>N</v>
      </c>
      <c r="AQ17" s="1" t="str">
        <f>IF(OR(T17="Cash",T17="Cash Adjustments"), T17, IF(_xll.BDP(R17&amp;" FIGI", $AQ$1)="#N/A Field Not Applicable"," ",_xll.BDP(R17&amp;" FIGI", $AQ$1)))</f>
        <v xml:space="preserve"> </v>
      </c>
      <c r="AR17" s="1" t="str">
        <f>IF(OR(T17="Cash",T17="Cash Adjustments"), T17, IF(_xll.BDP(R17&amp;" FIGI", $AR$1)="#N/A Field Not Applicable"," ",_xll.BDP(R17&amp;" FIGI", $AR$1)))</f>
        <v>ACTV</v>
      </c>
      <c r="AS17" s="1" t="str">
        <f>VLOOKUP(T17,'SFC Classifcation'!$F$2:$H$7,3,0)</f>
        <v>Equity</v>
      </c>
      <c r="AT17" s="22" t="str">
        <f t="shared" si="0"/>
        <v>Financial</v>
      </c>
      <c r="AU17" s="1" t="str">
        <f t="shared" si="4"/>
        <v/>
      </c>
      <c r="AV17" s="1" t="str">
        <f>IF(OR(T17="Cash",T17="Cash Adjustments"),T17,VLOOKUP(AL17,'SFC Classifcation'!$A:$C,3,0))</f>
        <v>Hong Kong</v>
      </c>
      <c r="AW17" s="22" t="str">
        <f t="shared" si="5"/>
        <v>High</v>
      </c>
      <c r="AX17" s="22" t="str">
        <f t="shared" si="6"/>
        <v>High</v>
      </c>
      <c r="AY17" s="45" t="str">
        <f>IF(OR(T17="Cash",T17="Cash Adjustments"), T17, _xll.BDP(R17&amp;" FIGI", $AY$1))</f>
        <v>Financials</v>
      </c>
      <c r="AZ17" s="45" t="str">
        <f>IF(OR(T17="Cash",T17="Cash Adjustments"), T17, _xll.BDP(R17&amp;" FIGI", $AZ$1))</f>
        <v>Finance-Other Services</v>
      </c>
      <c r="BA17" s="45" t="str">
        <f>IF(OR(T17="Cash",T17="Cash Adjustments"), T17, _xll.BDP(R17&amp;" FIGI", $BA$1))</f>
        <v>#N/A Field Not Applicable</v>
      </c>
      <c r="BB17" s="45" t="str">
        <f>IF(OR(AS17="Government",AS17="Corporate"),(AK17*AB17/'SFC Report'!$C$20),"")</f>
        <v/>
      </c>
      <c r="BC17" s="174" t="str">
        <f>IF(OR(T17="Cash",T17="Cash Adjustments", T17="FX Forward", T17="Repo", T17="Equity", T17="M-Mkt"), "", _xll.BDP(R17&amp;" FIGI", $BC$1))</f>
        <v/>
      </c>
      <c r="BD17" s="125" t="str">
        <f>IF(OR(T17="Cash",T17="Cash Adjustments",T17="FX Forward",T17="Repo", T17="Equity", T17="M-Mkt"),"",(BC17-'SFC Report'!$B$13)/365)</f>
        <v/>
      </c>
      <c r="BE17" s="82" t="str">
        <f t="shared" si="1"/>
        <v/>
      </c>
      <c r="BF17" s="5" t="str">
        <f>IF(BC17="","",BD17*AB17/'SFC Report'!$C$20)</f>
        <v/>
      </c>
      <c r="BG17" s="14" t="str" cm="1">
        <f t="array" ref="BG17">IF(OR(AS17="Corporate",AS17="Government"),_xll.BDP(G17&amp;" ISIN", $BG$1),"")</f>
        <v/>
      </c>
      <c r="BH17" s="140" t="str">
        <f>IF(OR(AS17="Corporate",AS17="Government"),BG17*BN17/'SFC Report'!$C$20,"")</f>
        <v/>
      </c>
      <c r="BI17" s="140" t="str">
        <f>IF(OR(AS17="Corporate",AS17="Government"),_xll.BDP(G17&amp;" ISIN", $BI$1),"")</f>
        <v/>
      </c>
      <c r="BJ17" s="140" t="str">
        <f>IF(OR(AS17="Corporate",AS17="Government"),BI17*AB17/'SFC Report'!$C$20,"")</f>
        <v/>
      </c>
      <c r="BK17" s="153" t="str">
        <f>IF(OR(T17="Cash",T17="Cash Adjustments"),"-",_xll.BDP(R17&amp;" FIGI",$BK$1))</f>
        <v>HK0388045442</v>
      </c>
      <c r="BL17" s="11" t="str">
        <f>IF(OR(AS17="Cash", AS17="Cash Adjustments"),"-",IF(ISNA(VLOOKUP(BK17,'BBG - VaR Data (Sample, Indus )'!C:N,5,0)),"-",VLOOKUP(BK17,'BBG - VaR Data (Sample, Indus )'!C:N,5,0)))</f>
        <v>-</v>
      </c>
      <c r="BM17" s="11">
        <f>IF(OR(AS17="Cash", AS17="Cash Adjustments"),"-",IF(ISNA(VLOOKUP(BK17,'BBG - Scenarios (Sample View)'!C:Z,14,0)),"-",VLOOKUP(BK17,'BBG - Scenarios (Sample View)'!C:Z,14,0)))</f>
        <v>-9.1300000000000008</v>
      </c>
      <c r="BN17" s="14">
        <f t="shared" si="7"/>
        <v>1300309.5975232199</v>
      </c>
      <c r="BO17" s="1">
        <f t="shared" si="8"/>
        <v>2.5507508558546082E-3</v>
      </c>
      <c r="BP17" t="str">
        <f>IF(BC17&lt;&gt;0,MaturityBucket(BG17),"")</f>
        <v/>
      </c>
      <c r="BQ17" s="11" t="str">
        <f>IF(OR(T17="Cash",T17="Cash Adjustments"),T17,VLOOKUP(AL17,'SFC Classifcation'!$A:$C,2,0))</f>
        <v>Hong Kong</v>
      </c>
      <c r="BR17" s="1" t="str">
        <f>IF(S17="Bond",BH17/'SFC Report'!$B$7,"")</f>
        <v/>
      </c>
      <c r="BS17" t="str">
        <f>IF(OR(T17="Cash",T17="Cash Adjustments"),"-",_xll.BDP(R17&amp;" FIGI",$BS$1))</f>
        <v>#N/A Field Not Applicable</v>
      </c>
      <c r="BT17" t="str">
        <f>IF(OR(T17="Cash",T17="Cash Adjustments"),"-",_xll.BDP(R17&amp;" FIGI",$BT$1))</f>
        <v>#N/A Field Not Applicable</v>
      </c>
      <c r="BU17" t="str">
        <f>IF(OR(T17="Cash",T17="Cash Adjustments"),"-",_xll.BDP(R17&amp;" FIGI",$BU$1))</f>
        <v>#N/A Field Not Applicable</v>
      </c>
    </row>
    <row r="18" spans="1:73">
      <c r="A18" s="254" t="s">
        <v>15</v>
      </c>
      <c r="B18" s="254" t="s">
        <v>25</v>
      </c>
      <c r="C18" s="254"/>
      <c r="D18" s="254" t="s">
        <v>20</v>
      </c>
      <c r="E18" s="254"/>
      <c r="F18" s="254" t="s">
        <v>36</v>
      </c>
      <c r="G18" s="254" t="s">
        <v>37</v>
      </c>
      <c r="H18" s="270">
        <v>1500000</v>
      </c>
      <c r="I18" s="270">
        <v>5.27</v>
      </c>
      <c r="J18" s="270">
        <v>8332270.2599999998</v>
      </c>
      <c r="K18" s="270">
        <v>8332270.2599999998</v>
      </c>
      <c r="L18" s="270">
        <v>-427270.26</v>
      </c>
      <c r="M18" s="270">
        <v>0</v>
      </c>
      <c r="N18" s="270">
        <v>7905000</v>
      </c>
      <c r="O18" s="255">
        <v>1.6999999999999999E-3</v>
      </c>
      <c r="P18" s="1"/>
      <c r="Q18" s="1" t="str">
        <f t="shared" si="2"/>
        <v>Investments</v>
      </c>
      <c r="R18" s="9" t="str">
        <f>_xll.BDP(G18&amp;" Equity",$R$1)</f>
        <v>BBG000Q16VR4</v>
      </c>
      <c r="S18" s="1" t="str">
        <f>IF(Q18="Cash",Q18,IF(OR(Q18="Receivable Investments",Q18="Payable Investments"),"Cash Adjustments",_xll.BDP(R18&amp;" FIGI",$S$1)))</f>
        <v>EQUI</v>
      </c>
      <c r="T18" s="1" t="str">
        <f>IF(Q18="Cash",Q18,IF(OR(Q18="Receivable Investments",Q18="Payable Investments"),"Cash Adjustments",VLOOKUP(R18,LQA!E:S,3,0)))</f>
        <v>Equity</v>
      </c>
      <c r="U18" s="1" t="str">
        <f>IF(Q18="Cash",Q18,IF(OR(Q18="Receivable Investments",Q18="Payable Investments"),"Cash Adjustments",_xll.BDP(R18&amp;" FIGI",$U$1)))</f>
        <v>Common Stock</v>
      </c>
      <c r="V18" s="10">
        <f>IF(OR(Q18="Cash",Q18="Receivable Investments",Q18="Payable Investments"),0,IF(Q18="Investments",VLOOKUP(R18,LQA!E:Q,12,0),"Not Covered"))</f>
        <v>0.2</v>
      </c>
      <c r="W18" s="76">
        <f>IF(OR(Q18="Cash",Q18="Receivable Investments",Q18="Payable Investments"),0,IF(Q18="Investments",VLOOKUP(R18,LQA!E:Q,9,0),"Not Covered"))</f>
        <v>1.2282E-2</v>
      </c>
      <c r="X18" s="13" t="str">
        <f>IF(OR(H18=0,T18="Comdty"),"High",IF(V18&lt;='Liquidity Bucket'!$A$4,'Liquidity Bucket'!$I$4,IF(V18&lt;='Liquidity Bucket'!$A$5,'Liquidity Bucket'!$I$5,IF(V18&lt;='Liquidity Bucket'!$A$6,'Liquidity Bucket'!$I$6,IF(V18='Liquidity Bucket'!$A$8,'Liquidity Bucket'!$I$8,'Liquidity Bucket'!$I$7)))))</f>
        <v>High</v>
      </c>
      <c r="Y18" s="153">
        <f>IF(OR(Q18="Cash",Q18="Receivable Investments",Q18="Payable Investments"),0,IF(Q18="Investments",VLOOKUP(R18,'LQA Stress'!E:Q,12,0),"Not Covered"))</f>
        <v>0.5</v>
      </c>
      <c r="Z18" s="75">
        <f>IF(OR(Q18="Cash",Q18="Receivable Investments",Q18="Payable Investments"),0,IF(Q18="Investments",VLOOKUP(R18,'LQA Stress'!E:Q,9,0),"Not Covered"))</f>
        <v>2.2110000000000001E-2</v>
      </c>
      <c r="AA18" s="13" t="str">
        <f>IF(T18="Comdty","High",IF(Y18&lt;='Liquidity Bucket'!$A$4,'Liquidity Bucket'!$I$4,IF(Y18&lt;='Liquidity Bucket'!$A$5,'Liquidity Bucket'!$I$5,IF(Y18&lt;='Liquidity Bucket'!$A$6,'Liquidity Bucket'!$I$6,IF(Y18='Liquidity Bucket'!$A$8,'Liquidity Bucket'!$I$8,'Liquidity Bucket'!$I$7)))))</f>
        <v>High</v>
      </c>
      <c r="AB18" s="14">
        <f>(N18+M18)/'FX Rates'!$C$5</f>
        <v>1019736.8421052631</v>
      </c>
      <c r="AC18" s="15" t="str">
        <f>IF(X18="Not Covered", (H18/_xll.BDP(R18&amp;" FIGI",$AC$1)),"")</f>
        <v/>
      </c>
      <c r="AD18" s="16" t="str">
        <f>IF(X18="Not Covered", _xll.BDP(R18&amp;" FIGI",$AD$1),"")</f>
        <v/>
      </c>
      <c r="AE18" s="16" t="str">
        <f>IF(OR(T18="Corp",T18="Govt"),IF(_xll.BDP(R18&amp;" FIGI",$AE$1)="#N/A N/A","",_xll.BDP(R18&amp;" FIGI",$AE$1)),"")</f>
        <v/>
      </c>
      <c r="AF18" s="1" t="str">
        <f>IF(OR(T18="Corp",T18="Govt"),IF(_xll.BDP(R18&amp;" FIGI",$AF$1)="#N/A N/A","",_xll.BDP(R18&amp;" FIGI",$AF$1)),"")</f>
        <v/>
      </c>
      <c r="AG18" s="16" t="str">
        <f>IF(OR(T18="Corp",T18="Govt"),IF(_xll.BDP(R18&amp;" FIGI",$AG$1)="#N/A N/A","",_xll.BDP(R18&amp;" FIGI",$AG$1)),"")</f>
        <v/>
      </c>
      <c r="AH18" s="125">
        <f>IF(OR(S18="Cash",S18="M-Mkt"),21,IF(AE18="",0,VLOOKUP(AE18,'Rating Scale'!A:B,2,0)))</f>
        <v>0</v>
      </c>
      <c r="AI18" s="125">
        <f>IF(OR(S18="Cash",S18="M-Mkt"),21,IF(AF18="",0,VLOOKUP(AF18,'Rating Scale'!D:E,2,0)))</f>
        <v>0</v>
      </c>
      <c r="AJ18" s="125">
        <f>IF(OR(S18="Cash",S18="M-Mkt"),21,IF(AG18="",0,VLOOKUP(AG18,'Rating Scale'!G:H,2,0)))</f>
        <v>0</v>
      </c>
      <c r="AK18">
        <f t="shared" si="3"/>
        <v>0</v>
      </c>
      <c r="AL18" s="1" t="str">
        <f>IF(OR(U18="Cash",U18="Cash Adjustments"),_xll.BDP(G18&amp;" Curncy","Country"),IF(T18="Equity",_xll.BDP(R18&amp;" FIGI","CNTRY_ISSUE_ISO"),_xll.BDP(R18&amp;" FIGI",$AL$1)))</f>
        <v>HK</v>
      </c>
      <c r="AM18" s="126" t="str">
        <f>IF(OR(T18="Cash",T18="Cash Adjustments",T18="M-Mkt"), T18, IF(T18="Comdty",AS18, _xll.BDP(R18&amp;" FIGI", $AM$1)))</f>
        <v>Financial</v>
      </c>
      <c r="AN18" s="126" t="str">
        <f>IF(OR(T18="Cash",T18="Cash Adjustments",T18="M-Mkt"), T18,  IF(T18="Comdty",AS18,_xll.BDP(R18&amp;" FIGI", $AN$1)))</f>
        <v>Banks</v>
      </c>
      <c r="AO18" s="126" t="str">
        <f>IF(OR(T18="Cash",T18="Cash Adjustments",T18="M-Mkt"), T18,  IF(T18="Comdty",AS18,_xll.BDP(R18&amp;" FIGI", $AO$1)))</f>
        <v>Commer Banks Non-US</v>
      </c>
      <c r="AP18" s="13" t="str">
        <f>IF(OR(T18="Cash",T18="Cash Adjustments"), T18, IF(_xll.BDP(R18&amp;" FIGI", $AP$1)="#N/A Field Not Applicable","N",_xll.BDP(R18&amp;" FIGI", $AP$1)))</f>
        <v>N</v>
      </c>
      <c r="AQ18" s="1" t="str">
        <f>IF(OR(T18="Cash",T18="Cash Adjustments"), T18, IF(_xll.BDP(R18&amp;" FIGI", $AQ$1)="#N/A Field Not Applicable"," ",_xll.BDP(R18&amp;" FIGI", $AQ$1)))</f>
        <v xml:space="preserve"> </v>
      </c>
      <c r="AR18" s="1" t="str">
        <f>IF(OR(T18="Cash",T18="Cash Adjustments"), T18, IF(_xll.BDP(R18&amp;" FIGI", $AR$1)="#N/A Field Not Applicable"," ",_xll.BDP(R18&amp;" FIGI", $AR$1)))</f>
        <v>ACTV</v>
      </c>
      <c r="AS18" s="1" t="str">
        <f>VLOOKUP(T18,'SFC Classifcation'!$F$2:$H$7,3,0)</f>
        <v>Equity</v>
      </c>
      <c r="AT18" s="22" t="str">
        <f t="shared" si="0"/>
        <v>Financial</v>
      </c>
      <c r="AU18" s="1" t="str">
        <f t="shared" si="4"/>
        <v/>
      </c>
      <c r="AV18" s="1" t="str">
        <f>IF(OR(T18="Cash",T18="Cash Adjustments"),T18,VLOOKUP(AL18,'SFC Classifcation'!$A:$C,3,0))</f>
        <v>Hong Kong</v>
      </c>
      <c r="AW18" s="22" t="str">
        <f t="shared" si="5"/>
        <v>High</v>
      </c>
      <c r="AX18" s="22" t="str">
        <f t="shared" si="6"/>
        <v>High</v>
      </c>
      <c r="AY18" s="45" t="str">
        <f>IF(OR(T18="Cash",T18="Cash Adjustments"), T18, IF(LEFT(_xll.BDP(R18&amp;" FIGI", $AY$1), 4)="#N/A", AN18,_xll.BDP(R18&amp;" FIGI", $AY$1)))</f>
        <v>Financials</v>
      </c>
      <c r="AZ18" s="45" t="str">
        <f>IF(OR(T18="Cash",T18="Cash Adjustments"), T18, _xll.BDP(R18&amp;" FIGI", $AZ$1))</f>
        <v>Commer Banks Non-US</v>
      </c>
      <c r="BA18" s="45" t="str">
        <f>IF(OR(T18="Cash",T18="Cash Adjustments"), T18, _xll.BDP(R18&amp;" FIGI", $BA$1))</f>
        <v>#N/A Field Not Applicable</v>
      </c>
      <c r="BB18" s="45" t="str">
        <f>IF(OR(AS18="Government",AS18="Corporate"),(AK18*AB18/'SFC Report'!$C$20),"")</f>
        <v/>
      </c>
      <c r="BC18" s="174" t="str">
        <f>IF(OR(T18="Cash",T18="Cash Adjustments", T18="FX Forward", T18="Repo", T18="Equity", T18="M-Mkt"), "", _xll.BDP(R18&amp;" FIGI", $BC$1))</f>
        <v/>
      </c>
      <c r="BD18" s="125" t="str">
        <f>IF(OR(T18="Cash",T18="Cash Adjustments",T18="FX Forward",T18="Repo", T18="Equity", T18="M-Mkt"),"",(BC18-'SFC Report'!$B$13)/365)</f>
        <v/>
      </c>
      <c r="BE18" s="82" t="str">
        <f t="shared" si="1"/>
        <v/>
      </c>
      <c r="BF18" s="5" t="str">
        <f>IF(BC18="","",BD18*AB18/'SFC Report'!$C$20)</f>
        <v/>
      </c>
      <c r="BG18" s="14" t="str" cm="1">
        <f t="array" ref="BG18">IF(OR(AS18="Corporate",AS18="Government"),_xll.BDP(G18&amp;" ISIN", $BG$1),"")</f>
        <v/>
      </c>
      <c r="BH18" s="140" t="str">
        <f>IF(OR(AS18="Corporate",AS18="Government"),BG18*BN18/'SFC Report'!$C$20,"")</f>
        <v/>
      </c>
      <c r="BI18" s="140" t="str">
        <f>IF(OR(AS18="Corporate",AS18="Government"),_xll.BDP(G18&amp;" ISIN", $BI$1),"")</f>
        <v/>
      </c>
      <c r="BJ18" s="140" t="str">
        <f>IF(OR(AS18="Corporate",AS18="Government"),BI18*AB18/'SFC Report'!$C$20,"")</f>
        <v/>
      </c>
      <c r="BK18" s="153" t="str">
        <f>IF(OR(T18="Cash",T18="Cash Adjustments"),"-",_xll.BDP(R18&amp;" FIGI",$BK$1))</f>
        <v>CNE1000003G1</v>
      </c>
      <c r="BL18" s="11" t="str">
        <f>IF(OR(AS18="Cash", AS18="Cash Adjustments"),"-",IF(ISNA(VLOOKUP(BK18,'BBG - VaR Data (Sample, Indus )'!C:N,5,0)),"-",VLOOKUP(BK18,'BBG - VaR Data (Sample, Indus )'!C:N,5,0)))</f>
        <v>-</v>
      </c>
      <c r="BM18" s="11">
        <f>IF(OR(AS18="Cash", AS18="Cash Adjustments"),"-",IF(ISNA(VLOOKUP(BK18,'BBG - Scenarios (Sample View)'!C:Z,14,0)),"-",VLOOKUP(BK18,'BBG - Scenarios (Sample View)'!C:Z,14,0)))</f>
        <v>-8.18</v>
      </c>
      <c r="BN18" s="14">
        <f t="shared" si="7"/>
        <v>1019736.8421052631</v>
      </c>
      <c r="BO18" s="1">
        <f t="shared" si="8"/>
        <v>2.0003656265407416E-3</v>
      </c>
      <c r="BP18" t="str">
        <f>IF(BC18&lt;&gt;0,MaturityBucket(BG18),"")</f>
        <v/>
      </c>
      <c r="BQ18" s="11" t="str">
        <f>IF(OR(T18="Cash",T18="Cash Adjustments"),T18,VLOOKUP(AL18,'SFC Classifcation'!$A:$C,2,0))</f>
        <v>Hong Kong</v>
      </c>
      <c r="BR18" s="1" t="str">
        <f>IF(S18="Bond",BH18/'SFC Report'!$B$7,"")</f>
        <v/>
      </c>
      <c r="BS18" t="str">
        <f>IF(OR(T18="Cash",T18="Cash Adjustments"),"-",_xll.BDP(R18&amp;" FIGI",$BS$1))</f>
        <v>#N/A Field Not Applicable</v>
      </c>
      <c r="BT18" t="str">
        <f>IF(OR(T18="Cash",T18="Cash Adjustments"),"-",_xll.BDP(R18&amp;" FIGI",$BT$1))</f>
        <v>#N/A Field Not Applicable</v>
      </c>
      <c r="BU18" t="str">
        <f>IF(OR(T18="Cash",T18="Cash Adjustments"),"-",_xll.BDP(R18&amp;" FIGI",$BU$1))</f>
        <v>#N/A Field Not Applicable</v>
      </c>
    </row>
    <row r="19" spans="1:73">
      <c r="A19" s="254" t="s">
        <v>15</v>
      </c>
      <c r="B19" s="254" t="s">
        <v>25</v>
      </c>
      <c r="C19" s="254"/>
      <c r="D19" s="254" t="s">
        <v>20</v>
      </c>
      <c r="E19" s="254"/>
      <c r="F19" s="254" t="s">
        <v>1287</v>
      </c>
      <c r="G19" s="254" t="s">
        <v>1288</v>
      </c>
      <c r="H19" s="270">
        <v>530000</v>
      </c>
      <c r="I19" s="270">
        <v>13.94</v>
      </c>
      <c r="J19" s="270">
        <v>6837593.1699999999</v>
      </c>
      <c r="K19" s="270">
        <v>6837593.1699999999</v>
      </c>
      <c r="L19" s="270">
        <v>550606.82999999996</v>
      </c>
      <c r="M19" s="270">
        <v>0</v>
      </c>
      <c r="N19" s="270">
        <v>7388200</v>
      </c>
      <c r="O19" s="255">
        <v>1.6000000000000001E-3</v>
      </c>
      <c r="P19" s="1"/>
      <c r="Q19" s="1" t="str">
        <f t="shared" si="2"/>
        <v>Investments</v>
      </c>
      <c r="R19" s="9" t="str">
        <f>_xll.BDP(G19&amp;" Equity",$R$1)</f>
        <v>BBG000P9FRH8</v>
      </c>
      <c r="S19" s="1" t="str">
        <f>IF(Q19="Cash",Q19,IF(OR(Q19="Receivable Investments",Q19="Payable Investments"),"Cash Adjustments",_xll.BDP(R19&amp;" FIGI",$S$1)))</f>
        <v>EQUI</v>
      </c>
      <c r="T19" s="1" t="str">
        <f>IF(Q19="Cash",Q19,IF(OR(Q19="Receivable Investments",Q19="Payable Investments"),"Cash Adjustments",VLOOKUP(R19,LQA!E:S,3,0)))</f>
        <v>Equity</v>
      </c>
      <c r="U19" s="1" t="str">
        <f>IF(Q19="Cash",Q19,IF(OR(Q19="Receivable Investments",Q19="Payable Investments"),"Cash Adjustments",_xll.BDP(R19&amp;" FIGI",$U$1)))</f>
        <v>Mutual Fund</v>
      </c>
      <c r="V19" s="10">
        <f>IF(OR(Q19="Cash",Q19="Receivable Investments",Q19="Payable Investments"),0,IF(Q19="Investments",VLOOKUP(R19,LQA!E:Q,12,0),"Not Covered"))</f>
        <v>0.5</v>
      </c>
      <c r="W19" s="76">
        <f>IF(OR(Q19="Cash",Q19="Receivable Investments",Q19="Payable Investments"),0,IF(Q19="Investments",VLOOKUP(R19,LQA!E:Q,9,0),"Not Covered"))</f>
        <v>1.0976E-2</v>
      </c>
      <c r="X19" s="13" t="str">
        <f>IF(OR(H19=0,T19="Comdty"),"High",IF(V19&lt;='Liquidity Bucket'!$A$4,'Liquidity Bucket'!$I$4,IF(V19&lt;='Liquidity Bucket'!$A$5,'Liquidity Bucket'!$I$5,IF(V19&lt;='Liquidity Bucket'!$A$6,'Liquidity Bucket'!$I$6,IF(V19='Liquidity Bucket'!$A$8,'Liquidity Bucket'!$I$8,'Liquidity Bucket'!$I$7)))))</f>
        <v>High</v>
      </c>
      <c r="Y19" s="153">
        <f>IF(OR(Q19="Cash",Q19="Receivable Investments",Q19="Payable Investments"),0,IF(Q19="Investments",VLOOKUP(R19,'LQA Stress'!E:Q,12,0),"Not Covered"))</f>
        <v>1</v>
      </c>
      <c r="Z19" s="75">
        <f>IF(OR(Q19="Cash",Q19="Receivable Investments",Q19="Payable Investments"),0,IF(Q19="Investments",VLOOKUP(R19,'LQA Stress'!E:Q,9,0),"Not Covered"))</f>
        <v>1.9488999999999999E-2</v>
      </c>
      <c r="AA19" s="13" t="str">
        <f>IF(T19="Comdty","High",IF(Y19&lt;='Liquidity Bucket'!$A$4,'Liquidity Bucket'!$I$4,IF(Y19&lt;='Liquidity Bucket'!$A$5,'Liquidity Bucket'!$I$5,IF(Y19&lt;='Liquidity Bucket'!$A$6,'Liquidity Bucket'!$I$6,IF(Y19='Liquidity Bucket'!$A$8,'Liquidity Bucket'!$I$8,'Liquidity Bucket'!$I$7)))))</f>
        <v>High</v>
      </c>
      <c r="AB19" s="14">
        <f>(N19+M19)/'FX Rates'!$C$5</f>
        <v>953070.17543859652</v>
      </c>
      <c r="AC19" s="15" t="str">
        <f>IF(X19="Not Covered", (H19/_xll.BDP(R19&amp;" FIGI",$AC$1)),"")</f>
        <v/>
      </c>
      <c r="AD19" s="16" t="str">
        <f>IF(X19="Not Covered", _xll.BDP(R19&amp;" FIGI",$AD$1),"")</f>
        <v/>
      </c>
      <c r="AE19" s="16" t="str">
        <f>IF(OR(T19="Corp",T19="Govt"),IF(_xll.BDP(R19&amp;" FIGI",$AE$1)="#N/A N/A","",_xll.BDP(R19&amp;" FIGI",$AE$1)),"")</f>
        <v/>
      </c>
      <c r="AF19" s="1" t="str">
        <f>IF(OR(T19="Corp",T19="Govt"),IF(_xll.BDP(R19&amp;" FIGI",$AF$1)="#N/A N/A","",_xll.BDP(R19&amp;" FIGI",$AF$1)),"")</f>
        <v/>
      </c>
      <c r="AG19" s="16" t="str">
        <f>IF(OR(T19="Corp",T19="Govt"),IF(_xll.BDP(R19&amp;" FIGI",$AG$1)="#N/A N/A","",_xll.BDP(R19&amp;" FIGI",$AG$1)),"")</f>
        <v/>
      </c>
      <c r="AH19" s="125">
        <f>IF(OR(S19="Cash",S19="M-Mkt"),21,IF(AE19="",0,VLOOKUP(AE19,'Rating Scale'!A:B,2,0)))</f>
        <v>0</v>
      </c>
      <c r="AI19" s="125">
        <f>IF(OR(S19="Cash",S19="M-Mkt"),21,IF(AF19="",0,VLOOKUP(AF19,'Rating Scale'!D:E,2,0)))</f>
        <v>0</v>
      </c>
      <c r="AJ19" s="125">
        <f>IF(OR(S19="Cash",S19="M-Mkt"),21,IF(AG19="",0,VLOOKUP(AG19,'Rating Scale'!G:H,2,0)))</f>
        <v>0</v>
      </c>
      <c r="AK19">
        <f t="shared" si="3"/>
        <v>0</v>
      </c>
      <c r="AL19" s="1" t="str">
        <f>IF(OR(U19="Cash",U19="Cash Adjustments"),_xll.BDP(G19&amp;" Curncy","Country"),IF(T19="Equity",_xll.BDP(R19&amp;" FIGI","CNTRY_ISSUE_ISO"),_xll.BDP(R19&amp;" FIGI",$AL$1)))</f>
        <v>HK</v>
      </c>
      <c r="AM19" s="126" t="str">
        <f>IF(OR(T19="Cash",T19="Cash Adjustments",T19="M-Mkt"), T19, IF(T19="Comdty",AS19, _xll.BDP(R19&amp;" FIGI", $AM$1)))</f>
        <v>Funds</v>
      </c>
      <c r="AN19" s="126" t="str">
        <f>IF(OR(T19="Cash",T19="Cash Adjustments",T19="M-Mkt"), T19,  IF(T19="Comdty",AS19,_xll.BDP(R19&amp;" FIGI", $AN$1)))</f>
        <v>Equity Fund</v>
      </c>
      <c r="AO19" s="126" t="str">
        <f>IF(OR(T19="Cash",T19="Cash Adjustments",T19="M-Mkt"), T19,  IF(T19="Comdty",AS19,_xll.BDP(R19&amp;" FIGI", $AO$1)))</f>
        <v>Country Fund-China</v>
      </c>
      <c r="AP19" s="13" t="str">
        <f>IF(OR(T19="Cash",T19="Cash Adjustments"), T19, IF(_xll.BDP(R19&amp;" FIGI", $AP$1)="#N/A Field Not Applicable","N",_xll.BDP(R19&amp;" FIGI", $AP$1)))</f>
        <v>N</v>
      </c>
      <c r="AQ19" s="1" t="str">
        <f>IF(OR(T19="Cash",T19="Cash Adjustments"), T19, IF(_xll.BDP(R19&amp;" FIGI", $AQ$1)="#N/A Field Not Applicable"," ",_xll.BDP(R19&amp;" FIGI", $AQ$1)))</f>
        <v xml:space="preserve"> </v>
      </c>
      <c r="AR19" s="1" t="str">
        <f>IF(OR(T19="Cash",T19="Cash Adjustments"), T19, IF(_xll.BDP(R19&amp;" FIGI", $AR$1)="#N/A Field Not Applicable"," ",_xll.BDP(R19&amp;" FIGI", $AR$1)))</f>
        <v>ACTV</v>
      </c>
      <c r="AS19" s="1" t="str">
        <f>VLOOKUP(T19,'SFC Classifcation'!$F$2:$H$7,3,0)</f>
        <v>Equity</v>
      </c>
      <c r="AT19" s="22" t="str">
        <f t="shared" si="0"/>
        <v>Non-Financial</v>
      </c>
      <c r="AU19" s="1" t="str">
        <f t="shared" si="4"/>
        <v/>
      </c>
      <c r="AV19" s="1" t="str">
        <f>IF(OR(T19="Cash",T19="Cash Adjustments"),T19,VLOOKUP(AL19,'SFC Classifcation'!$A:$C,3,0))</f>
        <v>Hong Kong</v>
      </c>
      <c r="AW19" s="22" t="str">
        <f t="shared" si="5"/>
        <v>High</v>
      </c>
      <c r="AX19" s="22" t="str">
        <f t="shared" si="6"/>
        <v>High</v>
      </c>
      <c r="AY19" s="272" t="s">
        <v>1912</v>
      </c>
      <c r="AZ19" s="45" t="str">
        <f>IF(OR(T19="Cash",T19="Cash Adjustments"), T19, _xll.BDP(R19&amp;" FIGI", $AZ$1))</f>
        <v>Country Fund-China</v>
      </c>
      <c r="BA19" s="45" t="str">
        <f>IF(OR(T19="Cash",T19="Cash Adjustments"), T19, _xll.BDP(R19&amp;" FIGI", $BA$1))</f>
        <v>#N/A Field Not Applicable</v>
      </c>
      <c r="BB19" s="45" t="str">
        <f>IF(OR(AS19="Government",AS19="Corporate"),(AK19*AB19/'SFC Report'!$C$20),"")</f>
        <v/>
      </c>
      <c r="BC19" s="174" t="str">
        <f>IF(OR(T19="Cash",T19="Cash Adjustments", T19="FX Forward", T19="Repo", T19="Equity", T19="M-Mkt"), "", _xll.BDP(R19&amp;" FIGI", $BC$1))</f>
        <v/>
      </c>
      <c r="BD19" s="125" t="str">
        <f>IF(OR(T19="Cash",T19="Cash Adjustments",T19="FX Forward",T19="Repo", T19="Equity", T19="M-Mkt"),"",(BC19-'SFC Report'!$B$13)/365)</f>
        <v/>
      </c>
      <c r="BE19" s="82" t="str">
        <f t="shared" si="1"/>
        <v/>
      </c>
      <c r="BF19" s="5" t="str">
        <f>IF(BC19="","",BD19*AB19/'SFC Report'!$C$20)</f>
        <v/>
      </c>
      <c r="BG19" s="14" t="str" cm="1">
        <f t="array" ref="BG19">IF(OR(AS19="Corporate",AS19="Government"),_xll.BDP(G19&amp;" ISIN", $BG$1),"")</f>
        <v/>
      </c>
      <c r="BH19" s="140" t="str">
        <f>IF(OR(AS19="Corporate",AS19="Government"),BG19*BN19/'SFC Report'!$C$20,"")</f>
        <v/>
      </c>
      <c r="BI19" s="140" t="str">
        <f>IF(OR(AS19="Corporate",AS19="Government"),_xll.BDP(G19&amp;" ISIN", $BI$1),"")</f>
        <v/>
      </c>
      <c r="BJ19" s="140" t="str">
        <f>IF(OR(AS19="Corporate",AS19="Government"),BI19*AB19/'SFC Report'!$C$20,"")</f>
        <v/>
      </c>
      <c r="BK19" s="153" t="str">
        <f>IF(OR(T19="Cash",T19="Cash Adjustments"),"-",_xll.BDP(R19&amp;" FIGI",$BK$1))</f>
        <v>HK2823028546</v>
      </c>
      <c r="BL19" s="11" t="str">
        <f>IF(OR(AS19="Cash", AS19="Cash Adjustments"),"-",IF(ISNA(VLOOKUP(BK19,'BBG - VaR Data (Sample, Indus )'!C:N,5,0)),"-",VLOOKUP(BK19,'BBG - VaR Data (Sample, Indus )'!C:N,5,0)))</f>
        <v>-</v>
      </c>
      <c r="BM19" s="11">
        <f>IF(OR(AS19="Cash", AS19="Cash Adjustments"),"-",IF(ISNA(VLOOKUP(BK19,'BBG - Scenarios (Sample View)'!C:Z,14,0)),"-",VLOOKUP(BK19,'BBG - Scenarios (Sample View)'!C:Z,14,0)))</f>
        <v>-7.89</v>
      </c>
      <c r="BN19" s="14">
        <f t="shared" si="7"/>
        <v>953070.17543859652</v>
      </c>
      <c r="BO19" s="1">
        <f t="shared" si="8"/>
        <v>1.8695890350421643E-3</v>
      </c>
      <c r="BP19" t="str">
        <f>IF(BC19&lt;&gt;0,MaturityBucket(BG19),"")</f>
        <v/>
      </c>
      <c r="BQ19" s="11" t="str">
        <f>IF(OR(T19="Cash",T19="Cash Adjustments"),T19,VLOOKUP(AL19,'SFC Classifcation'!$A:$C,2,0))</f>
        <v>Hong Kong</v>
      </c>
      <c r="BR19" s="1" t="str">
        <f>IF(S19="Bond",BH19/'SFC Report'!$B$7,"")</f>
        <v/>
      </c>
      <c r="BS19" t="str">
        <f>IF(OR(T19="Cash",T19="Cash Adjustments"),"-",_xll.BDP(R19&amp;" FIGI",$BS$1))</f>
        <v>#N/A Field Not Applicable</v>
      </c>
      <c r="BT19" t="str">
        <f>IF(OR(T19="Cash",T19="Cash Adjustments"),"-",_xll.BDP(R19&amp;" FIGI",$BT$1))</f>
        <v>#N/A Field Not Applicable</v>
      </c>
      <c r="BU19" t="str">
        <f>IF(OR(T19="Cash",T19="Cash Adjustments"),"-",_xll.BDP(R19&amp;" FIGI",$BU$1))</f>
        <v>#N/A Field Not Applicable</v>
      </c>
    </row>
    <row r="20" spans="1:73">
      <c r="A20" s="254" t="s">
        <v>15</v>
      </c>
      <c r="B20" s="254" t="s">
        <v>25</v>
      </c>
      <c r="C20" s="254"/>
      <c r="D20" s="254" t="s">
        <v>20</v>
      </c>
      <c r="E20" s="254"/>
      <c r="F20" s="254" t="s">
        <v>38</v>
      </c>
      <c r="G20" s="254" t="s">
        <v>39</v>
      </c>
      <c r="H20" s="270">
        <v>92000</v>
      </c>
      <c r="I20" s="270">
        <v>69.599999999999994</v>
      </c>
      <c r="J20" s="270">
        <v>6817556.8899999997</v>
      </c>
      <c r="K20" s="270">
        <v>6817556.8899999997</v>
      </c>
      <c r="L20" s="270">
        <v>-414356.89</v>
      </c>
      <c r="M20" s="270">
        <v>0</v>
      </c>
      <c r="N20" s="270">
        <v>6403200</v>
      </c>
      <c r="O20" s="255">
        <v>1.4E-3</v>
      </c>
      <c r="P20" s="1"/>
      <c r="Q20" s="1" t="str">
        <f t="shared" si="2"/>
        <v>Investments</v>
      </c>
      <c r="R20" s="9" t="str">
        <f>_xll.BDP(G20&amp;" Equity",$R$1)</f>
        <v>BBG000P9D267</v>
      </c>
      <c r="S20" s="1" t="str">
        <f>IF(Q20="Cash",Q20,IF(OR(Q20="Receivable Investments",Q20="Payable Investments"),"Cash Adjustments",_xll.BDP(R20&amp;" FIGI",$S$1)))</f>
        <v>EQUI</v>
      </c>
      <c r="T20" s="1" t="str">
        <f>IF(Q20="Cash",Q20,IF(OR(Q20="Receivable Investments",Q20="Payable Investments"),"Cash Adjustments",VLOOKUP(R20,LQA!E:S,3,0)))</f>
        <v>Equity</v>
      </c>
      <c r="U20" s="1" t="str">
        <f>IF(Q20="Cash",Q20,IF(OR(Q20="Receivable Investments",Q20="Payable Investments"),"Cash Adjustments",_xll.BDP(R20&amp;" FIGI",$U$1)))</f>
        <v>REIT</v>
      </c>
      <c r="V20" s="10">
        <f>IF(OR(Q20="Cash",Q20="Receivable Investments",Q20="Payable Investments"),0,IF(Q20="Investments",VLOOKUP(R20,LQA!E:Q,12,0),"Not Covered"))</f>
        <v>0.4</v>
      </c>
      <c r="W20" s="76">
        <f>IF(OR(Q20="Cash",Q20="Receivable Investments",Q20="Payable Investments"),0,IF(Q20="Investments",VLOOKUP(R20,LQA!E:Q,9,0),"Not Covered"))</f>
        <v>1.7929E-2</v>
      </c>
      <c r="X20" s="13" t="str">
        <f>IF(OR(H20=0,T20="Comdty"),"High",IF(V20&lt;='Liquidity Bucket'!$A$4,'Liquidity Bucket'!$I$4,IF(V20&lt;='Liquidity Bucket'!$A$5,'Liquidity Bucket'!$I$5,IF(V20&lt;='Liquidity Bucket'!$A$6,'Liquidity Bucket'!$I$6,IF(V20='Liquidity Bucket'!$A$8,'Liquidity Bucket'!$I$8,'Liquidity Bucket'!$I$7)))))</f>
        <v>High</v>
      </c>
      <c r="Y20" s="153">
        <f>IF(OR(Q20="Cash",Q20="Receivable Investments",Q20="Payable Investments"),0,IF(Q20="Investments",VLOOKUP(R20,'LQA Stress'!E:Q,12,0),"Not Covered"))</f>
        <v>0.8</v>
      </c>
      <c r="Z20" s="75">
        <f>IF(OR(Q20="Cash",Q20="Receivable Investments",Q20="Payable Investments"),0,IF(Q20="Investments",VLOOKUP(R20,'LQA Stress'!E:Q,9,0),"Not Covered"))</f>
        <v>3.1961999999999997E-2</v>
      </c>
      <c r="AA20" s="13" t="str">
        <f>IF(T20="Comdty","High",IF(Y20&lt;='Liquidity Bucket'!$A$4,'Liquidity Bucket'!$I$4,IF(Y20&lt;='Liquidity Bucket'!$A$5,'Liquidity Bucket'!$I$5,IF(Y20&lt;='Liquidity Bucket'!$A$6,'Liquidity Bucket'!$I$6,IF(Y20='Liquidity Bucket'!$A$8,'Liquidity Bucket'!$I$8,'Liquidity Bucket'!$I$7)))))</f>
        <v>High</v>
      </c>
      <c r="AB20" s="14">
        <f>(N20+M20)/'FX Rates'!$C$5</f>
        <v>826006.19195046439</v>
      </c>
      <c r="AC20" s="15" t="str">
        <f>IF(X20="Not Covered", (H20/_xll.BDP(R20&amp;" FIGI",$AC$1)),"")</f>
        <v/>
      </c>
      <c r="AD20" s="16" t="str">
        <f>IF(X20="Not Covered", _xll.BDP(R20&amp;" FIGI",$AD$1),"")</f>
        <v/>
      </c>
      <c r="AE20" s="16" t="str">
        <f>IF(OR(T20="Corp",T20="Govt"),IF(_xll.BDP(R20&amp;" FIGI",$AE$1)="#N/A N/A","",_xll.BDP(R20&amp;" FIGI",$AE$1)),"")</f>
        <v/>
      </c>
      <c r="AF20" s="1" t="str">
        <f>IF(OR(T20="Corp",T20="Govt"),IF(_xll.BDP(R20&amp;" FIGI",$AF$1)="#N/A N/A","",_xll.BDP(R20&amp;" FIGI",$AF$1)),"")</f>
        <v/>
      </c>
      <c r="AG20" s="16" t="str">
        <f>IF(OR(T20="Corp",T20="Govt"),IF(_xll.BDP(R20&amp;" FIGI",$AG$1)="#N/A N/A","",_xll.BDP(R20&amp;" FIGI",$AG$1)),"")</f>
        <v/>
      </c>
      <c r="AH20" s="125">
        <f>IF(OR(S20="Cash",S20="M-Mkt"),21,IF(AE20="",0,VLOOKUP(AE20,'Rating Scale'!A:B,2,0)))</f>
        <v>0</v>
      </c>
      <c r="AI20" s="125">
        <f>IF(OR(S20="Cash",S20="M-Mkt"),21,IF(AF20="",0,VLOOKUP(AF20,'Rating Scale'!D:E,2,0)))</f>
        <v>0</v>
      </c>
      <c r="AJ20" s="125">
        <f>IF(OR(S20="Cash",S20="M-Mkt"),21,IF(AG20="",0,VLOOKUP(AG20,'Rating Scale'!G:H,2,0)))</f>
        <v>0</v>
      </c>
      <c r="AK20">
        <f t="shared" si="3"/>
        <v>0</v>
      </c>
      <c r="AL20" s="1" t="str">
        <f>IF(OR(U20="Cash",U20="Cash Adjustments"),_xll.BDP(G20&amp;" Curncy","Country"),IF(T20="Equity",_xll.BDP(R20&amp;" FIGI","CNTRY_ISSUE_ISO"),_xll.BDP(R20&amp;" FIGI",$AL$1)))</f>
        <v>HK</v>
      </c>
      <c r="AM20" s="126" t="str">
        <f>IF(OR(T20="Cash",T20="Cash Adjustments",T20="M-Mkt"), T20, IF(T20="Comdty",AS20, _xll.BDP(R20&amp;" FIGI", $AM$1)))</f>
        <v>Financial</v>
      </c>
      <c r="AN20" s="126" t="str">
        <f>IF(OR(T20="Cash",T20="Cash Adjustments",T20="M-Mkt"), T20,  IF(T20="Comdty",AS20,_xll.BDP(R20&amp;" FIGI", $AN$1)))</f>
        <v>REITS</v>
      </c>
      <c r="AO20" s="126" t="str">
        <f>IF(OR(T20="Cash",T20="Cash Adjustments",T20="M-Mkt"), T20,  IF(T20="Comdty",AS20,_xll.BDP(R20&amp;" FIGI", $AO$1)))</f>
        <v>REITS-Shopping Centers</v>
      </c>
      <c r="AP20" s="13" t="str">
        <f>IF(OR(T20="Cash",T20="Cash Adjustments"), T20, IF(_xll.BDP(R20&amp;" FIGI", $AP$1)="#N/A Field Not Applicable","N",_xll.BDP(R20&amp;" FIGI", $AP$1)))</f>
        <v>N</v>
      </c>
      <c r="AQ20" s="1" t="str">
        <f>IF(OR(T20="Cash",T20="Cash Adjustments"), T20, IF(_xll.BDP(R20&amp;" FIGI", $AQ$1)="#N/A Field Not Applicable"," ",_xll.BDP(R20&amp;" FIGI", $AQ$1)))</f>
        <v xml:space="preserve"> </v>
      </c>
      <c r="AR20" s="1" t="str">
        <f>IF(OR(T20="Cash",T20="Cash Adjustments"), T20, IF(_xll.BDP(R20&amp;" FIGI", $AR$1)="#N/A Field Not Applicable"," ",_xll.BDP(R20&amp;" FIGI", $AR$1)))</f>
        <v>ACTV</v>
      </c>
      <c r="AS20" s="1" t="str">
        <f>VLOOKUP(T20,'SFC Classifcation'!$F$2:$H$7,3,0)</f>
        <v>Equity</v>
      </c>
      <c r="AT20" s="22" t="str">
        <f t="shared" si="0"/>
        <v>Financial</v>
      </c>
      <c r="AU20" s="1" t="str">
        <f t="shared" si="4"/>
        <v/>
      </c>
      <c r="AV20" s="1" t="str">
        <f>IF(OR(T20="Cash",T20="Cash Adjustments"),T20,VLOOKUP(AL20,'SFC Classifcation'!$A:$C,3,0))</f>
        <v>Hong Kong</v>
      </c>
      <c r="AW20" s="22" t="str">
        <f t="shared" si="5"/>
        <v>High</v>
      </c>
      <c r="AX20" s="22" t="str">
        <f t="shared" si="6"/>
        <v>High</v>
      </c>
      <c r="AY20" s="45" t="str">
        <f>IF(OR(T20="Cash",T20="Cash Adjustments"), T20, _xll.BDP(R20&amp;" FIGI", $AY$1))</f>
        <v>Real Estate</v>
      </c>
      <c r="AZ20" s="45" t="str">
        <f>IF(OR(T20="Cash",T20="Cash Adjustments"), T20, _xll.BDP(R20&amp;" FIGI", $AZ$1))</f>
        <v>REITS-Shopping Centers</v>
      </c>
      <c r="BA20" s="45" t="str">
        <f>IF(OR(T20="Cash",T20="Cash Adjustments"), T20, _xll.BDP(R20&amp;" FIGI", $BA$1))</f>
        <v>#N/A Field Not Applicable</v>
      </c>
      <c r="BB20" s="45" t="str">
        <f>IF(OR(AS20="Government",AS20="Corporate"),(AK20*AB20/'SFC Report'!$C$20),"")</f>
        <v/>
      </c>
      <c r="BC20" s="174" t="str">
        <f>IF(OR(T20="Cash",T20="Cash Adjustments", T20="FX Forward", T20="Repo", T20="Equity", T20="M-Mkt"), "", _xll.BDP(R20&amp;" FIGI", $BC$1))</f>
        <v/>
      </c>
      <c r="BD20" s="125" t="str">
        <f>IF(OR(T20="Cash",T20="Cash Adjustments",T20="FX Forward",T20="Repo", T20="Equity", T20="M-Mkt"),"",(BC20-'SFC Report'!$B$13)/365)</f>
        <v/>
      </c>
      <c r="BE20" s="82" t="str">
        <f t="shared" si="1"/>
        <v/>
      </c>
      <c r="BF20" s="5" t="str">
        <f>IF(BC20="","",BD20*AB20/'SFC Report'!$C$20)</f>
        <v/>
      </c>
      <c r="BG20" s="14" t="str" cm="1">
        <f t="array" ref="BG20">IF(OR(AS20="Corporate",AS20="Government"),_xll.BDP(G20&amp;" ISIN", $BG$1),"")</f>
        <v/>
      </c>
      <c r="BH20" s="140" t="str">
        <f>IF(OR(AS20="Corporate",AS20="Government"),BG20*BN20/'SFC Report'!$C$20,"")</f>
        <v/>
      </c>
      <c r="BI20" s="140" t="str">
        <f>IF(OR(AS20="Corporate",AS20="Government"),_xll.BDP(G20&amp;" ISIN", $BI$1),"")</f>
        <v/>
      </c>
      <c r="BJ20" s="140" t="str">
        <f>IF(OR(AS20="Corporate",AS20="Government"),BI20*AB20/'SFC Report'!$C$20,"")</f>
        <v/>
      </c>
      <c r="BK20" s="153" t="str">
        <f>IF(OR(T20="Cash",T20="Cash Adjustments"),"-",_xll.BDP(R20&amp;" FIGI",$BK$1))</f>
        <v>HK0823032773</v>
      </c>
      <c r="BL20" s="11" t="str">
        <f>IF(OR(AS20="Cash", AS20="Cash Adjustments"),"-",IF(ISNA(VLOOKUP(BK20,'BBG - VaR Data (Sample, Indus )'!C:N,5,0)),"-",VLOOKUP(BK20,'BBG - VaR Data (Sample, Indus )'!C:N,5,0)))</f>
        <v>-</v>
      </c>
      <c r="BM20" s="11">
        <f>IF(OR(AS20="Cash", AS20="Cash Adjustments"),"-",IF(ISNA(VLOOKUP(BK20,'BBG - Scenarios (Sample View)'!C:Z,14,0)),"-",VLOOKUP(BK20,'BBG - Scenarios (Sample View)'!C:Z,14,0)))</f>
        <v>-11.45</v>
      </c>
      <c r="BN20" s="14">
        <f t="shared" si="7"/>
        <v>826006.19195046439</v>
      </c>
      <c r="BO20" s="1">
        <f t="shared" si="8"/>
        <v>1.6203341151000226E-3</v>
      </c>
      <c r="BP20" t="str">
        <f>IF(BC20&lt;&gt;0,MaturityBucket(BG20),"")</f>
        <v/>
      </c>
      <c r="BQ20" s="11" t="str">
        <f>IF(OR(T20="Cash",T20="Cash Adjustments"),T20,VLOOKUP(AL20,'SFC Classifcation'!$A:$C,2,0))</f>
        <v>Hong Kong</v>
      </c>
      <c r="BR20" s="1" t="str">
        <f>IF(S20="Bond",BH20/'SFC Report'!$B$7,"")</f>
        <v/>
      </c>
      <c r="BS20" t="str">
        <f>IF(OR(T20="Cash",T20="Cash Adjustments"),"-",_xll.BDP(R20&amp;" FIGI",$BS$1))</f>
        <v>#N/A Field Not Applicable</v>
      </c>
      <c r="BT20" t="str">
        <f>IF(OR(T20="Cash",T20="Cash Adjustments"),"-",_xll.BDP(R20&amp;" FIGI",$BT$1))</f>
        <v>#N/A Field Not Applicable</v>
      </c>
      <c r="BU20" t="str">
        <f>IF(OR(T20="Cash",T20="Cash Adjustments"),"-",_xll.BDP(R20&amp;" FIGI",$BU$1))</f>
        <v>#N/A Field Not Applicable</v>
      </c>
    </row>
    <row r="21" spans="1:73">
      <c r="A21" s="254" t="s">
        <v>15</v>
      </c>
      <c r="B21" s="254" t="s">
        <v>25</v>
      </c>
      <c r="C21" s="254"/>
      <c r="D21" s="254" t="s">
        <v>20</v>
      </c>
      <c r="E21" s="254"/>
      <c r="F21" s="254" t="s">
        <v>1142</v>
      </c>
      <c r="G21" s="254" t="s">
        <v>1143</v>
      </c>
      <c r="H21" s="270">
        <v>70000</v>
      </c>
      <c r="I21" s="270">
        <v>103.8</v>
      </c>
      <c r="J21" s="270">
        <v>6445939.8899999997</v>
      </c>
      <c r="K21" s="270">
        <v>6445939.8899999997</v>
      </c>
      <c r="L21" s="270">
        <v>820060.11</v>
      </c>
      <c r="M21" s="270">
        <v>0</v>
      </c>
      <c r="N21" s="270">
        <v>7266000</v>
      </c>
      <c r="O21" s="255">
        <v>1.6000000000000001E-3</v>
      </c>
      <c r="P21" s="1"/>
      <c r="Q21" s="1" t="str">
        <f t="shared" si="2"/>
        <v>Investments</v>
      </c>
      <c r="R21" s="9" t="str">
        <f>_xll.BDP(G21&amp;" Equity",$R$1)</f>
        <v>BBG00LLV9WW6</v>
      </c>
      <c r="S21" s="1" t="str">
        <f>IF(Q21="Cash",Q21,IF(OR(Q21="Receivable Investments",Q21="Payable Investments"),"Cash Adjustments",_xll.BDP(R21&amp;" FIGI",$S$1)))</f>
        <v>EQUI</v>
      </c>
      <c r="T21" s="1" t="str">
        <f>IF(Q21="Cash",Q21,IF(OR(Q21="Receivable Investments",Q21="Payable Investments"),"Cash Adjustments",VLOOKUP(R21,LQA!E:S,3,0)))</f>
        <v>Equity</v>
      </c>
      <c r="U21" s="1" t="str">
        <f>IF(Q21="Cash",Q21,IF(OR(Q21="Receivable Investments",Q21="Payable Investments"),"Cash Adjustments",_xll.BDP(R21&amp;" FIGI",$U$1)))</f>
        <v>Common Stock</v>
      </c>
      <c r="V21" s="10">
        <f>IF(OR(Q21="Cash",Q21="Receivable Investments",Q21="Payable Investments"),0,IF(Q21="Investments",VLOOKUP(R21,LQA!E:Q,12,0),"Not Covered"))</f>
        <v>0.1</v>
      </c>
      <c r="W21" s="76">
        <f>IF(OR(Q21="Cash",Q21="Receivable Investments",Q21="Payable Investments"),0,IF(Q21="Investments",VLOOKUP(R21,LQA!E:Q,9,0),"Not Covered"))</f>
        <v>1.487E-2</v>
      </c>
      <c r="X21" s="13" t="str">
        <f>IF(OR(H21=0,T21="Comdty"),"High",IF(V21&lt;='Liquidity Bucket'!$A$4,'Liquidity Bucket'!$I$4,IF(V21&lt;='Liquidity Bucket'!$A$5,'Liquidity Bucket'!$I$5,IF(V21&lt;='Liquidity Bucket'!$A$6,'Liquidity Bucket'!$I$6,IF(V21='Liquidity Bucket'!$A$8,'Liquidity Bucket'!$I$8,'Liquidity Bucket'!$I$7)))))</f>
        <v>High</v>
      </c>
      <c r="Y21" s="153">
        <f>IF(OR(Q21="Cash",Q21="Receivable Investments",Q21="Payable Investments"),0,IF(Q21="Investments",VLOOKUP(R21,'LQA Stress'!E:Q,12,0),"Not Covered"))</f>
        <v>0.2</v>
      </c>
      <c r="Z21" s="75">
        <f>IF(OR(Q21="Cash",Q21="Receivable Investments",Q21="Payable Investments"),0,IF(Q21="Investments",VLOOKUP(R21,'LQA Stress'!E:Q,9,0),"Not Covered"))</f>
        <v>2.6790999999999999E-2</v>
      </c>
      <c r="AA21" s="13" t="str">
        <f>IF(T21="Comdty","High",IF(Y21&lt;='Liquidity Bucket'!$A$4,'Liquidity Bucket'!$I$4,IF(Y21&lt;='Liquidity Bucket'!$A$5,'Liquidity Bucket'!$I$5,IF(Y21&lt;='Liquidity Bucket'!$A$6,'Liquidity Bucket'!$I$6,IF(Y21='Liquidity Bucket'!$A$8,'Liquidity Bucket'!$I$8,'Liquidity Bucket'!$I$7)))))</f>
        <v>High</v>
      </c>
      <c r="AB21" s="14">
        <f>(N21+M21)/'FX Rates'!$C$5</f>
        <v>937306.50154798769</v>
      </c>
      <c r="AC21" s="15" t="str">
        <f>IF(X21="Not Covered", (H21/_xll.BDP(R21&amp;" FIGI",$AC$1)),"")</f>
        <v/>
      </c>
      <c r="AD21" s="16" t="str">
        <f>IF(X21="Not Covered", _xll.BDP(R21&amp;" FIGI",$AD$1),"")</f>
        <v/>
      </c>
      <c r="AE21" s="16" t="str">
        <f>IF(OR(T21="Corp",T21="Govt"),IF(_xll.BDP(R21&amp;" FIGI",$AE$1)="#N/A N/A","",_xll.BDP(R21&amp;" FIGI",$AE$1)),"")</f>
        <v/>
      </c>
      <c r="AF21" s="1" t="str">
        <f>IF(OR(T21="Corp",T21="Govt"),IF(_xll.BDP(R21&amp;" FIGI",$AF$1)="#N/A N/A","",_xll.BDP(R21&amp;" FIGI",$AF$1)),"")</f>
        <v/>
      </c>
      <c r="AG21" s="16" t="str">
        <f>IF(OR(T21="Corp",T21="Govt"),IF(_xll.BDP(R21&amp;" FIGI",$AG$1)="#N/A N/A","",_xll.BDP(R21&amp;" FIGI",$AG$1)),"")</f>
        <v/>
      </c>
      <c r="AH21" s="125">
        <f>IF(OR(S21="Cash",S21="M-Mkt"),21,IF(AE21="",0,VLOOKUP(AE21,'Rating Scale'!A:B,2,0)))</f>
        <v>0</v>
      </c>
      <c r="AI21" s="125">
        <f>IF(OR(S21="Cash",S21="M-Mkt"),21,IF(AF21="",0,VLOOKUP(AF21,'Rating Scale'!D:E,2,0)))</f>
        <v>0</v>
      </c>
      <c r="AJ21" s="125">
        <f>IF(OR(S21="Cash",S21="M-Mkt"),21,IF(AG21="",0,VLOOKUP(AG21,'Rating Scale'!G:H,2,0)))</f>
        <v>0</v>
      </c>
      <c r="AK21">
        <f t="shared" si="3"/>
        <v>0</v>
      </c>
      <c r="AL21" s="1" t="str">
        <f>IF(OR(U21="Cash",U21="Cash Adjustments"),_xll.BDP(G21&amp;" Curncy","Country"),IF(T21="Equity",_xll.BDP(R21&amp;" FIGI","CNTRY_ISSUE_ISO"),_xll.BDP(R21&amp;" FIGI",$AL$1)))</f>
        <v>HK</v>
      </c>
      <c r="AM21" s="126" t="str">
        <f>IF(OR(T21="Cash",T21="Cash Adjustments",T21="M-Mkt"), T21, IF(T21="Comdty",AS21, _xll.BDP(R21&amp;" FIGI", $AM$1)))</f>
        <v>Communications</v>
      </c>
      <c r="AN21" s="126" t="str">
        <f>IF(OR(T21="Cash",T21="Cash Adjustments",T21="M-Mkt"), T21,  IF(T21="Comdty",AS21,_xll.BDP(R21&amp;" FIGI", $AN$1)))</f>
        <v>Internet</v>
      </c>
      <c r="AO21" s="126" t="str">
        <f>IF(OR(T21="Cash",T21="Cash Adjustments",T21="M-Mkt"), T21,  IF(T21="Comdty",AS21,_xll.BDP(R21&amp;" FIGI", $AO$1)))</f>
        <v>E-Commerce/Products</v>
      </c>
      <c r="AP21" s="13" t="str">
        <f>IF(OR(T21="Cash",T21="Cash Adjustments"), T21, IF(_xll.BDP(R21&amp;" FIGI", $AP$1)="#N/A Field Not Applicable","N",_xll.BDP(R21&amp;" FIGI", $AP$1)))</f>
        <v>N</v>
      </c>
      <c r="AQ21" s="1" t="str">
        <f>IF(OR(T21="Cash",T21="Cash Adjustments"), T21, IF(_xll.BDP(R21&amp;" FIGI", $AQ$1)="#N/A Field Not Applicable"," ",_xll.BDP(R21&amp;" FIGI", $AQ$1)))</f>
        <v xml:space="preserve"> </v>
      </c>
      <c r="AR21" s="1" t="str">
        <f>IF(OR(T21="Cash",T21="Cash Adjustments"), T21, IF(_xll.BDP(R21&amp;" FIGI", $AR$1)="#N/A Field Not Applicable"," ",_xll.BDP(R21&amp;" FIGI", $AR$1)))</f>
        <v>ACTV</v>
      </c>
      <c r="AS21" s="1" t="str">
        <f>VLOOKUP(T21,'SFC Classifcation'!$F$2:$H$7,3,0)</f>
        <v>Equity</v>
      </c>
      <c r="AT21" s="22" t="str">
        <f t="shared" si="0"/>
        <v>Non-Financial</v>
      </c>
      <c r="AU21" s="1" t="str">
        <f t="shared" si="4"/>
        <v/>
      </c>
      <c r="AV21" s="1" t="str">
        <f>IF(OR(T21="Cash",T21="Cash Adjustments"),T21,VLOOKUP(AL21,'SFC Classifcation'!$A:$C,3,0))</f>
        <v>Hong Kong</v>
      </c>
      <c r="AW21" s="22" t="str">
        <f t="shared" si="5"/>
        <v>High</v>
      </c>
      <c r="AX21" s="22" t="str">
        <f t="shared" si="6"/>
        <v>High</v>
      </c>
      <c r="AY21" s="45" t="str">
        <f>IF(OR(T21="Cash",T21="Cash Adjustments"), T21, _xll.BDP(R21&amp;" FIGI", $AY$1))</f>
        <v>Consumer Discretionary</v>
      </c>
      <c r="AZ21" s="45" t="str">
        <f>IF(OR(T21="Cash",T21="Cash Adjustments"), T21, _xll.BDP(R21&amp;" FIGI", $AZ$1))</f>
        <v>E-Commerce/Products</v>
      </c>
      <c r="BA21" s="45" t="str">
        <f>IF(OR(T21="Cash",T21="Cash Adjustments"), T21, _xll.BDP(R21&amp;" FIGI", $BA$1))</f>
        <v>#N/A Field Not Applicable</v>
      </c>
      <c r="BB21" s="45" t="str">
        <f>IF(OR(AS21="Government",AS21="Corporate"),(AK21*AB21/'SFC Report'!$C$20),"")</f>
        <v/>
      </c>
      <c r="BC21" s="174" t="str">
        <f>IF(OR(T21="Cash",T21="Cash Adjustments", T21="FX Forward", T21="Repo", T21="Equity", T21="M-Mkt"), "", _xll.BDP(R21&amp;" FIGI", $BC$1))</f>
        <v/>
      </c>
      <c r="BD21" s="125" t="str">
        <f>IF(OR(T21="Cash",T21="Cash Adjustments",T21="FX Forward",T21="Repo", T21="Equity", T21="M-Mkt"),"",(BC21-'SFC Report'!$B$13)/365)</f>
        <v/>
      </c>
      <c r="BE21" s="82" t="str">
        <f t="shared" si="1"/>
        <v/>
      </c>
      <c r="BF21" s="5" t="str">
        <f>IF(BC21="","",BD21*AB21/'SFC Report'!$C$20)</f>
        <v/>
      </c>
      <c r="BG21" s="14" t="str" cm="1">
        <f t="array" ref="BG21">IF(OR(AS21="Corporate",AS21="Government"),_xll.BDP(G21&amp;" ISIN", $BG$1),"")</f>
        <v/>
      </c>
      <c r="BH21" s="140" t="str">
        <f>IF(OR(AS21="Corporate",AS21="Government"),BG21*BN21/'SFC Report'!$C$20,"")</f>
        <v/>
      </c>
      <c r="BI21" s="140" t="str">
        <f>IF(OR(AS21="Corporate",AS21="Government"),_xll.BDP(G21&amp;" ISIN", $BI$1),"")</f>
        <v/>
      </c>
      <c r="BJ21" s="140" t="str">
        <f>IF(OR(AS21="Corporate",AS21="Government"),BI21*AB21/'SFC Report'!$C$20,"")</f>
        <v/>
      </c>
      <c r="BK21" s="153" t="str">
        <f>IF(OR(T21="Cash",T21="Cash Adjustments"),"-",_xll.BDP(R21&amp;" FIGI",$BK$1))</f>
        <v>KYG596691041</v>
      </c>
      <c r="BL21" s="11" t="str">
        <f>IF(OR(AS21="Cash", AS21="Cash Adjustments"),"-",IF(ISNA(VLOOKUP(BK21,'BBG - VaR Data (Sample, Indus )'!C:N,5,0)),"-",VLOOKUP(BK21,'BBG - VaR Data (Sample, Indus )'!C:N,5,0)))</f>
        <v>-</v>
      </c>
      <c r="BM21" s="11">
        <f>IF(OR(AS21="Cash", AS21="Cash Adjustments"),"-",IF(ISNA(VLOOKUP(BK21,'BBG - Scenarios (Sample View)'!C:Z,14,0)),"-",VLOOKUP(BK21,'BBG - Scenarios (Sample View)'!C:Z,14,0)))</f>
        <v>-9.49</v>
      </c>
      <c r="BN21" s="14">
        <f t="shared" si="7"/>
        <v>937306.50154798769</v>
      </c>
      <c r="BO21" s="1">
        <f t="shared" si="8"/>
        <v>1.8386662419285302E-3</v>
      </c>
      <c r="BP21" t="str">
        <f>IF(BC21&lt;&gt;0,MaturityBucket(BG21),"")</f>
        <v/>
      </c>
      <c r="BQ21" s="11" t="str">
        <f>IF(OR(T21="Cash",T21="Cash Adjustments"),T21,VLOOKUP(AL21,'SFC Classifcation'!$A:$C,2,0))</f>
        <v>Hong Kong</v>
      </c>
      <c r="BR21" s="1" t="str">
        <f>IF(S21="Bond",BH21/'SFC Report'!$B$7,"")</f>
        <v/>
      </c>
      <c r="BS21" t="str">
        <f>IF(OR(T21="Cash",T21="Cash Adjustments"),"-",_xll.BDP(R21&amp;" FIGI",$BS$1))</f>
        <v>#N/A Field Not Applicable</v>
      </c>
      <c r="BT21" t="str">
        <f>IF(OR(T21="Cash",T21="Cash Adjustments"),"-",_xll.BDP(R21&amp;" FIGI",$BT$1))</f>
        <v>#N/A Field Not Applicable</v>
      </c>
      <c r="BU21" t="str">
        <f>IF(OR(T21="Cash",T21="Cash Adjustments"),"-",_xll.BDP(R21&amp;" FIGI",$BU$1))</f>
        <v>#N/A Field Not Applicable</v>
      </c>
    </row>
    <row r="22" spans="1:73">
      <c r="A22" s="254" t="s">
        <v>15</v>
      </c>
      <c r="B22" s="254" t="s">
        <v>25</v>
      </c>
      <c r="C22" s="254"/>
      <c r="D22" s="254" t="s">
        <v>20</v>
      </c>
      <c r="E22" s="254"/>
      <c r="F22" s="254" t="s">
        <v>40</v>
      </c>
      <c r="G22" s="254" t="s">
        <v>41</v>
      </c>
      <c r="H22" s="270">
        <v>331500</v>
      </c>
      <c r="I22" s="270">
        <v>43.05</v>
      </c>
      <c r="J22" s="270">
        <v>13948001.720000001</v>
      </c>
      <c r="K22" s="270">
        <v>13948001.720000001</v>
      </c>
      <c r="L22" s="270">
        <v>323073.28000000003</v>
      </c>
      <c r="M22" s="270">
        <v>0</v>
      </c>
      <c r="N22" s="270">
        <v>14271075</v>
      </c>
      <c r="O22" s="255">
        <v>3.0999999999999999E-3</v>
      </c>
      <c r="P22" s="1"/>
      <c r="Q22" s="1" t="str">
        <f t="shared" si="2"/>
        <v>Investments</v>
      </c>
      <c r="R22" s="9" t="str">
        <f>_xll.BDP(G22&amp;" Equity",$R$1)</f>
        <v>BBG000MKLJD1</v>
      </c>
      <c r="S22" s="1" t="str">
        <f>IF(Q22="Cash",Q22,IF(OR(Q22="Receivable Investments",Q22="Payable Investments"),"Cash Adjustments",_xll.BDP(R22&amp;" FIGI",$S$1)))</f>
        <v>EQUI</v>
      </c>
      <c r="T22" s="1" t="str">
        <f>IF(Q22="Cash",Q22,IF(OR(Q22="Receivable Investments",Q22="Payable Investments"),"Cash Adjustments",VLOOKUP(R22,LQA!E:S,3,0)))</f>
        <v>Equity</v>
      </c>
      <c r="U22" s="1" t="str">
        <f>IF(Q22="Cash",Q22,IF(OR(Q22="Receivable Investments",Q22="Payable Investments"),"Cash Adjustments",_xll.BDP(R22&amp;" FIGI",$U$1)))</f>
        <v>Common Stock</v>
      </c>
      <c r="V22" s="10">
        <f>IF(OR(Q22="Cash",Q22="Receivable Investments",Q22="Payable Investments"),0,IF(Q22="Investments",VLOOKUP(R22,LQA!E:Q,12,0),"Not Covered"))</f>
        <v>1.6</v>
      </c>
      <c r="W22" s="76">
        <f>IF(OR(Q22="Cash",Q22="Receivable Investments",Q22="Payable Investments"),0,IF(Q22="Investments",VLOOKUP(R22,LQA!E:Q,9,0),"Not Covered"))</f>
        <v>1.6282999999999999E-2</v>
      </c>
      <c r="X22" s="13" t="str">
        <f>IF(OR(H22=0,T22="Comdty"),"High",IF(V22&lt;='Liquidity Bucket'!$A$4,'Liquidity Bucket'!$I$4,IF(V22&lt;='Liquidity Bucket'!$A$5,'Liquidity Bucket'!$I$5,IF(V22&lt;='Liquidity Bucket'!$A$6,'Liquidity Bucket'!$I$6,IF(V22='Liquidity Bucket'!$A$8,'Liquidity Bucket'!$I$8,'Liquidity Bucket'!$I$7)))))</f>
        <v>High</v>
      </c>
      <c r="Y22" s="153">
        <f>IF(OR(Q22="Cash",Q22="Receivable Investments",Q22="Payable Investments"),0,IF(Q22="Investments",VLOOKUP(R22,'LQA Stress'!E:Q,12,0),"Not Covered"))</f>
        <v>4.2</v>
      </c>
      <c r="Z22" s="75">
        <f>IF(OR(Q22="Cash",Q22="Receivable Investments",Q22="Payable Investments"),0,IF(Q22="Investments",VLOOKUP(R22,'LQA Stress'!E:Q,9,0),"Not Covered"))</f>
        <v>2.8695999999999999E-2</v>
      </c>
      <c r="AA22" s="13" t="str">
        <f>IF(T22="Comdty","High",IF(Y22&lt;='Liquidity Bucket'!$A$4,'Liquidity Bucket'!$I$4,IF(Y22&lt;='Liquidity Bucket'!$A$5,'Liquidity Bucket'!$I$5,IF(Y22&lt;='Liquidity Bucket'!$A$6,'Liquidity Bucket'!$I$6,IF(Y22='Liquidity Bucket'!$A$8,'Liquidity Bucket'!$I$8,'Liquidity Bucket'!$I$7)))))</f>
        <v>Medium</v>
      </c>
      <c r="AB22" s="14">
        <f>(N22+M22)/'FX Rates'!$C$5</f>
        <v>1840953.9473684211</v>
      </c>
      <c r="AC22" s="15" t="str">
        <f>IF(X22="Not Covered", (H22/_xll.BDP(R22&amp;" FIGI",$AC$1)),"")</f>
        <v/>
      </c>
      <c r="AD22" s="16" t="str">
        <f>IF(X22="Not Covered", _xll.BDP(R22&amp;" FIGI",$AD$1),"")</f>
        <v/>
      </c>
      <c r="AE22" s="16" t="str">
        <f>IF(OR(T22="Corp",T22="Govt"),IF(_xll.BDP(R22&amp;" FIGI",$AE$1)="#N/A N/A","",_xll.BDP(R22&amp;" FIGI",$AE$1)),"")</f>
        <v/>
      </c>
      <c r="AF22" s="1" t="str">
        <f>IF(OR(T22="Corp",T22="Govt"),IF(_xll.BDP(R22&amp;" FIGI",$AF$1)="#N/A N/A","",_xll.BDP(R22&amp;" FIGI",$AF$1)),"")</f>
        <v/>
      </c>
      <c r="AG22" s="16" t="str">
        <f>IF(OR(T22="Corp",T22="Govt"),IF(_xll.BDP(R22&amp;" FIGI",$AG$1)="#N/A N/A","",_xll.BDP(R22&amp;" FIGI",$AG$1)),"")</f>
        <v/>
      </c>
      <c r="AH22" s="125">
        <f>IF(OR(S22="Cash",S22="M-Mkt"),21,IF(AE22="",0,VLOOKUP(AE22,'Rating Scale'!A:B,2,0)))</f>
        <v>0</v>
      </c>
      <c r="AI22" s="125">
        <f>IF(OR(S22="Cash",S22="M-Mkt"),21,IF(AF22="",0,VLOOKUP(AF22,'Rating Scale'!D:E,2,0)))</f>
        <v>0</v>
      </c>
      <c r="AJ22" s="125">
        <f>IF(OR(S22="Cash",S22="M-Mkt"),21,IF(AG22="",0,VLOOKUP(AG22,'Rating Scale'!G:H,2,0)))</f>
        <v>0</v>
      </c>
      <c r="AK22">
        <f t="shared" si="3"/>
        <v>0</v>
      </c>
      <c r="AL22" s="1" t="str">
        <f>IF(OR(U22="Cash",U22="Cash Adjustments"),_xll.BDP(G22&amp;" Curncy","Country"),IF(T22="Equity",_xll.BDP(R22&amp;" FIGI","CNTRY_ISSUE_ISO"),_xll.BDP(R22&amp;" FIGI",$AL$1)))</f>
        <v>HK</v>
      </c>
      <c r="AM22" s="126" t="str">
        <f>IF(OR(T22="Cash",T22="Cash Adjustments",T22="M-Mkt"), T22, IF(T22="Comdty",AS22, _xll.BDP(R22&amp;" FIGI", $AM$1)))</f>
        <v>Industrial</v>
      </c>
      <c r="AN22" s="126" t="str">
        <f>IF(OR(T22="Cash",T22="Cash Adjustments",T22="M-Mkt"), T22,  IF(T22="Comdty",AS22,_xll.BDP(R22&amp;" FIGI", $AN$1)))</f>
        <v>Transportation</v>
      </c>
      <c r="AO22" s="126" t="str">
        <f>IF(OR(T22="Cash",T22="Cash Adjustments",T22="M-Mkt"), T22,  IF(T22="Comdty",AS22,_xll.BDP(R22&amp;" FIGI", $AO$1)))</f>
        <v>Transport-Rail</v>
      </c>
      <c r="AP22" s="13" t="str">
        <f>IF(OR(T22="Cash",T22="Cash Adjustments"), T22, IF(_xll.BDP(R22&amp;" FIGI", $AP$1)="#N/A Field Not Applicable","N",_xll.BDP(R22&amp;" FIGI", $AP$1)))</f>
        <v>N</v>
      </c>
      <c r="AQ22" s="1" t="str">
        <f>IF(OR(T22="Cash",T22="Cash Adjustments"), T22, IF(_xll.BDP(R22&amp;" FIGI", $AQ$1)="#N/A Field Not Applicable"," ",_xll.BDP(R22&amp;" FIGI", $AQ$1)))</f>
        <v xml:space="preserve"> </v>
      </c>
      <c r="AR22" s="1" t="str">
        <f>IF(OR(T22="Cash",T22="Cash Adjustments"), T22, IF(_xll.BDP(R22&amp;" FIGI", $AR$1)="#N/A Field Not Applicable"," ",_xll.BDP(R22&amp;" FIGI", $AR$1)))</f>
        <v>ACTV</v>
      </c>
      <c r="AS22" s="1" t="str">
        <f>VLOOKUP(T22,'SFC Classifcation'!$F$2:$H$7,3,0)</f>
        <v>Equity</v>
      </c>
      <c r="AT22" s="22" t="str">
        <f t="shared" si="0"/>
        <v>Non-Financial</v>
      </c>
      <c r="AU22" s="1" t="str">
        <f t="shared" si="4"/>
        <v/>
      </c>
      <c r="AV22" s="1" t="str">
        <f>IF(OR(T22="Cash",T22="Cash Adjustments"),T22,VLOOKUP(AL22,'SFC Classifcation'!$A:$C,3,0))</f>
        <v>Hong Kong</v>
      </c>
      <c r="AW22" s="22" t="str">
        <f t="shared" si="5"/>
        <v>High</v>
      </c>
      <c r="AX22" s="22" t="str">
        <f t="shared" si="6"/>
        <v>Medium</v>
      </c>
      <c r="AY22" s="45" t="str">
        <f>IF(OR(T22="Cash",T22="Cash Adjustments"), T22, _xll.BDP(R22&amp;" FIGI", $AY$1))</f>
        <v>Industrials</v>
      </c>
      <c r="AZ22" s="45" t="str">
        <f>IF(OR(T22="Cash",T22="Cash Adjustments"), T22, _xll.BDP(R22&amp;" FIGI", $AZ$1))</f>
        <v>Transport-Rail</v>
      </c>
      <c r="BA22" s="45" t="str">
        <f>IF(OR(T22="Cash",T22="Cash Adjustments"), T22, _xll.BDP(R22&amp;" FIGI", $BA$1))</f>
        <v>#N/A Field Not Applicable</v>
      </c>
      <c r="BB22" s="45" t="str">
        <f>IF(OR(AS22="Government",AS22="Corporate"),(AK22*AB22/'SFC Report'!$C$20),"")</f>
        <v/>
      </c>
      <c r="BC22" s="174" t="str">
        <f>IF(OR(T22="Cash",T22="Cash Adjustments", T22="FX Forward", T22="Repo", T22="Equity", T22="M-Mkt"), "", _xll.BDP(R22&amp;" FIGI", $BC$1))</f>
        <v/>
      </c>
      <c r="BD22" s="125" t="str">
        <f>IF(OR(T22="Cash",T22="Cash Adjustments",T22="FX Forward",T22="Repo", T22="Equity", T22="M-Mkt"),"",(BC22-'SFC Report'!$B$13)/365)</f>
        <v/>
      </c>
      <c r="BE22" s="82" t="str">
        <f>IF(BC22&lt;&gt;0,MaturityBucket(BD22),"")</f>
        <v/>
      </c>
      <c r="BF22" s="5" t="str">
        <f>IF(BC22="","",BD22*AB22/'SFC Report'!$C$20)</f>
        <v/>
      </c>
      <c r="BG22" s="14" t="str" cm="1">
        <f t="array" ref="BG22">IF(OR(AS22="Corporate",AS22="Government"),_xll.BDP(G22&amp;" ISIN", $BG$1),"")</f>
        <v/>
      </c>
      <c r="BH22" s="140" t="str">
        <f>IF(OR(AS22="Corporate",AS22="Government"),BG22*BN22/'SFC Report'!$C$20,"")</f>
        <v/>
      </c>
      <c r="BI22" s="140" t="str">
        <f>IF(OR(AS22="Corporate",AS22="Government"),_xll.BDP(G22&amp;" ISIN", $BI$1),"")</f>
        <v/>
      </c>
      <c r="BJ22" s="140" t="str">
        <f>IF(OR(AS22="Corporate",AS22="Government"),BI22*AB22/'SFC Report'!$C$20,"")</f>
        <v/>
      </c>
      <c r="BK22" s="153" t="str">
        <f>IF(OR(T22="Cash",T22="Cash Adjustments"),"-",_xll.BDP(R22&amp;" FIGI",$BK$1))</f>
        <v>HK0066009694</v>
      </c>
      <c r="BL22" s="11" t="str">
        <f>IF(OR(AS22="Cash", AS22="Cash Adjustments"),"-",IF(ISNA(VLOOKUP(BK22,'BBG - VaR Data (Sample, Indus )'!C:N,5,0)),"-",VLOOKUP(BK22,'BBG - VaR Data (Sample, Indus )'!C:N,5,0)))</f>
        <v>-</v>
      </c>
      <c r="BM22" s="11">
        <f>IF(OR(AS22="Cash", AS22="Cash Adjustments"),"-",IF(ISNA(VLOOKUP(BK22,'BBG - Scenarios (Sample View)'!C:Z,14,0)),"-",VLOOKUP(BK22,'BBG - Scenarios (Sample View)'!C:Z,14,0)))</f>
        <v>-8.56</v>
      </c>
      <c r="BN22" s="14">
        <f t="shared" si="7"/>
        <v>1840953.9473684211</v>
      </c>
      <c r="BO22" s="1">
        <f t="shared" si="8"/>
        <v>3.6113052351404071E-3</v>
      </c>
      <c r="BP22" t="str">
        <f>IF(BC22&lt;&gt;0,MaturityBucket(BG22),"")</f>
        <v/>
      </c>
      <c r="BQ22" s="11" t="str">
        <f>IF(OR(T22="Cash",T22="Cash Adjustments"),T22,VLOOKUP(AL22,'SFC Classifcation'!$A:$C,2,0))</f>
        <v>Hong Kong</v>
      </c>
      <c r="BR22" s="1" t="str">
        <f>IF(S22="Bond",BH22/'SFC Report'!$B$7,"")</f>
        <v/>
      </c>
      <c r="BS22" t="str">
        <f>IF(OR(T22="Cash",T22="Cash Adjustments"),"-",_xll.BDP(R22&amp;" FIGI",$BS$1))</f>
        <v>#N/A Field Not Applicable</v>
      </c>
      <c r="BT22" t="str">
        <f>IF(OR(T22="Cash",T22="Cash Adjustments"),"-",_xll.BDP(R22&amp;" FIGI",$BT$1))</f>
        <v>#N/A Field Not Applicable</v>
      </c>
      <c r="BU22" t="str">
        <f>IF(OR(T22="Cash",T22="Cash Adjustments"),"-",_xll.BDP(R22&amp;" FIGI",$BU$1))</f>
        <v>#N/A Field Not Applicable</v>
      </c>
    </row>
    <row r="23" spans="1:73">
      <c r="A23" s="254" t="s">
        <v>15</v>
      </c>
      <c r="B23" s="254" t="s">
        <v>25</v>
      </c>
      <c r="C23" s="254"/>
      <c r="D23" s="254" t="s">
        <v>20</v>
      </c>
      <c r="E23" s="254"/>
      <c r="F23" s="254" t="s">
        <v>42</v>
      </c>
      <c r="G23" s="254" t="s">
        <v>43</v>
      </c>
      <c r="H23" s="270">
        <v>125000</v>
      </c>
      <c r="I23" s="270">
        <v>79.7</v>
      </c>
      <c r="J23" s="270">
        <v>10459443.83</v>
      </c>
      <c r="K23" s="270">
        <v>10459443.83</v>
      </c>
      <c r="L23" s="270">
        <v>-496943.83</v>
      </c>
      <c r="M23" s="270">
        <v>0</v>
      </c>
      <c r="N23" s="270">
        <v>9962500</v>
      </c>
      <c r="O23" s="255">
        <v>2.2000000000000001E-3</v>
      </c>
      <c r="P23" s="1"/>
      <c r="Q23" s="1" t="str">
        <f t="shared" si="2"/>
        <v>Investments</v>
      </c>
      <c r="R23" s="9" t="str">
        <f>_xll.BDP(G23&amp;" Equity",$R$1)</f>
        <v>BBG000GD4N44</v>
      </c>
      <c r="S23" s="1" t="str">
        <f>IF(Q23="Cash",Q23,IF(OR(Q23="Receivable Investments",Q23="Payable Investments"),"Cash Adjustments",_xll.BDP(R23&amp;" FIGI",$S$1)))</f>
        <v>EQUI</v>
      </c>
      <c r="T23" s="1" t="str">
        <f>IF(Q23="Cash",Q23,IF(OR(Q23="Receivable Investments",Q23="Payable Investments"),"Cash Adjustments",VLOOKUP(R23,LQA!E:S,3,0)))</f>
        <v>Equity</v>
      </c>
      <c r="U23" s="1" t="str">
        <f>IF(Q23="Cash",Q23,IF(OR(Q23="Receivable Investments",Q23="Payable Investments"),"Cash Adjustments",_xll.BDP(R23&amp;" FIGI",$U$1)))</f>
        <v>Common Stock</v>
      </c>
      <c r="V23" s="10">
        <f>IF(OR(Q23="Cash",Q23="Receivable Investments",Q23="Payable Investments"),0,IF(Q23="Investments",VLOOKUP(R23,LQA!E:Q,12,0),"Not Covered"))</f>
        <v>0.1</v>
      </c>
      <c r="W23" s="76">
        <f>IF(OR(Q23="Cash",Q23="Receivable Investments",Q23="Payable Investments"),0,IF(Q23="Investments",VLOOKUP(R23,LQA!E:Q,9,0),"Not Covered"))</f>
        <v>1.1383000000000001E-2</v>
      </c>
      <c r="X23" s="13" t="str">
        <f>IF(OR(H23=0,T23="Comdty"),"High",IF(V23&lt;='Liquidity Bucket'!$A$4,'Liquidity Bucket'!$I$4,IF(V23&lt;='Liquidity Bucket'!$A$5,'Liquidity Bucket'!$I$5,IF(V23&lt;='Liquidity Bucket'!$A$6,'Liquidity Bucket'!$I$6,IF(V23='Liquidity Bucket'!$A$8,'Liquidity Bucket'!$I$8,'Liquidity Bucket'!$I$7)))))</f>
        <v>High</v>
      </c>
      <c r="Y23" s="153">
        <f>IF(OR(Q23="Cash",Q23="Receivable Investments",Q23="Payable Investments"),0,IF(Q23="Investments",VLOOKUP(R23,'LQA Stress'!E:Q,12,0),"Not Covered"))</f>
        <v>0.3</v>
      </c>
      <c r="Z23" s="75">
        <f>IF(OR(Q23="Cash",Q23="Receivable Investments",Q23="Payable Investments"),0,IF(Q23="Investments",VLOOKUP(R23,'LQA Stress'!E:Q,9,0),"Not Covered"))</f>
        <v>2.0555E-2</v>
      </c>
      <c r="AA23" s="13" t="str">
        <f>IF(T23="Comdty","High",IF(Y23&lt;='Liquidity Bucket'!$A$4,'Liquidity Bucket'!$I$4,IF(Y23&lt;='Liquidity Bucket'!$A$5,'Liquidity Bucket'!$I$5,IF(Y23&lt;='Liquidity Bucket'!$A$6,'Liquidity Bucket'!$I$6,IF(Y23='Liquidity Bucket'!$A$8,'Liquidity Bucket'!$I$8,'Liquidity Bucket'!$I$7)))))</f>
        <v>High</v>
      </c>
      <c r="AB23" s="14">
        <f>(N23+M23)/'FX Rates'!$C$5</f>
        <v>1285152.2187822498</v>
      </c>
      <c r="AC23" s="15" t="str">
        <f>IF(X23="Not Covered", (H23/_xll.BDP(R23&amp;" FIGI",$AC$1)),"")</f>
        <v/>
      </c>
      <c r="AD23" s="16" t="str">
        <f>IF(X23="Not Covered", _xll.BDP(R23&amp;" FIGI",$AD$1),"")</f>
        <v/>
      </c>
      <c r="AE23" s="16" t="str">
        <f>IF(OR(T23="Corp",T23="Govt"),IF(_xll.BDP(R23&amp;" FIGI",$AE$1)="#N/A N/A","",_xll.BDP(R23&amp;" FIGI",$AE$1)),"")</f>
        <v/>
      </c>
      <c r="AF23" s="1" t="str">
        <f>IF(OR(T23="Corp",T23="Govt"),IF(_xll.BDP(R23&amp;" FIGI",$AF$1)="#N/A N/A","",_xll.BDP(R23&amp;" FIGI",$AF$1)),"")</f>
        <v/>
      </c>
      <c r="AG23" s="16" t="str">
        <f>IF(OR(T23="Corp",T23="Govt"),IF(_xll.BDP(R23&amp;" FIGI",$AG$1)="#N/A N/A","",_xll.BDP(R23&amp;" FIGI",$AG$1)),"")</f>
        <v/>
      </c>
      <c r="AH23" s="125">
        <f>IF(OR(S23="Cash",S23="M-Mkt"),21,IF(AE23="",0,VLOOKUP(AE23,'Rating Scale'!A:B,2,0)))</f>
        <v>0</v>
      </c>
      <c r="AI23" s="125">
        <f>IF(OR(S23="Cash",S23="M-Mkt"),21,IF(AF23="",0,VLOOKUP(AF23,'Rating Scale'!D:E,2,0)))</f>
        <v>0</v>
      </c>
      <c r="AJ23" s="125">
        <f>IF(OR(S23="Cash",S23="M-Mkt"),21,IF(AG23="",0,VLOOKUP(AG23,'Rating Scale'!G:H,2,0)))</f>
        <v>0</v>
      </c>
      <c r="AK23">
        <f t="shared" si="3"/>
        <v>0</v>
      </c>
      <c r="AL23" s="1" t="str">
        <f>IF(OR(U23="Cash",U23="Cash Adjustments"),_xll.BDP(G23&amp;" Curncy","Country"),IF(T23="Equity",_xll.BDP(R23&amp;" FIGI","CNTRY_ISSUE_ISO"),_xll.BDP(R23&amp;" FIGI",$AL$1)))</f>
        <v>HK</v>
      </c>
      <c r="AM23" s="126" t="str">
        <f>IF(OR(T23="Cash",T23="Cash Adjustments",T23="M-Mkt"), T23, IF(T23="Comdty",AS23, _xll.BDP(R23&amp;" FIGI", $AM$1)))</f>
        <v>Financial</v>
      </c>
      <c r="AN23" s="126" t="str">
        <f>IF(OR(T23="Cash",T23="Cash Adjustments",T23="M-Mkt"), T23,  IF(T23="Comdty",AS23,_xll.BDP(R23&amp;" FIGI", $AN$1)))</f>
        <v>Insurance</v>
      </c>
      <c r="AO23" s="126" t="str">
        <f>IF(OR(T23="Cash",T23="Cash Adjustments",T23="M-Mkt"), T23,  IF(T23="Comdty",AS23,_xll.BDP(R23&amp;" FIGI", $AO$1)))</f>
        <v>Multi-line Insurance</v>
      </c>
      <c r="AP23" s="13" t="str">
        <f>IF(OR(T23="Cash",T23="Cash Adjustments"), T23, IF(_xll.BDP(R23&amp;" FIGI", $AP$1)="#N/A Field Not Applicable","N",_xll.BDP(R23&amp;" FIGI", $AP$1)))</f>
        <v>N</v>
      </c>
      <c r="AQ23" s="1" t="str">
        <f>IF(OR(T23="Cash",T23="Cash Adjustments"), T23, IF(_xll.BDP(R23&amp;" FIGI", $AQ$1)="#N/A Field Not Applicable"," ",_xll.BDP(R23&amp;" FIGI", $AQ$1)))</f>
        <v xml:space="preserve"> </v>
      </c>
      <c r="AR23" s="1" t="str">
        <f>IF(OR(T23="Cash",T23="Cash Adjustments"), T23, IF(_xll.BDP(R23&amp;" FIGI", $AR$1)="#N/A Field Not Applicable"," ",_xll.BDP(R23&amp;" FIGI", $AR$1)))</f>
        <v>ACTV</v>
      </c>
      <c r="AS23" s="1" t="str">
        <f>VLOOKUP(T23,'SFC Classifcation'!$F$2:$H$7,3,0)</f>
        <v>Equity</v>
      </c>
      <c r="AT23" s="22" t="str">
        <f t="shared" si="0"/>
        <v>Financial</v>
      </c>
      <c r="AU23" s="1" t="str">
        <f t="shared" si="4"/>
        <v/>
      </c>
      <c r="AV23" s="1" t="str">
        <f>IF(OR(T23="Cash",T23="Cash Adjustments"),T23,VLOOKUP(AL23,'SFC Classifcation'!$A:$C,3,0))</f>
        <v>Hong Kong</v>
      </c>
      <c r="AW23" s="22" t="str">
        <f t="shared" si="5"/>
        <v>High</v>
      </c>
      <c r="AX23" s="22" t="str">
        <f t="shared" si="6"/>
        <v>High</v>
      </c>
      <c r="AY23" s="45" t="str">
        <f>IF(OR(T23="Cash",T23="Cash Adjustments"), T23, _xll.BDP(R23&amp;" FIGI", $AY$1))</f>
        <v>Financials</v>
      </c>
      <c r="AZ23" s="45" t="str">
        <f>IF(OR(T23="Cash",T23="Cash Adjustments"), T23, _xll.BDP(R23&amp;" FIGI", $AZ$1))</f>
        <v>Multi-line Insurance</v>
      </c>
      <c r="BA23" s="45" t="str">
        <f>IF(OR(T23="Cash",T23="Cash Adjustments"), T23, _xll.BDP(R23&amp;" FIGI", $BA$1))</f>
        <v>#N/A Field Not Applicable</v>
      </c>
      <c r="BB23" s="16" t="str">
        <f>IF(OR(AS23="Government",AS23="Corporate"),(AK23*AB23/'SFC Report'!$C$20),"")</f>
        <v/>
      </c>
      <c r="BC23" s="174" t="str">
        <f>IF(OR(T23="Cash",T23="Cash Adjustments", T23="FX Forward", T23="Repo", T23="Equity", T23="M-Mkt"), "", _xll.BDP(R23&amp;" FIGI", $BC$1))</f>
        <v/>
      </c>
      <c r="BD23" s="125" t="str">
        <f>IF(OR(T23="Cash",T23="Cash Adjustments",T23="FX Forward",T23="Repo", T23="Equity", T23="M-Mkt"),"",(BC23-'SFC Report'!$B$13)/365)</f>
        <v/>
      </c>
      <c r="BE23" s="82" t="str">
        <f>IF(BC23&lt;&gt;0,MaturityBucket(BD23),"")</f>
        <v/>
      </c>
      <c r="BF23" s="5" t="str">
        <f>IF(BC23="","",BD23*AB23/'SFC Report'!$C$20)</f>
        <v/>
      </c>
      <c r="BG23" s="14" t="str" cm="1">
        <f t="array" ref="BG23">IF(OR(AS23="Corporate",AS23="Government"),_xll.BDP(G23&amp;" ISIN", $BG$1),"")</f>
        <v/>
      </c>
      <c r="BH23" s="140" t="str">
        <f>IF(OR(AS23="Corporate",AS23="Government"),BG23*BN23/'SFC Report'!$C$20,"")</f>
        <v/>
      </c>
      <c r="BI23" s="140" t="str">
        <f>IF(OR(AS23="Corporate",AS23="Government"),_xll.BDP(G23&amp;" ISIN", $BI$1),"")</f>
        <v/>
      </c>
      <c r="BJ23" s="140" t="str">
        <f>IF(OR(AS23="Corporate",AS23="Government"),BI23*AB23/'SFC Report'!$C$20,"")</f>
        <v/>
      </c>
      <c r="BK23" s="153" t="str">
        <f>IF(OR(T23="Cash",T23="Cash Adjustments"),"-",_xll.BDP(R23&amp;" FIGI",$BK$1))</f>
        <v>CNE1000003X6</v>
      </c>
      <c r="BL23" s="11" t="str">
        <f>IF(OR(AS23="Cash", AS23="Cash Adjustments"),"-",IF(ISNA(VLOOKUP(BK23,'BBG - VaR Data (Sample, Indus )'!C:N,5,0)),"-",VLOOKUP(BK23,'BBG - VaR Data (Sample, Indus )'!C:N,5,0)))</f>
        <v>-</v>
      </c>
      <c r="BM23" s="11">
        <f>IF(OR(AS23="Cash", AS23="Cash Adjustments"),"-",IF(ISNA(VLOOKUP(BK23,'BBG - Scenarios (Sample View)'!C:Z,14,0)),"-",VLOOKUP(BK23,'BBG - Scenarios (Sample View)'!C:Z,14,0)))</f>
        <v>-9.9600000000000009</v>
      </c>
      <c r="BN23" s="14">
        <f t="shared" si="7"/>
        <v>1285152.2187822498</v>
      </c>
      <c r="BO23" s="1">
        <f t="shared" si="8"/>
        <v>2.5210174009376524E-3</v>
      </c>
      <c r="BP23" t="str">
        <f>IF(BC23&lt;&gt;0,MaturityBucket(BG23),"")</f>
        <v/>
      </c>
      <c r="BQ23" s="11" t="str">
        <f>IF(OR(T23="Cash",T23="Cash Adjustments"),T23,VLOOKUP(AL23,'SFC Classifcation'!$A:$C,2,0))</f>
        <v>Hong Kong</v>
      </c>
      <c r="BR23" s="1" t="str">
        <f>IF(S23="Bond",BH23/'SFC Report'!$B$7,"")</f>
        <v/>
      </c>
      <c r="BS23" t="str">
        <f>IF(OR(T23="Cash",T23="Cash Adjustments"),"-",_xll.BDP(R23&amp;" FIGI",$BS$1))</f>
        <v>#N/A Field Not Applicable</v>
      </c>
      <c r="BT23" t="str">
        <f>IF(OR(T23="Cash",T23="Cash Adjustments"),"-",_xll.BDP(R23&amp;" FIGI",$BT$1))</f>
        <v>#N/A Field Not Applicable</v>
      </c>
      <c r="BU23" t="str">
        <f>IF(OR(T23="Cash",T23="Cash Adjustments"),"-",_xll.BDP(R23&amp;" FIGI",$BU$1))</f>
        <v>#N/A Field Not Applicable</v>
      </c>
    </row>
    <row r="24" spans="1:73">
      <c r="A24" s="254" t="s">
        <v>15</v>
      </c>
      <c r="B24" s="254" t="s">
        <v>25</v>
      </c>
      <c r="C24" s="254"/>
      <c r="D24" s="254" t="s">
        <v>20</v>
      </c>
      <c r="E24" s="254"/>
      <c r="F24" s="254" t="s">
        <v>44</v>
      </c>
      <c r="G24" s="254" t="s">
        <v>45</v>
      </c>
      <c r="H24" s="270">
        <v>100000</v>
      </c>
      <c r="I24" s="270">
        <v>51.85</v>
      </c>
      <c r="J24" s="270">
        <v>5320129.91</v>
      </c>
      <c r="K24" s="270">
        <v>5320129.91</v>
      </c>
      <c r="L24" s="270">
        <v>-135129.91</v>
      </c>
      <c r="M24" s="270">
        <v>0</v>
      </c>
      <c r="N24" s="270">
        <v>5185000</v>
      </c>
      <c r="O24" s="255">
        <v>1.1000000000000001E-3</v>
      </c>
      <c r="P24" s="1"/>
      <c r="Q24" s="1" t="str">
        <f t="shared" si="2"/>
        <v>Investments</v>
      </c>
      <c r="R24" s="9" t="str">
        <f>_xll.BDP(G24&amp;" Equity",$R$1)</f>
        <v>BBG000BDWNL9</v>
      </c>
      <c r="S24" s="1" t="str">
        <f>IF(Q24="Cash",Q24,IF(OR(Q24="Receivable Investments",Q24="Payable Investments"),"Cash Adjustments",_xll.BDP(R24&amp;" FIGI",$S$1)))</f>
        <v>EQUI</v>
      </c>
      <c r="T24" s="1" t="str">
        <f>IF(Q24="Cash",Q24,IF(OR(Q24="Receivable Investments",Q24="Payable Investments"),"Cash Adjustments",VLOOKUP(R24,LQA!E:S,3,0)))</f>
        <v>Equity</v>
      </c>
      <c r="U24" s="1" t="str">
        <f>IF(Q24="Cash",Q24,IF(OR(Q24="Receivable Investments",Q24="Payable Investments"),"Cash Adjustments",_xll.BDP(R24&amp;" FIGI",$U$1)))</f>
        <v>Common Stock</v>
      </c>
      <c r="V24" s="10">
        <f>IF(OR(Q24="Cash",Q24="Receivable Investments",Q24="Payable Investments"),0,IF(Q24="Investments",VLOOKUP(R24,LQA!E:Q,12,0),"Not Covered"))</f>
        <v>0.7</v>
      </c>
      <c r="W24" s="76">
        <f>IF(OR(Q24="Cash",Q24="Receivable Investments",Q24="Payable Investments"),0,IF(Q24="Investments",VLOOKUP(R24,LQA!E:Q,9,0),"Not Covered"))</f>
        <v>1.6961E-2</v>
      </c>
      <c r="X24" s="13" t="str">
        <f>IF(OR(H24=0,T24="Comdty"),"High",IF(V24&lt;='Liquidity Bucket'!$A$4,'Liquidity Bucket'!$I$4,IF(V24&lt;='Liquidity Bucket'!$A$5,'Liquidity Bucket'!$I$5,IF(V24&lt;='Liquidity Bucket'!$A$6,'Liquidity Bucket'!$I$6,IF(V24='Liquidity Bucket'!$A$8,'Liquidity Bucket'!$I$8,'Liquidity Bucket'!$I$7)))))</f>
        <v>High</v>
      </c>
      <c r="Y24" s="153">
        <f>IF(OR(Q24="Cash",Q24="Receivable Investments",Q24="Payable Investments"),0,IF(Q24="Investments",VLOOKUP(R24,'LQA Stress'!E:Q,12,0),"Not Covered"))</f>
        <v>1.6</v>
      </c>
      <c r="Z24" s="75">
        <f>IF(OR(Q24="Cash",Q24="Receivable Investments",Q24="Payable Investments"),0,IF(Q24="Investments",VLOOKUP(R24,'LQA Stress'!E:Q,9,0),"Not Covered"))</f>
        <v>3.0074E-2</v>
      </c>
      <c r="AA24" s="13" t="str">
        <f>IF(T24="Comdty","High",IF(Y24&lt;='Liquidity Bucket'!$A$4,'Liquidity Bucket'!$I$4,IF(Y24&lt;='Liquidity Bucket'!$A$5,'Liquidity Bucket'!$I$5,IF(Y24&lt;='Liquidity Bucket'!$A$6,'Liquidity Bucket'!$I$6,IF(Y24='Liquidity Bucket'!$A$8,'Liquidity Bucket'!$I$8,'Liquidity Bucket'!$I$7)))))</f>
        <v>High</v>
      </c>
      <c r="AB24" s="14">
        <f>(N24+M24)/'FX Rates'!$C$5</f>
        <v>668859.64912280708</v>
      </c>
      <c r="AC24" s="15" t="str">
        <f>IF(X24="Not Covered", (H24/_xll.BDP(R24&amp;" FIGI",$AC$1)),"")</f>
        <v/>
      </c>
      <c r="AD24" s="16" t="str">
        <f>IF(X24="Not Covered", _xll.BDP(R24&amp;" FIGI",$AD$1),"")</f>
        <v/>
      </c>
      <c r="AE24" s="16" t="str">
        <f>IF(OR(T24="Corp",T24="Govt"),IF(_xll.BDP(R24&amp;" FIGI",$AE$1)="#N/A N/A","",_xll.BDP(R24&amp;" FIGI",$AE$1)),"")</f>
        <v/>
      </c>
      <c r="AF24" s="1" t="str">
        <f>IF(OR(T24="Corp",T24="Govt"),IF(_xll.BDP(R24&amp;" FIGI",$AF$1)="#N/A N/A","",_xll.BDP(R24&amp;" FIGI",$AF$1)),"")</f>
        <v/>
      </c>
      <c r="AG24" s="16" t="str">
        <f>IF(OR(T24="Corp",T24="Govt"),IF(_xll.BDP(R24&amp;" FIGI",$AG$1)="#N/A N/A","",_xll.BDP(R24&amp;" FIGI",$AG$1)),"")</f>
        <v/>
      </c>
      <c r="AH24" s="125">
        <f>IF(OR(S24="Cash",S24="M-Mkt"),21,IF(AE24="",0,VLOOKUP(AE24,'Rating Scale'!A:B,2,0)))</f>
        <v>0</v>
      </c>
      <c r="AI24" s="125">
        <f>IF(OR(S24="Cash",S24="M-Mkt"),21,IF(AF24="",0,VLOOKUP(AF24,'Rating Scale'!D:E,2,0)))</f>
        <v>0</v>
      </c>
      <c r="AJ24" s="125">
        <f>IF(OR(S24="Cash",S24="M-Mkt"),21,IF(AG24="",0,VLOOKUP(AG24,'Rating Scale'!G:H,2,0)))</f>
        <v>0</v>
      </c>
      <c r="AK24">
        <f>Rating(AH24,AI24,AJ24)</f>
        <v>0</v>
      </c>
      <c r="AL24" s="1" t="str">
        <f>IF(OR(U24="Cash",U24="Cash Adjustments"),_xll.BDP(G24&amp;" Curncy","Country"),IF(T24="Equity",_xll.BDP(R24&amp;" FIGI","CNTRY_ISSUE_ISO"),_xll.BDP(R24&amp;" FIGI",$AL$1)))</f>
        <v>HK</v>
      </c>
      <c r="AM24" s="126" t="str">
        <f>IF(OR(T24="Cash",T24="Cash Adjustments",T24="M-Mkt"), T24, IF(T24="Comdty",AS24, _xll.BDP(R24&amp;" FIGI", $AM$1)))</f>
        <v>Utilities</v>
      </c>
      <c r="AN24" s="126" t="str">
        <f>IF(OR(T24="Cash",T24="Cash Adjustments",T24="M-Mkt"), T24,  IF(T24="Comdty",AS24,_xll.BDP(R24&amp;" FIGI", $AN$1)))</f>
        <v>Electric</v>
      </c>
      <c r="AO24" s="126" t="str">
        <f>IF(OR(T24="Cash",T24="Cash Adjustments",T24="M-Mkt"), T24,  IF(T24="Comdty",AS24,_xll.BDP(R24&amp;" FIGI", $AO$1)))</f>
        <v>Electric-Integrated</v>
      </c>
      <c r="AP24" s="13" t="str">
        <f>IF(OR(T24="Cash",T24="Cash Adjustments"), T24, IF(_xll.BDP(R24&amp;" FIGI", $AP$1)="#N/A Field Not Applicable","N",_xll.BDP(R24&amp;" FIGI", $AP$1)))</f>
        <v>N</v>
      </c>
      <c r="AQ24" s="1" t="str">
        <f>IF(OR(T24="Cash",T24="Cash Adjustments"), T24, IF(_xll.BDP(R24&amp;" FIGI", $AQ$1)="#N/A Field Not Applicable"," ",_xll.BDP(R24&amp;" FIGI", $AQ$1)))</f>
        <v xml:space="preserve"> </v>
      </c>
      <c r="AR24" s="1" t="str">
        <f>IF(OR(T24="Cash",T24="Cash Adjustments"), T24, IF(_xll.BDP(R24&amp;" FIGI", $AR$1)="#N/A Field Not Applicable"," ",_xll.BDP(R24&amp;" FIGI", $AR$1)))</f>
        <v>ACTV</v>
      </c>
      <c r="AS24" s="1" t="str">
        <f>VLOOKUP(T24,'SFC Classifcation'!$F$2:$H$7,3,0)</f>
        <v>Equity</v>
      </c>
      <c r="AT24" s="22" t="str">
        <f t="shared" si="0"/>
        <v>Non-Financial</v>
      </c>
      <c r="AU24" s="1" t="str">
        <f t="shared" si="4"/>
        <v/>
      </c>
      <c r="AV24" s="1" t="str">
        <f>IF(OR(T24="Cash",T24="Cash Adjustments"),T24,VLOOKUP(AL24,'SFC Classifcation'!$A:$C,3,0))</f>
        <v>Hong Kong</v>
      </c>
      <c r="AW24" s="22" t="str">
        <f t="shared" si="5"/>
        <v>High</v>
      </c>
      <c r="AX24" s="22" t="str">
        <f t="shared" si="6"/>
        <v>High</v>
      </c>
      <c r="AY24" s="45" t="str">
        <f>IF(OR(T24="Cash",T24="Cash Adjustments"), T24, _xll.BDP(R24&amp;" FIGI", $AY$1))</f>
        <v>Utilities</v>
      </c>
      <c r="AZ24" s="45" t="str">
        <f>IF(OR(T24="Cash",T24="Cash Adjustments"), T24, _xll.BDP(R24&amp;" FIGI", $AZ$1))</f>
        <v>Electric-Integrated</v>
      </c>
      <c r="BA24" s="45" t="str">
        <f>IF(OR(T24="Cash",T24="Cash Adjustments"), T24, _xll.BDP(R24&amp;" FIGI", $BA$1))</f>
        <v>#N/A Field Not Applicable</v>
      </c>
      <c r="BB24" s="16" t="str">
        <f>IF(OR(AS24="Government",AS24="Corporate"),(AK24*AB24/'SFC Report'!$C$20),"")</f>
        <v/>
      </c>
      <c r="BC24" s="174" t="str">
        <f>IF(OR(T24="Cash",T24="Cash Adjustments", T24="FX Forward", T24="Repo", T24="Equity", T24="M-Mkt"), "", _xll.BDP(R24&amp;" FIGI", $BC$1))</f>
        <v/>
      </c>
      <c r="BD24" s="125" t="str">
        <f>IF(OR(T24="Cash",T24="Cash Adjustments",T24="FX Forward",T24="Repo", T24="Equity", T24="M-Mkt"),"",(BC24-'SFC Report'!$B$13)/365)</f>
        <v/>
      </c>
      <c r="BE24" s="82" t="str">
        <f t="shared" ref="BE24:BE87" si="9">IF(BC24&lt;&gt;0,MaturityBucket(BD24),"")</f>
        <v/>
      </c>
      <c r="BF24" s="5" t="str">
        <f>IF(BC24="","",BD24*AB24/'SFC Report'!$C$20)</f>
        <v/>
      </c>
      <c r="BG24" s="14" t="str" cm="1">
        <f t="array" ref="BG24">IF(OR(AS24="Corporate",AS24="Government"),_xll.BDP(G24&amp;" ISIN", $BG$1),"")</f>
        <v/>
      </c>
      <c r="BH24" s="140" t="str">
        <f>IF(OR(AS24="Corporate",AS24="Government"),BG24*BN24/'SFC Report'!$C$20,"")</f>
        <v/>
      </c>
      <c r="BI24" s="140" t="str">
        <f>IF(OR(AS24="Corporate",AS24="Government"),_xll.BDP(G24&amp;" ISIN", $BI$1),"")</f>
        <v/>
      </c>
      <c r="BJ24" s="140" t="str">
        <f>IF(OR(AS24="Corporate",AS24="Government"),BI24*AB24/'SFC Report'!$C$20,"")</f>
        <v/>
      </c>
      <c r="BK24" s="153" t="str">
        <f>IF(OR(T24="Cash",T24="Cash Adjustments"),"-",_xll.BDP(R24&amp;" FIGI",$BK$1))</f>
        <v>HK0006000050</v>
      </c>
      <c r="BL24" s="11" t="str">
        <f>IF(OR(AS24="Cash", AS24="Cash Adjustments"),"-",IF(ISNA(VLOOKUP(BK24,'BBG - VaR Data (Sample, Indus )'!C:N,5,0)),"-",VLOOKUP(BK24,'BBG - VaR Data (Sample, Indus )'!C:N,5,0)))</f>
        <v>-</v>
      </c>
      <c r="BM24" s="11">
        <f>IF(OR(AS24="Cash", AS24="Cash Adjustments"),"-",IF(ISNA(VLOOKUP(BK24,'BBG - Scenarios (Sample View)'!C:Z,14,0)),"-",VLOOKUP(BK24,'BBG - Scenarios (Sample View)'!C:Z,14,0)))</f>
        <v>-7.01</v>
      </c>
      <c r="BN24" s="14">
        <f t="shared" si="7"/>
        <v>668859.64912280708</v>
      </c>
      <c r="BO24" s="1">
        <f t="shared" si="8"/>
        <v>1.3120677765482286E-3</v>
      </c>
      <c r="BP24" t="str">
        <f>IF(BC24&lt;&gt;0,MaturityBucket(BG24),"")</f>
        <v/>
      </c>
      <c r="BQ24" s="11" t="str">
        <f>IF(OR(T24="Cash",T24="Cash Adjustments"),T24,VLOOKUP(AL24,'SFC Classifcation'!$A:$C,2,0))</f>
        <v>Hong Kong</v>
      </c>
      <c r="BR24" s="1" t="str">
        <f>IF(S24="Bond",BH24/'SFC Report'!$B$7,"")</f>
        <v/>
      </c>
      <c r="BS24" t="str">
        <f>IF(OR(T24="Cash",T24="Cash Adjustments"),"-",_xll.BDP(R24&amp;" FIGI",$BS$1))</f>
        <v>#N/A Field Not Applicable</v>
      </c>
      <c r="BT24" t="str">
        <f>IF(OR(T24="Cash",T24="Cash Adjustments"),"-",_xll.BDP(R24&amp;" FIGI",$BT$1))</f>
        <v>#N/A Field Not Applicable</v>
      </c>
      <c r="BU24" t="str">
        <f>IF(OR(T24="Cash",T24="Cash Adjustments"),"-",_xll.BDP(R24&amp;" FIGI",$BU$1))</f>
        <v>#N/A Field Not Applicable</v>
      </c>
    </row>
    <row r="25" spans="1:73">
      <c r="A25" s="254" t="s">
        <v>15</v>
      </c>
      <c r="B25" s="254" t="s">
        <v>25</v>
      </c>
      <c r="C25" s="254"/>
      <c r="D25" s="254" t="s">
        <v>20</v>
      </c>
      <c r="E25" s="254"/>
      <c r="F25" s="254" t="s">
        <v>792</v>
      </c>
      <c r="G25" s="254" t="s">
        <v>793</v>
      </c>
      <c r="H25" s="270">
        <v>43000</v>
      </c>
      <c r="I25" s="270">
        <v>417</v>
      </c>
      <c r="J25" s="270">
        <v>15311258.85</v>
      </c>
      <c r="K25" s="270">
        <v>15311258.85</v>
      </c>
      <c r="L25" s="270">
        <v>2619741.15</v>
      </c>
      <c r="M25" s="270">
        <v>0</v>
      </c>
      <c r="N25" s="270">
        <v>17931000</v>
      </c>
      <c r="O25" s="255">
        <v>3.8999999999999998E-3</v>
      </c>
      <c r="P25" s="1"/>
      <c r="Q25" s="1" t="str">
        <f t="shared" si="2"/>
        <v>Investments</v>
      </c>
      <c r="R25" s="9" t="str">
        <f>_xll.BDP(G25&amp;" Equity",$R$1)</f>
        <v>BBG000BJ35N5</v>
      </c>
      <c r="S25" s="1" t="str">
        <f>IF(Q25="Cash",Q25,IF(OR(Q25="Receivable Investments",Q25="Payable Investments"),"Cash Adjustments",_xll.BDP(R25&amp;" FIGI",$S$1)))</f>
        <v>EQUI</v>
      </c>
      <c r="T25" s="1" t="str">
        <f>IF(Q25="Cash",Q25,IF(OR(Q25="Receivable Investments",Q25="Payable Investments"),"Cash Adjustments",VLOOKUP(R25,LQA!E:S,3,0)))</f>
        <v>Equity</v>
      </c>
      <c r="U25" s="1" t="str">
        <f>IF(Q25="Cash",Q25,IF(OR(Q25="Receivable Investments",Q25="Payable Investments"),"Cash Adjustments",_xll.BDP(R25&amp;" FIGI",$U$1)))</f>
        <v>Common Stock</v>
      </c>
      <c r="V25" s="10">
        <f>IF(OR(Q25="Cash",Q25="Receivable Investments",Q25="Payable Investments"),0,IF(Q25="Investments",VLOOKUP(R25,LQA!E:Q,12,0),"Not Covered"))</f>
        <v>0.1</v>
      </c>
      <c r="W25" s="76">
        <f>IF(OR(Q25="Cash",Q25="Receivable Investments",Q25="Payable Investments"),0,IF(Q25="Investments",VLOOKUP(R25,LQA!E:Q,9,0),"Not Covered"))</f>
        <v>1.3261E-2</v>
      </c>
      <c r="X25" s="13" t="str">
        <f>IF(OR(H25=0,T25="Comdty"),"High",IF(V25&lt;='Liquidity Bucket'!$A$4,'Liquidity Bucket'!$I$4,IF(V25&lt;='Liquidity Bucket'!$A$5,'Liquidity Bucket'!$I$5,IF(V25&lt;='Liquidity Bucket'!$A$6,'Liquidity Bucket'!$I$6,IF(V25='Liquidity Bucket'!$A$8,'Liquidity Bucket'!$I$8,'Liquidity Bucket'!$I$7)))))</f>
        <v>High</v>
      </c>
      <c r="Y25" s="153">
        <f>IF(OR(Q25="Cash",Q25="Receivable Investments",Q25="Payable Investments"),0,IF(Q25="Investments",VLOOKUP(R25,'LQA Stress'!E:Q,12,0),"Not Covered"))</f>
        <v>0.2</v>
      </c>
      <c r="Z25" s="75">
        <f>IF(OR(Q25="Cash",Q25="Receivable Investments",Q25="Payable Investments"),0,IF(Q25="Investments",VLOOKUP(R25,'LQA Stress'!E:Q,9,0),"Not Covered"))</f>
        <v>2.3987999999999999E-2</v>
      </c>
      <c r="AA25" s="13" t="str">
        <f>IF(T25="Comdty","High",IF(Y25&lt;='Liquidity Bucket'!$A$4,'Liquidity Bucket'!$I$4,IF(Y25&lt;='Liquidity Bucket'!$A$5,'Liquidity Bucket'!$I$5,IF(Y25&lt;='Liquidity Bucket'!$A$6,'Liquidity Bucket'!$I$6,IF(Y25='Liquidity Bucket'!$A$8,'Liquidity Bucket'!$I$8,'Liquidity Bucket'!$I$7)))))</f>
        <v>High</v>
      </c>
      <c r="AB25" s="127">
        <f>(N25+M25)/'FX Rates'!$C$5</f>
        <v>2313080.4953560373</v>
      </c>
      <c r="AC25" s="15" t="str">
        <f>IF(X25="Not Covered", (H25/_xll.BDP(R25&amp;" FIGI",$AC$1)),"")</f>
        <v/>
      </c>
      <c r="AD25" s="16" t="str">
        <f>IF(X25="Not Covered", _xll.BDP(R25&amp;" FIGI",$AD$1),"")</f>
        <v/>
      </c>
      <c r="AE25" s="16" t="str">
        <f>IF(OR(T25="Corp",T25="Govt"),IF(_xll.BDP(R25&amp;" FIGI",$AE$1)="#N/A N/A","",_xll.BDP(R25&amp;" FIGI",$AE$1)),"")</f>
        <v/>
      </c>
      <c r="AF25" s="1" t="str">
        <f>IF(OR(T25="Corp",T25="Govt"),IF(_xll.BDP(R25&amp;" FIGI",$AF$1)="#N/A N/A","",_xll.BDP(R25&amp;" FIGI",$AF$1)),"")</f>
        <v/>
      </c>
      <c r="AG25" s="16" t="str">
        <f>IF(OR(T25="Corp",T25="Govt"),IF(_xll.BDP(R25&amp;" FIGI",$AG$1)="#N/A N/A","",_xll.BDP(R25&amp;" FIGI",$AG$1)),"")</f>
        <v/>
      </c>
      <c r="AH25" s="125">
        <f>IF(OR(S25="Cash",S25="M-Mkt"),21,IF(AE25="",0,VLOOKUP(AE25,'Rating Scale'!A:B,2,0)))</f>
        <v>0</v>
      </c>
      <c r="AI25" s="125">
        <f>IF(OR(S25="Cash",S25="M-Mkt"),21,IF(AF25="",0,VLOOKUP(AF25,'Rating Scale'!D:E,2,0)))</f>
        <v>0</v>
      </c>
      <c r="AJ25" s="125">
        <f>IF(OR(S25="Cash",S25="M-Mkt"),21,IF(AG25="",0,VLOOKUP(AG25,'Rating Scale'!G:H,2,0)))</f>
        <v>0</v>
      </c>
      <c r="AK25">
        <f t="shared" si="3"/>
        <v>0</v>
      </c>
      <c r="AL25" s="1" t="str">
        <f>IF(OR(U25="Cash",U25="Cash Adjustments"),_xll.BDP(G25&amp;" Curncy","Country"),IF(T25="Equity",_xll.BDP(R25&amp;" FIGI","CNTRY_ISSUE_ISO"),_xll.BDP(R25&amp;" FIGI",$AL$1)))</f>
        <v>HK</v>
      </c>
      <c r="AM25" s="126" t="str">
        <f>IF(OR(T25="Cash",T25="Cash Adjustments",T25="M-Mkt"), T25, IF(T25="Comdty",AS25, _xll.BDP(R25&amp;" FIGI", $AM$1)))</f>
        <v>Communications</v>
      </c>
      <c r="AN25" s="126" t="str">
        <f>IF(OR(T25="Cash",T25="Cash Adjustments",T25="M-Mkt"), T25,  IF(T25="Comdty",AS25,_xll.BDP(R25&amp;" FIGI", $AN$1)))</f>
        <v>Internet</v>
      </c>
      <c r="AO25" s="126" t="str">
        <f>IF(OR(T25="Cash",T25="Cash Adjustments",T25="M-Mkt"), T25,  IF(T25="Comdty",AS25,_xll.BDP(R25&amp;" FIGI", $AO$1)))</f>
        <v>Internet Content-Info/Ne</v>
      </c>
      <c r="AP25" s="13" t="str">
        <f>IF(OR(T25="Cash",T25="Cash Adjustments"), T25, IF(_xll.BDP(R25&amp;" FIGI", $AP$1)="#N/A Field Not Applicable","N",_xll.BDP(R25&amp;" FIGI", $AP$1)))</f>
        <v>N</v>
      </c>
      <c r="AQ25" s="1" t="str">
        <f>IF(OR(T25="Cash",T25="Cash Adjustments"), T25, IF(_xll.BDP(R25&amp;" FIGI", $AQ$1)="#N/A Field Not Applicable"," ",_xll.BDP(R25&amp;" FIGI", $AQ$1)))</f>
        <v xml:space="preserve"> </v>
      </c>
      <c r="AR25" s="1" t="str">
        <f>IF(OR(T25="Cash",T25="Cash Adjustments"), T25, IF(_xll.BDP(R25&amp;" FIGI", $AR$1)="#N/A Field Not Applicable"," ",_xll.BDP(R25&amp;" FIGI", $AR$1)))</f>
        <v>ACTV</v>
      </c>
      <c r="AS25" s="1" t="str">
        <f>VLOOKUP(T25,'SFC Classifcation'!$F$2:$H$7,3,0)</f>
        <v>Equity</v>
      </c>
      <c r="AT25" s="22" t="str">
        <f t="shared" si="0"/>
        <v>Non-Financial</v>
      </c>
      <c r="AU25" s="1" t="str">
        <f t="shared" si="4"/>
        <v/>
      </c>
      <c r="AV25" s="1" t="str">
        <f>IF(OR(T25="Cash",T25="Cash Adjustments"),T25,VLOOKUP(AL25,'SFC Classifcation'!$A:$C,3,0))</f>
        <v>Hong Kong</v>
      </c>
      <c r="AW25" s="22" t="str">
        <f t="shared" si="5"/>
        <v>High</v>
      </c>
      <c r="AX25" s="22" t="str">
        <f t="shared" si="6"/>
        <v>High</v>
      </c>
      <c r="AY25" s="45" t="str">
        <f>IF(OR(T25="Cash",T25="Cash Adjustments"), T25, _xll.BDP(R25&amp;" FIGI", $AY$1))</f>
        <v>Communication Services</v>
      </c>
      <c r="AZ25" s="45" t="str">
        <f>IF(OR(T25="Cash",T25="Cash Adjustments"), T25, _xll.BDP(R25&amp;" FIGI", $AZ$1))</f>
        <v>Internet Content-Info/Ne</v>
      </c>
      <c r="BA25" s="45" t="str">
        <f>IF(OR(T25="Cash",T25="Cash Adjustments"), T25, _xll.BDP(R25&amp;" FIGI", $BA$1))</f>
        <v>#N/A Field Not Applicable</v>
      </c>
      <c r="BB25" s="16" t="str">
        <f>IF(OR(AS25="Government",AS25="Corporate"),(AK25*AB25/'SFC Report'!$C$20),"")</f>
        <v/>
      </c>
      <c r="BC25" s="174" t="str">
        <f>IF(OR(T25="Cash",T25="Cash Adjustments", T25="FX Forward", T25="Repo", T25="Equity", T25="M-Mkt"), "", _xll.BDP(R25&amp;" FIGI", $BC$1))</f>
        <v/>
      </c>
      <c r="BD25" s="125" t="str">
        <f>IF(OR(T25="Cash",T25="Cash Adjustments",T25="FX Forward",T25="Repo", T25="Equity", T25="M-Mkt"),"",(BC25-'SFC Report'!$B$13)/365)</f>
        <v/>
      </c>
      <c r="BE25" s="82" t="str">
        <f t="shared" si="9"/>
        <v/>
      </c>
      <c r="BF25" s="5" t="str">
        <f>IF(BC25="","",BD25*AB25/'SFC Report'!$C$20)</f>
        <v/>
      </c>
      <c r="BG25" s="14" t="str" cm="1">
        <f t="array" ref="BG25">IF(OR(AS25="Corporate",AS25="Government"),_xll.BDP(G25&amp;" ISIN", $BG$1),"")</f>
        <v/>
      </c>
      <c r="BH25" s="140" t="str">
        <f>IF(OR(AS25="Corporate",AS25="Government"),BG25*BN25/'SFC Report'!$C$20,"")</f>
        <v/>
      </c>
      <c r="BI25" s="140" t="str">
        <f>IF(OR(AS25="Corporate",AS25="Government"),_xll.BDP(G25&amp;" ISIN", $BI$1),"")</f>
        <v/>
      </c>
      <c r="BJ25" s="140" t="str">
        <f>IF(OR(AS25="Corporate",AS25="Government"),BI25*AB25/'SFC Report'!$C$20,"")</f>
        <v/>
      </c>
      <c r="BK25" s="153" t="str">
        <f>IF(OR(T25="Cash",T25="Cash Adjustments"),"-",_xll.BDP(R25&amp;" FIGI",$BK$1))</f>
        <v>KYG875721634</v>
      </c>
      <c r="BL25" s="11" t="str">
        <f>IF(OR(AS25="Cash", AS25="Cash Adjustments"),"-",IF(ISNA(VLOOKUP(BK25,'BBG - VaR Data (Sample, Indus )'!C:N,5,0)),"-",VLOOKUP(BK25,'BBG - VaR Data (Sample, Indus )'!C:N,5,0)))</f>
        <v>-</v>
      </c>
      <c r="BM25" s="11">
        <f>IF(OR(AS25="Cash", AS25="Cash Adjustments"),"-",IF(ISNA(VLOOKUP(BK25,'BBG - Scenarios (Sample View)'!C:Z,14,0)),"-",VLOOKUP(BK25,'BBG - Scenarios (Sample View)'!C:Z,14,0)))</f>
        <v>-8</v>
      </c>
      <c r="BN25" s="14">
        <f t="shared" si="7"/>
        <v>2313080.4953560373</v>
      </c>
      <c r="BO25" s="1">
        <f t="shared" si="8"/>
        <v>4.5374517456675577E-3</v>
      </c>
      <c r="BP25" t="str">
        <f>IF(BC25&lt;&gt;0,MaturityBucket(BG25),"")</f>
        <v/>
      </c>
      <c r="BQ25" s="11" t="str">
        <f>IF(OR(T25="Cash",T25="Cash Adjustments"),T25,VLOOKUP(AL25,'SFC Classifcation'!$A:$C,2,0))</f>
        <v>Hong Kong</v>
      </c>
      <c r="BR25" s="1" t="str">
        <f>IF(S25="Bond",BH25/'SFC Report'!$B$7,"")</f>
        <v/>
      </c>
      <c r="BS25" t="str">
        <f>IF(OR(T25="Cash",T25="Cash Adjustments"),"-",_xll.BDP(R25&amp;" FIGI",$BS$1))</f>
        <v>#N/A Field Not Applicable</v>
      </c>
      <c r="BT25" t="str">
        <f>IF(OR(T25="Cash",T25="Cash Adjustments"),"-",_xll.BDP(R25&amp;" FIGI",$BT$1))</f>
        <v>#N/A Field Not Applicable</v>
      </c>
      <c r="BU25" t="str">
        <f>IF(OR(T25="Cash",T25="Cash Adjustments"),"-",_xll.BDP(R25&amp;" FIGI",$BU$1))</f>
        <v>#N/A Field Not Applicable</v>
      </c>
    </row>
    <row r="26" spans="1:73">
      <c r="A26" s="254" t="s">
        <v>15</v>
      </c>
      <c r="B26" s="254" t="s">
        <v>25</v>
      </c>
      <c r="C26" s="254"/>
      <c r="D26" s="254" t="s">
        <v>20</v>
      </c>
      <c r="E26" s="254"/>
      <c r="F26" s="254" t="s">
        <v>1289</v>
      </c>
      <c r="G26" s="254" t="s">
        <v>1290</v>
      </c>
      <c r="H26" s="270">
        <v>25000</v>
      </c>
      <c r="I26" s="270">
        <v>121</v>
      </c>
      <c r="J26" s="270">
        <v>2397419.67</v>
      </c>
      <c r="K26" s="270">
        <v>2397419.67</v>
      </c>
      <c r="L26" s="270">
        <v>627580.32999999996</v>
      </c>
      <c r="M26" s="270">
        <v>0</v>
      </c>
      <c r="N26" s="270">
        <v>3025000</v>
      </c>
      <c r="O26" s="255">
        <v>6.9999999999999999E-4</v>
      </c>
      <c r="P26" s="1"/>
      <c r="Q26" s="1" t="str">
        <f t="shared" si="2"/>
        <v>Investments</v>
      </c>
      <c r="R26" s="191" t="s">
        <v>1471</v>
      </c>
      <c r="S26" s="1" t="str">
        <f>IF(Q26="Cash",Q26,IF(OR(Q26="Receivable Investments",Q26="Payable Investments"),"Cash Adjustments",_xll.BDP(R26&amp;" FIGI",$S$1)))</f>
        <v>EQUI</v>
      </c>
      <c r="T26" s="1" t="str">
        <f>IF(Q26="Cash",Q26,IF(OR(Q26="Receivable Investments",Q26="Payable Investments"),"Cash Adjustments",VLOOKUP(R26,LQA!E:S,3,0)))</f>
        <v>Equity</v>
      </c>
      <c r="U26" s="1" t="str">
        <f>IF(Q26="Cash",Q26,IF(OR(Q26="Receivable Investments",Q26="Payable Investments"),"Cash Adjustments",_xll.BDP(R26&amp;" FIGI",$U$1)))</f>
        <v>Common Stock</v>
      </c>
      <c r="V26" s="10">
        <f>IF(OR(Q26="Cash",Q26="Receivable Investments",Q26="Payable Investments"),0,IF(Q26="Investments",VLOOKUP(R26,LQA!E:Q,12,0),"Not Covered"))</f>
        <v>0.1</v>
      </c>
      <c r="W26" s="76">
        <f>IF(OR(Q26="Cash",Q26="Receivable Investments",Q26="Payable Investments"),0,IF(Q26="Investments",VLOOKUP(R26,LQA!E:Q,9,0),"Not Covered"))</f>
        <v>2.1759000000000001E-2</v>
      </c>
      <c r="X26" s="13" t="str">
        <f>IF(OR(H26=0,T26="Comdty"),"High",IF(V26&lt;='Liquidity Bucket'!$A$4,'Liquidity Bucket'!$I$4,IF(V26&lt;='Liquidity Bucket'!$A$5,'Liquidity Bucket'!$I$5,IF(V26&lt;='Liquidity Bucket'!$A$6,'Liquidity Bucket'!$I$6,IF(V26='Liquidity Bucket'!$A$8,'Liquidity Bucket'!$I$8,'Liquidity Bucket'!$I$7)))))</f>
        <v>High</v>
      </c>
      <c r="Y26" s="153">
        <f>IF(OR(Q26="Cash",Q26="Receivable Investments",Q26="Payable Investments"),0,IF(Q26="Investments",VLOOKUP(R26,'LQA Stress'!E:Q,12,0),"Not Covered"))</f>
        <v>0.2</v>
      </c>
      <c r="Z26" s="75">
        <f>IF(OR(Q26="Cash",Q26="Receivable Investments",Q26="Payable Investments"),0,IF(Q26="Investments",VLOOKUP(R26,'LQA Stress'!E:Q,9,0),"Not Covered"))</f>
        <v>3.9018999999999998E-2</v>
      </c>
      <c r="AA26" s="13" t="str">
        <f>IF(T26="Comdty","High",IF(Y26&lt;='Liquidity Bucket'!$A$4,'Liquidity Bucket'!$I$4,IF(Y26&lt;='Liquidity Bucket'!$A$5,'Liquidity Bucket'!$I$5,IF(Y26&lt;='Liquidity Bucket'!$A$6,'Liquidity Bucket'!$I$6,IF(Y26='Liquidity Bucket'!$A$8,'Liquidity Bucket'!$I$8,'Liquidity Bucket'!$I$7)))))</f>
        <v>High</v>
      </c>
      <c r="AB26" s="14">
        <f>(N26+M26)/'FX Rates'!$C$5</f>
        <v>390221.87822497421</v>
      </c>
      <c r="AC26" s="15" t="str">
        <f>IF(X26="Not Covered", (H26/_xll.BDP(R26&amp;" FIGI",$AC$1)),"")</f>
        <v/>
      </c>
      <c r="AD26" s="16" t="str">
        <f>IF(X26="Not Covered", _xll.BDP(R26&amp;" FIGI",$AD$1),"")</f>
        <v/>
      </c>
      <c r="AE26" s="16" t="str">
        <f>IF(OR(T26="Corp",T26="Govt"),IF(_xll.BDP(R26&amp;" FIGI",$AE$1)="#N/A N/A","",_xll.BDP(R26&amp;" FIGI",$AE$1)),"")</f>
        <v/>
      </c>
      <c r="AF26" s="1" t="str">
        <f>IF(OR(T26="Corp",T26="Govt"),IF(_xll.BDP(R26&amp;" FIGI",$AF$1)="#N/A N/A","",_xll.BDP(R26&amp;" FIGI",$AF$1)),"")</f>
        <v/>
      </c>
      <c r="AG26" s="16" t="str">
        <f>IF(OR(T26="Corp",T26="Govt"),IF(_xll.BDP(R26&amp;" FIGI",$AG$1)="#N/A N/A","",_xll.BDP(R26&amp;" FIGI",$AG$1)),"")</f>
        <v/>
      </c>
      <c r="AH26" s="125">
        <f>IF(OR(S26="Cash",S26="M-Mkt"),21,IF(AE26="",0,VLOOKUP(AE26,'Rating Scale'!A:B,2,0)))</f>
        <v>0</v>
      </c>
      <c r="AI26" s="125">
        <f>IF(OR(S26="Cash",S26="M-Mkt"),21,IF(AF26="",0,VLOOKUP(AF26,'Rating Scale'!D:E,2,0)))</f>
        <v>0</v>
      </c>
      <c r="AJ26" s="125">
        <f>IF(OR(S26="Cash",S26="M-Mkt"),21,IF(AG26="",0,VLOOKUP(AG26,'Rating Scale'!G:H,2,0)))</f>
        <v>0</v>
      </c>
      <c r="AK26">
        <f t="shared" si="3"/>
        <v>0</v>
      </c>
      <c r="AL26" s="1" t="str">
        <f>IF(OR(U26="Cash",U26="Cash Adjustments"),_xll.BDP(G26&amp;" Curncy","Country"),IF(T26="Equity",_xll.BDP(R26&amp;" FIGI","CNTRY_ISSUE_ISO"),_xll.BDP(R26&amp;" FIGI",$AL$1)))</f>
        <v>HK</v>
      </c>
      <c r="AM26" s="126" t="str">
        <f>IF(OR(T26="Cash",T26="Cash Adjustments",T26="M-Mkt"), T26, IF(T26="Comdty",AS26, _xll.BDP(R26&amp;" FIGI", $AM$1)))</f>
        <v>Consumer, Non-cyclical</v>
      </c>
      <c r="AN26" s="126" t="str">
        <f>IF(OR(T26="Cash",T26="Cash Adjustments",T26="M-Mkt"), T26,  IF(T26="Comdty",AS26,_xll.BDP(R26&amp;" FIGI", $AN$1)))</f>
        <v>Healthcare-Services</v>
      </c>
      <c r="AO26" s="126" t="str">
        <f>IF(OR(T26="Cash",T26="Cash Adjustments",T26="M-Mkt"), T26,  IF(T26="Comdty",AS26,_xll.BDP(R26&amp;" FIGI", $AO$1)))</f>
        <v>Medical Labs&amp;Testing Srv</v>
      </c>
      <c r="AP26" s="13" t="str">
        <f>IF(OR(T26="Cash",T26="Cash Adjustments"), T26, IF(_xll.BDP(R26&amp;" FIGI", $AP$1)="#N/A Field Not Applicable","N",_xll.BDP(R26&amp;" FIGI", $AP$1)))</f>
        <v>N</v>
      </c>
      <c r="AQ26" s="1" t="str">
        <f>IF(OR(T26="Cash",T26="Cash Adjustments"), T26, IF(_xll.BDP(R26&amp;" FIGI", $AQ$1)="#N/A Field Not Applicable"," ",_xll.BDP(R26&amp;" FIGI", $AQ$1)))</f>
        <v xml:space="preserve"> </v>
      </c>
      <c r="AR26" s="1" t="str">
        <f>IF(OR(T26="Cash",T26="Cash Adjustments"), T26, IF(_xll.BDP(R26&amp;" FIGI", $AR$1)="#N/A Field Not Applicable"," ",_xll.BDP(R26&amp;" FIGI", $AR$1)))</f>
        <v>ACTV</v>
      </c>
      <c r="AS26" s="1" t="str">
        <f>VLOOKUP(T26,'SFC Classifcation'!$F$2:$H$7,3,0)</f>
        <v>Equity</v>
      </c>
      <c r="AT26" s="22" t="str">
        <f t="shared" si="0"/>
        <v>Non-Financial</v>
      </c>
      <c r="AU26" s="1" t="str">
        <f t="shared" si="4"/>
        <v/>
      </c>
      <c r="AV26" s="1" t="str">
        <f>IF(OR(T26="Cash",T26="Cash Adjustments"),T26,VLOOKUP(AL26,'SFC Classifcation'!$A:$C,3,0))</f>
        <v>Hong Kong</v>
      </c>
      <c r="AW26" s="22" t="str">
        <f t="shared" si="5"/>
        <v>High</v>
      </c>
      <c r="AX26" s="22" t="str">
        <f t="shared" si="6"/>
        <v>High</v>
      </c>
      <c r="AY26" s="45" t="str">
        <f>IF(OR(T26="Cash",T26="Cash Adjustments"), T26, _xll.BDP(R26&amp;" FIGI", $AY$1))</f>
        <v>Health Care</v>
      </c>
      <c r="AZ26" s="45" t="str">
        <f>IF(OR(T26="Cash",T26="Cash Adjustments"), T26, _xll.BDP(R26&amp;" FIGI", $AZ$1))</f>
        <v>Medical Labs&amp;Testing Srv</v>
      </c>
      <c r="BA26" s="45" t="str">
        <f>IF(OR(T26="Cash",T26="Cash Adjustments"), T26, _xll.BDP(R26&amp;" FIGI", $BA$1))</f>
        <v>#N/A Field Not Applicable</v>
      </c>
      <c r="BB26" s="16" t="str">
        <f>IF(OR(AS26="Government",AS26="Corporate"),(AK26*AB26/'SFC Report'!$C$20),"")</f>
        <v/>
      </c>
      <c r="BC26" s="174" t="str">
        <f>IF(OR(T26="Cash",T26="Cash Adjustments", T26="FX Forward", T26="Repo", T26="Equity", T26="M-Mkt"), "", _xll.BDP(R26&amp;" FIGI", $BC$1))</f>
        <v/>
      </c>
      <c r="BD26" s="125" t="str">
        <f>IF(OR(T26="Cash",T26="Cash Adjustments",T26="FX Forward",T26="Repo", T26="Equity", T26="M-Mkt"),"",(BC26-'SFC Report'!$B$13)/365)</f>
        <v/>
      </c>
      <c r="BE26" s="82" t="str">
        <f t="shared" si="9"/>
        <v/>
      </c>
      <c r="BF26" s="5" t="str">
        <f>IF(BC26="","",BD26*AB26/'SFC Report'!$C$20)</f>
        <v/>
      </c>
      <c r="BG26" s="14" t="str" cm="1">
        <f t="array" ref="BG26">IF(OR(AS26="Corporate",AS26="Government"),_xll.BDP(G26&amp;" ISIN", $BG$1),"")</f>
        <v/>
      </c>
      <c r="BH26" s="140" t="str">
        <f>IF(OR(AS26="Corporate",AS26="Government"),BG26*BN26/'SFC Report'!$C$20,"")</f>
        <v/>
      </c>
      <c r="BI26" s="140" t="str">
        <f>IF(OR(AS26="Corporate",AS26="Government"),_xll.BDP(G26&amp;" ISIN", $BI$1),"")</f>
        <v/>
      </c>
      <c r="BJ26" s="140" t="str">
        <f>IF(OR(AS26="Corporate",AS26="Government"),BI26*AB26/'SFC Report'!$C$20,"")</f>
        <v/>
      </c>
      <c r="BK26" s="153" t="str">
        <f>IF(OR(T26="Cash",T26="Cash Adjustments"),"-",_xll.BDP(R26&amp;" FIGI",$BK$1))</f>
        <v>KYG970081090</v>
      </c>
      <c r="BL26" s="11" t="str">
        <f>IF(OR(AS26="Cash", AS26="Cash Adjustments"),"-",IF(ISNA(VLOOKUP(BK26,'BBG - VaR Data (Sample, Indus )'!C:N,5,0)),"-",VLOOKUP(BK26,'BBG - VaR Data (Sample, Indus )'!C:N,5,0)))</f>
        <v>-</v>
      </c>
      <c r="BM26" s="11">
        <f>IF(OR(AS26="Cash", AS26="Cash Adjustments"),"-",IF(ISNA(VLOOKUP(BK26,'BBG - Scenarios (Sample View)'!C:Z,14,0)),"-",VLOOKUP(BK26,'BBG - Scenarios (Sample View)'!C:Z,14,0)))</f>
        <v>-8.65</v>
      </c>
      <c r="BN26" s="14">
        <f t="shared" si="7"/>
        <v>390221.87822497421</v>
      </c>
      <c r="BO26" s="1">
        <f t="shared" si="8"/>
        <v>7.6547830743652675E-4</v>
      </c>
      <c r="BP26" t="str">
        <f>IF(BC26&lt;&gt;0,MaturityBucket(BG26),"")</f>
        <v/>
      </c>
      <c r="BQ26" s="11" t="str">
        <f>IF(OR(T26="Cash",T26="Cash Adjustments"),T26,VLOOKUP(AL26,'SFC Classifcation'!$A:$C,2,0))</f>
        <v>Hong Kong</v>
      </c>
      <c r="BR26" s="1" t="str">
        <f>IF(S26="Bond",BH26/'SFC Report'!$B$7,"")</f>
        <v/>
      </c>
      <c r="BS26" t="str">
        <f>IF(OR(T26="Cash",T26="Cash Adjustments"),"-",_xll.BDP(R26&amp;" FIGI",$BS$1))</f>
        <v>#N/A Field Not Applicable</v>
      </c>
      <c r="BT26" t="str">
        <f>IF(OR(T26="Cash",T26="Cash Adjustments"),"-",_xll.BDP(R26&amp;" FIGI",$BT$1))</f>
        <v>#N/A Field Not Applicable</v>
      </c>
      <c r="BU26" t="str">
        <f>IF(OR(T26="Cash",T26="Cash Adjustments"),"-",_xll.BDP(R26&amp;" FIGI",$BU$1))</f>
        <v>#N/A Field Not Applicable</v>
      </c>
    </row>
    <row r="27" spans="1:73">
      <c r="A27" s="254" t="s">
        <v>15</v>
      </c>
      <c r="B27" s="254" t="s">
        <v>25</v>
      </c>
      <c r="C27" s="254" t="s">
        <v>46</v>
      </c>
      <c r="D27" s="254" t="s">
        <v>18</v>
      </c>
      <c r="E27" s="254"/>
      <c r="F27" s="254" t="s">
        <v>1197</v>
      </c>
      <c r="G27" s="254" t="s">
        <v>1198</v>
      </c>
      <c r="H27" s="270">
        <v>10000000</v>
      </c>
      <c r="I27" s="270">
        <v>92.674999999999997</v>
      </c>
      <c r="J27" s="270">
        <v>9993000</v>
      </c>
      <c r="K27" s="270">
        <v>86492412.900000006</v>
      </c>
      <c r="L27" s="270">
        <v>-8384996.1500000004</v>
      </c>
      <c r="M27" s="270">
        <v>476671.22</v>
      </c>
      <c r="N27" s="270">
        <v>78107416.75</v>
      </c>
      <c r="O27" s="255">
        <v>1.72E-2</v>
      </c>
      <c r="P27" s="1"/>
      <c r="Q27" s="1" t="str">
        <f t="shared" si="2"/>
        <v>Investments</v>
      </c>
      <c r="R27" s="1" t="str">
        <f>_xll.BDP(G27&amp;" ISIN",$R$1)</f>
        <v>BBG00RPJBQ56</v>
      </c>
      <c r="S27" s="1" t="str">
        <f>IF(Q27="Cash",Q27,IF(OR(Q27="Receivable Investments",Q27="Payable Investments"),"Cash Adjustments",_xll.BDP(R27&amp;" FIGI",$S$1)))</f>
        <v>EQUI</v>
      </c>
      <c r="T27" s="1" t="str">
        <f>IF(Q27="Cash",Q27,IF(OR(Q27="Receivable Investments",Q27="Payable Investments"),"Cash Adjustments",VLOOKUP(R27,LQA!E:S,3,0)))</f>
        <v>Corp</v>
      </c>
      <c r="U27" s="1" t="str">
        <f>IF(Q27="Cash",Q27,IF(OR(Q27="Receivable Investments",Q27="Payable Investments"),"Cash Adjustments",_xll.BDP(R27&amp;" FIGI",$U$1)))</f>
        <v>#N/A Field Not Applicable</v>
      </c>
      <c r="V27" s="10">
        <f>IF(OR(Q27="Cash",Q27="Receivable Investments",Q27="Payable Investments"),0,IF(Q27="Investments",VLOOKUP(R27,LQA!E:Q,12,0),"Not Covered"))</f>
        <v>0.5</v>
      </c>
      <c r="W27" s="76">
        <f>IF(OR(Q27="Cash",Q27="Receivable Investments",Q27="Payable Investments"),0,IF(Q27="Investments",VLOOKUP(R27,LQA!E:Q,9,0),"Not Covered"))</f>
        <v>1.6903000000000001E-2</v>
      </c>
      <c r="X27" s="13" t="str">
        <f>IF(OR(H27=0,T27="Comdty"),"High",IF(V27&lt;='Liquidity Bucket'!$A$4,'Liquidity Bucket'!$I$4,IF(V27&lt;='Liquidity Bucket'!$A$5,'Liquidity Bucket'!$I$5,IF(V27&lt;='Liquidity Bucket'!$A$6,'Liquidity Bucket'!$I$6,IF(V27='Liquidity Bucket'!$A$8,'Liquidity Bucket'!$I$8,'Liquidity Bucket'!$I$7)))))</f>
        <v>High</v>
      </c>
      <c r="Y27" s="153">
        <f>IF(OR(Q27="Cash",Q27="Receivable Investments",Q27="Payable Investments"),0,IF(Q27="Investments",VLOOKUP(R27,'LQA Stress'!E:Q,12,0),"Not Covered"))</f>
        <v>1.7</v>
      </c>
      <c r="Z27" s="75">
        <f>IF(OR(Q27="Cash",Q27="Receivable Investments",Q27="Payable Investments"),0,IF(Q27="Investments",VLOOKUP(R27,'LQA Stress'!E:Q,9,0),"Not Covered"))</f>
        <v>4.5705999999999997E-2</v>
      </c>
      <c r="AA27" s="13" t="str">
        <f>IF(T27="Comdty","High",IF(Y27&lt;='Liquidity Bucket'!$A$4,'Liquidity Bucket'!$I$4,IF(Y27&lt;='Liquidity Bucket'!$A$5,'Liquidity Bucket'!$I$5,IF(Y27&lt;='Liquidity Bucket'!$A$6,'Liquidity Bucket'!$I$6,IF(Y27='Liquidity Bucket'!$A$8,'Liquidity Bucket'!$I$8,'Liquidity Bucket'!$I$7)))))</f>
        <v>High</v>
      </c>
      <c r="AB27" s="14">
        <f>(N27+M27)/'FX Rates'!$C$5</f>
        <v>10137266.25</v>
      </c>
      <c r="AC27" s="15" t="str">
        <f>IF(X27="Not Covered", (H27/_xll.BDP(R27&amp;" FIGI",$AC$1)),"")</f>
        <v/>
      </c>
      <c r="AD27" s="16" t="str">
        <f>IF(X27="Not Covered", _xll.BDP(R27&amp;" FIGI",$AD$1),"")</f>
        <v/>
      </c>
      <c r="AE27" s="16" t="str">
        <f>IF(OR(T27="Corp",T27="Govt"),IF(_xll.BDP(R27&amp;" FIGI",$AE$1)="#N/A N/A","",_xll.BDP(R27&amp;" FIGI",$AE$1)),"")</f>
        <v>BB+</v>
      </c>
      <c r="AF27" s="1" t="str">
        <f>IF(OR(T27="Corp",T27="Govt"),IF(_xll.BDP(R27&amp;" FIGI",$AF$1)="#N/A N/A","",_xll.BDP(R27&amp;" FIGI",$AF$1)),"")</f>
        <v>Ba1</v>
      </c>
      <c r="AG27" s="16" t="str">
        <f>IF(OR(T27="Corp",T27="Govt"),IF(_xll.BDP(R27&amp;" FIGI",$AG$1)="#N/A N/A","",_xll.BDP(R27&amp;" FIGI",$AG$1)),"")</f>
        <v>BBB</v>
      </c>
      <c r="AH27" s="125">
        <f>IF(OR(S27="Cash",S27="M-Mkt"),21,IF(AE27="",0,VLOOKUP(AE27,'Rating Scale'!A:B,2,0)))</f>
        <v>11</v>
      </c>
      <c r="AI27" s="125">
        <f>IF(OR(S27="Cash",S27="M-Mkt"),21,IF(AF27="",0,VLOOKUP(AF27,'Rating Scale'!D:E,2,0)))</f>
        <v>11</v>
      </c>
      <c r="AJ27" s="125">
        <f>IF(OR(S27="Cash",S27="M-Mkt"),21,IF(AG27="",0,VLOOKUP(AG27,'Rating Scale'!G:H,2,0)))</f>
        <v>13</v>
      </c>
      <c r="AK27">
        <f>Rating(AH27,AI27,AJ27)</f>
        <v>11</v>
      </c>
      <c r="AL27" s="1" t="str">
        <f>IF(OR(U27="Cash",U27="Cash Adjustments"),_xll.BDP(G27&amp;" Curncy","Country"),IF(T27="Equity",_xll.BDP(R27&amp;" FIGI","CNTRY_ISSUE_ISO"),_xll.BDP(R27&amp;" FIGI",$AL$1)))</f>
        <v>US</v>
      </c>
      <c r="AM27" s="126" t="str">
        <f>IF(OR(T27="Cash",T27="Cash Adjustments",T27="M-Mkt"), T27, IF(T27="Comdty",AS27, _xll.BDP(R27&amp;" FIGI", $AM$1)))</f>
        <v>Communications</v>
      </c>
      <c r="AN27" s="126" t="str">
        <f>IF(OR(T27="Cash",T27="Cash Adjustments",T27="M-Mkt"), T27,  IF(T27="Comdty",AS27,_xll.BDP(R27&amp;" FIGI", $AN$1)))</f>
        <v>Telecommunications</v>
      </c>
      <c r="AO27" s="126" t="str">
        <f>IF(OR(T27="Cash",T27="Cash Adjustments",T27="M-Mkt"), T27,  IF(T27="Comdty",AS27,_xll.BDP(R27&amp;" FIGI", $AO$1)))</f>
        <v>Telephone-Integrated</v>
      </c>
      <c r="AP27" s="13" t="str">
        <f>IF(OR(T27="Cash",T27="Cash Adjustments"), T27, IF(_xll.BDP(R27&amp;" FIGI", $AP$1)="#N/A Field Not Applicable","N",_xll.BDP(R27&amp;" FIGI", $AP$1)))</f>
        <v>N</v>
      </c>
      <c r="AQ27" s="1" t="str">
        <f>IF(OR(T27="Cash",T27="Cash Adjustments"), T27, IF(_xll.BDP(R27&amp;" FIGI", $AQ$1)="#N/A Field Not Applicable"," ",_xll.BDP(R27&amp;" FIGI", $AQ$1)))</f>
        <v xml:space="preserve"> </v>
      </c>
      <c r="AR27" s="1" t="str">
        <f>IF(OR(T27="Cash",T27="Cash Adjustments"), T27, IF(_xll.BDP(R27&amp;" FIGI", $AR$1)="#N/A Field Not Applicable"," ",_xll.BDP(R27&amp;" FIGI", $AR$1)))</f>
        <v>ACTV</v>
      </c>
      <c r="AS27" s="1" t="str">
        <f>VLOOKUP(T27,'SFC Classifcation'!$F$2:$H$7,3,0)</f>
        <v>Corporate</v>
      </c>
      <c r="AT27" s="22" t="str">
        <f t="shared" si="0"/>
        <v>Non-Financial</v>
      </c>
      <c r="AU27" s="1" t="str">
        <f t="shared" si="4"/>
        <v>Non-Investment Grade</v>
      </c>
      <c r="AV27" s="1" t="str">
        <f>IF(OR(T27="Cash",T27="Cash Adjustments"),T27,VLOOKUP(AL27,'SFC Classifcation'!$A:$C,3,0))</f>
        <v>United States of America</v>
      </c>
      <c r="AW27" s="22" t="str">
        <f t="shared" si="5"/>
        <v>High</v>
      </c>
      <c r="AX27" s="22" t="str">
        <f t="shared" si="6"/>
        <v>High</v>
      </c>
      <c r="AY27" s="45" t="str">
        <f>IF(OR(T27="Cash",T27="Cash Adjustments"), T27, _xll.BDP(R27&amp;" FIGI", $AY$1))</f>
        <v>Communication Services</v>
      </c>
      <c r="AZ27" s="45" t="str">
        <f>IF(OR(T27="Cash",T27="Cash Adjustments"), T27, _xll.BDP(R27&amp;" FIGI", $AZ$1))</f>
        <v>TELEPHONE</v>
      </c>
      <c r="BA27" s="45" t="str">
        <f>IF(OR(T27="Cash",T27="Cash Adjustments"), T27, _xll.BDP(R27&amp;" FIGI", $BA$1))</f>
        <v>#N/A Field Not Applicable</v>
      </c>
      <c r="BB27" s="16">
        <f>IF(OR(AS27="Government",AS27="Corporate"),(AK27*AB27/'SFC Report'!$C$20),"")</f>
        <v>0.20258679312357672</v>
      </c>
      <c r="BC27" s="174" t="str">
        <f>IF(OR(T27="Cash",T27="Cash Adjustments", T27="FX Forward", T27="Repo", T27="Equity", T27="M-Mkt"), "", _xll.BDP(R27&amp;" FIGI", $BC$1))</f>
        <v>5/1/2169</v>
      </c>
      <c r="BD27" s="125">
        <f ca="1">IF(OR(T27="Cash",T27="Cash Adjustments",T27="FX Forward",T27="Repo", T27="Equity", T27="M-Mkt"),"",(BC27-'SFC Report'!$B$13)/365)</f>
        <v>149.1013698630137</v>
      </c>
      <c r="BE27" s="82" t="str">
        <f t="shared" ca="1" si="9"/>
        <v>10 yrs or Above</v>
      </c>
      <c r="BF27" s="5">
        <f ca="1">IF(BC27="","",BD27*AB27/'SFC Report'!$C$20)</f>
        <v>2.7459971246254775</v>
      </c>
      <c r="BG27" s="14" cm="1">
        <f t="array" ref="BG27">IF(OR(AS27="Corporate",AS27="Government"),_xll.BDP(G27&amp;" ISIN", $BG$1),"")</f>
        <v>4.2785436148581972</v>
      </c>
      <c r="BH27" s="140">
        <f>IF(OR(AS27="Corporate",AS27="Government"),BG27*BN27/'SFC Report'!$C$20,"")</f>
        <v>7.8797857288497974E-2</v>
      </c>
      <c r="BI27" s="140">
        <f>IF(OR(AS27="Corporate",AS27="Government"),_xll.BDP(G27&amp;" ISIN", $BI$1),"")</f>
        <v>3.1010357541825173</v>
      </c>
      <c r="BJ27" s="140">
        <f>IF(OR(AS27="Corporate",AS27="Government"),BI27*AB27/'SFC Report'!$C$20,"")</f>
        <v>5.7111717163762572E-2</v>
      </c>
      <c r="BK27" s="153" t="str">
        <f>IF(OR(T27="Cash",T27="Cash Adjustments"),"-",_xll.BDP(R27&amp;" FIGI",$BK$1))</f>
        <v>XS2114413565</v>
      </c>
      <c r="BL27" s="11" t="str">
        <f>IF(OR(AS27="Cash", AS27="Cash Adjustments"),"-",IF(ISNA(VLOOKUP(BK27,'BBG - VaR Data (Sample, Indus )'!C:N,5,0)),"-",VLOOKUP(BK27,'BBG - VaR Data (Sample, Indus )'!C:N,5,0)))</f>
        <v>-</v>
      </c>
      <c r="BM27" s="11">
        <f>IF(OR(AS27="Cash", AS27="Cash Adjustments"),"-",IF(ISNA(VLOOKUP(BK27,'BBG - Scenarios (Sample View)'!C:Z,14,0)),"-",VLOOKUP(BK27,'BBG - Scenarios (Sample View)'!C:Z,14,0)))</f>
        <v>-23.87</v>
      </c>
      <c r="BN27" s="14">
        <f t="shared" si="7"/>
        <v>10137266.25</v>
      </c>
      <c r="BO27" s="1">
        <f t="shared" si="8"/>
        <v>1.9885756909328502E-2</v>
      </c>
      <c r="BP27" t="str">
        <f>IF(BC27&lt;&gt;0,MaturityBucket(BG27),"")</f>
        <v>3 - 5 yrs</v>
      </c>
      <c r="BQ27" s="11" t="str">
        <f>IF(OR(T27="Cash",T27="Cash Adjustments"),T27,VLOOKUP(AL27,'SFC Classifcation'!$A:$C,2,0))</f>
        <v>United States of America</v>
      </c>
      <c r="BR27" s="1" t="str">
        <f>IF(S27="Bond",BH27/'SFC Report'!$B$7,"")</f>
        <v/>
      </c>
      <c r="BS27" t="str">
        <f>IF(OR(T27="Cash",T27="Cash Adjustments"),"-",_xll.BDP(R27&amp;" FIGI",$BS$1))</f>
        <v>2/11/2020</v>
      </c>
      <c r="BT27" t="str">
        <f>IF(OR(T27="Cash",T27="Cash Adjustments"),"-",_xll.BDP(R27&amp;" FIGI",$BT$1))</f>
        <v>2/11/2020</v>
      </c>
      <c r="BU27" t="str">
        <f>IF(OR(T27="Cash",T27="Cash Adjustments"),"-",_xll.BDP(R27&amp;" FIGI",$BU$1))</f>
        <v>2/12/2020</v>
      </c>
    </row>
    <row r="28" spans="1:73">
      <c r="A28" s="254" t="s">
        <v>15</v>
      </c>
      <c r="B28" s="254" t="s">
        <v>25</v>
      </c>
      <c r="C28" s="254" t="s">
        <v>46</v>
      </c>
      <c r="D28" s="254" t="s">
        <v>22</v>
      </c>
      <c r="E28" s="254"/>
      <c r="F28" s="254" t="s">
        <v>1291</v>
      </c>
      <c r="G28" s="254" t="s">
        <v>1292</v>
      </c>
      <c r="H28" s="270">
        <v>3000000</v>
      </c>
      <c r="I28" s="270">
        <v>88.314999999999998</v>
      </c>
      <c r="J28" s="270">
        <v>2390000</v>
      </c>
      <c r="K28" s="270">
        <v>18534786.5</v>
      </c>
      <c r="L28" s="270">
        <v>1998980.89</v>
      </c>
      <c r="M28" s="270">
        <v>494075.25</v>
      </c>
      <c r="N28" s="270">
        <v>20533767.390000001</v>
      </c>
      <c r="O28" s="255">
        <v>4.4999999999999997E-3</v>
      </c>
      <c r="P28" s="1"/>
      <c r="Q28" s="1" t="str">
        <f t="shared" si="2"/>
        <v>Investments</v>
      </c>
      <c r="R28" s="1" t="str">
        <f>_xll.BDP(G28&amp;" ISIN",$R$1)</f>
        <v>BBG00QN3F2R0</v>
      </c>
      <c r="S28" s="1" t="str">
        <f>IF(Q28="Cash",Q28,IF(OR(Q28="Receivable Investments",Q28="Payable Investments"),"Cash Adjustments",_xll.BDP(R28&amp;" FIGI",$S$1)))</f>
        <v>BOND</v>
      </c>
      <c r="T28" s="1" t="str">
        <f>IF(Q28="Cash",Q28,IF(OR(Q28="Receivable Investments",Q28="Payable Investments"),"Cash Adjustments",VLOOKUP(R28,LQA!E:S,3,0)))</f>
        <v>Corp</v>
      </c>
      <c r="U28" s="1" t="str">
        <f>IF(Q28="Cash",Q28,IF(OR(Q28="Receivable Investments",Q28="Payable Investments"),"Cash Adjustments",_xll.BDP(R28&amp;" FIGI",$U$1)))</f>
        <v>#N/A Field Not Applicable</v>
      </c>
      <c r="V28" s="10">
        <f>IF(OR(Q28="Cash",Q28="Receivable Investments",Q28="Payable Investments"),0,IF(Q28="Investments",VLOOKUP(R28,LQA!E:Q,12,0),"Not Covered"))</f>
        <v>0.3</v>
      </c>
      <c r="W28" s="76">
        <f>IF(OR(Q28="Cash",Q28="Receivable Investments",Q28="Payable Investments"),0,IF(Q28="Investments",VLOOKUP(R28,LQA!E:Q,9,0),"Not Covered"))</f>
        <v>1.7609E-2</v>
      </c>
      <c r="X28" s="13" t="str">
        <f>IF(OR(H28=0,T28="Comdty"),"High",IF(V28&lt;='Liquidity Bucket'!$A$4,'Liquidity Bucket'!$I$4,IF(V28&lt;='Liquidity Bucket'!$A$5,'Liquidity Bucket'!$I$5,IF(V28&lt;='Liquidity Bucket'!$A$6,'Liquidity Bucket'!$I$6,IF(V28='Liquidity Bucket'!$A$8,'Liquidity Bucket'!$I$8,'Liquidity Bucket'!$I$7)))))</f>
        <v>High</v>
      </c>
      <c r="Y28" s="153">
        <f>IF(OR(Q28="Cash",Q28="Receivable Investments",Q28="Payable Investments"),0,IF(Q28="Investments",VLOOKUP(R28,'LQA Stress'!E:Q,12,0),"Not Covered"))</f>
        <v>0.7</v>
      </c>
      <c r="Z28" s="75">
        <f>IF(OR(Q28="Cash",Q28="Receivable Investments",Q28="Payable Investments"),0,IF(Q28="Investments",VLOOKUP(R28,'LQA Stress'!E:Q,9,0),"Not Covered"))</f>
        <v>4.8388E-2</v>
      </c>
      <c r="AA28" s="13" t="str">
        <f>IF(T28="Comdty","High",IF(Y28&lt;='Liquidity Bucket'!$A$4,'Liquidity Bucket'!$I$4,IF(Y28&lt;='Liquidity Bucket'!$A$5,'Liquidity Bucket'!$I$5,IF(Y28&lt;='Liquidity Bucket'!$A$6,'Liquidity Bucket'!$I$6,IF(Y28='Liquidity Bucket'!$A$8,'Liquidity Bucket'!$I$8,'Liquidity Bucket'!$I$7)))))</f>
        <v>High</v>
      </c>
      <c r="AB28" s="14">
        <f>(N28+M28)/'FX Rates'!$C$5</f>
        <v>2712570</v>
      </c>
      <c r="AC28" s="15" t="str">
        <f>IF(X28="Not Covered", (H28/_xll.BDP(R28&amp;" FIGI",$AC$1)),"")</f>
        <v/>
      </c>
      <c r="AD28" s="16" t="str">
        <f>IF(X28="Not Covered", _xll.BDP(R28&amp;" FIGI",$AD$1),"")</f>
        <v/>
      </c>
      <c r="AE28" s="16" t="str">
        <f>IF(OR(T28="Corp",T28="Govt"),IF(_xll.BDP(R28&amp;" FIGI",$AE$1)="#N/A N/A","",_xll.BDP(R28&amp;" FIGI",$AE$1)),"")</f>
        <v/>
      </c>
      <c r="AF28" s="1" t="str">
        <f>IF(OR(T28="Corp",T28="Govt"),IF(_xll.BDP(R28&amp;" FIGI",$AF$1)="#N/A N/A","",_xll.BDP(R28&amp;" FIGI",$AF$1)),"")</f>
        <v>Ba1</v>
      </c>
      <c r="AG28" s="16" t="str">
        <f>IF(OR(T28="Corp",T28="Govt"),IF(_xll.BDP(R28&amp;" FIGI",$AG$1)="#N/A N/A","",_xll.BDP(R28&amp;" FIGI",$AG$1)),"")</f>
        <v>BBB-</v>
      </c>
      <c r="AH28" s="125">
        <f>IF(OR(S28="Cash",S28="M-Mkt"),21,IF(AE28="",0,VLOOKUP(AE28,'Rating Scale'!A:B,2,0)))</f>
        <v>0</v>
      </c>
      <c r="AI28" s="125">
        <f>IF(OR(S28="Cash",S28="M-Mkt"),21,IF(AF28="",0,VLOOKUP(AF28,'Rating Scale'!D:E,2,0)))</f>
        <v>11</v>
      </c>
      <c r="AJ28" s="125">
        <f>IF(OR(S28="Cash",S28="M-Mkt"),21,IF(AG28="",0,VLOOKUP(AG28,'Rating Scale'!G:H,2,0)))</f>
        <v>12</v>
      </c>
      <c r="AK28" s="42">
        <f t="shared" si="3"/>
        <v>11</v>
      </c>
      <c r="AL28" s="1" t="str">
        <f>IF(OR(U28="Cash",U28="Cash Adjustments"),_xll.BDP(G28&amp;" Curncy","Country"),IF(T28="Equity",_xll.BDP(R28&amp;" FIGI","CNTRY_ISSUE_ISO"),_xll.BDP(R28&amp;" FIGI",$AL$1)))</f>
        <v>ID</v>
      </c>
      <c r="AM28" s="126" t="str">
        <f>IF(OR(T28="Cash",T28="Cash Adjustments",T28="M-Mkt"), T28, IF(T28="Comdty",AS28, _xll.BDP(R28&amp;" FIGI", $AM$1)))</f>
        <v>Energy</v>
      </c>
      <c r="AN28" s="126" t="str">
        <f>IF(OR(T28="Cash",T28="Cash Adjustments",T28="M-Mkt"), T28,  IF(T28="Comdty",AS28,_xll.BDP(R28&amp;" FIGI", $AN$1)))</f>
        <v>Coal</v>
      </c>
      <c r="AO28" s="126" t="str">
        <f>IF(OR(T28="Cash",T28="Cash Adjustments",T28="M-Mkt"), T28,  IF(T28="Comdty",AS28,_xll.BDP(R28&amp;" FIGI", $AO$1)))</f>
        <v>Coal</v>
      </c>
      <c r="AP28" s="13" t="str">
        <f>IF(OR(T28="Cash",T28="Cash Adjustments"), T28, IF(_xll.BDP(R28&amp;" FIGI", $AP$1)="#N/A Field Not Applicable","N",_xll.BDP(R28&amp;" FIGI", $AP$1)))</f>
        <v>N</v>
      </c>
      <c r="AQ28" s="1" t="str">
        <f>IF(OR(T28="Cash",T28="Cash Adjustments"), T28, IF(_xll.BDP(R28&amp;" FIGI", $AQ$1)="#N/A Field Not Applicable"," ",_xll.BDP(R28&amp;" FIGI", $AQ$1)))</f>
        <v xml:space="preserve"> </v>
      </c>
      <c r="AR28" s="1" t="str">
        <f>IF(OR(T28="Cash",T28="Cash Adjustments"), T28, IF(_xll.BDP(R28&amp;" FIGI", $AR$1)="#N/A Field Not Applicable"," ",_xll.BDP(R28&amp;" FIGI", $AR$1)))</f>
        <v>ACTV</v>
      </c>
      <c r="AS28" s="1" t="str">
        <f>VLOOKUP(T28,'SFC Classifcation'!$F$2:$H$7,3,0)</f>
        <v>Corporate</v>
      </c>
      <c r="AT28" s="22" t="str">
        <f t="shared" si="0"/>
        <v>Non-Financial</v>
      </c>
      <c r="AU28" s="1" t="str">
        <f t="shared" si="4"/>
        <v>Non-Investment Grade</v>
      </c>
      <c r="AV28" s="1" t="str">
        <f>IF(OR(T28="Cash",T28="Cash Adjustments"),T28,VLOOKUP(AL28,'SFC Classifcation'!$A:$C,3,0))</f>
        <v>Asia - others (1)</v>
      </c>
      <c r="AW28" s="22" t="str">
        <f t="shared" si="5"/>
        <v>High</v>
      </c>
      <c r="AX28" s="22" t="str">
        <f t="shared" si="6"/>
        <v>High</v>
      </c>
      <c r="AY28" s="45" t="str">
        <f>IF(OR(T28="Cash",T28="Cash Adjustments"), T28, _xll.BDP(R28&amp;" FIGI", $AY$1))</f>
        <v>#N/A Field Not Applicable</v>
      </c>
      <c r="AZ28" s="45" t="str">
        <f>IF(OR(T28="Cash",T28="Cash Adjustments"), T28, _xll.BDP(R28&amp;" FIGI", $AZ$1))</f>
        <v>INDUSTRIAL</v>
      </c>
      <c r="BA28" s="45" t="str">
        <f>IF(OR(T28="Cash",T28="Cash Adjustments"), T28, _xll.BDP(R28&amp;" FIGI", $BA$1))</f>
        <v>#N/A Field Not Applicable</v>
      </c>
      <c r="BB28" s="16">
        <f>IF(OR(AS28="Government",AS28="Corporate"),(AK28*AB28/'SFC Report'!$C$20),"")</f>
        <v>5.4208979410323814E-2</v>
      </c>
      <c r="BC28" s="174" t="str">
        <f>IF(OR(T28="Cash",T28="Cash Adjustments", T28="FX Forward", T28="Repo", T28="Equity", T28="M-Mkt"), "", _xll.BDP(R28&amp;" FIGI", $BC$1))</f>
        <v>10/31/2024</v>
      </c>
      <c r="BD28" s="125">
        <f ca="1">IF(OR(T28="Cash",T28="Cash Adjustments",T28="FX Forward",T28="Repo", T28="Equity", T28="M-Mkt"),"",(BC28-'SFC Report'!$B$13)/365)</f>
        <v>4.506849315068493</v>
      </c>
      <c r="BE28" s="82" t="str">
        <f t="shared" ca="1" si="9"/>
        <v>3 - 5 yrs</v>
      </c>
      <c r="BF28" s="5">
        <f ca="1">IF(BC28="","",BD28*AB28/'SFC Report'!$C$20)</f>
        <v>2.221015470236181E-2</v>
      </c>
      <c r="BG28" s="14" cm="1">
        <f t="array" ref="BG28">IF(OR(AS28="Corporate",AS28="Government"),_xll.BDP(G28&amp;" ISIN", $BG$1),"")</f>
        <v>3.9229199785178466</v>
      </c>
      <c r="BH28" s="140">
        <f>IF(OR(AS28="Corporate",AS28="Government"),BG28*BN28/'SFC Report'!$C$20,"")</f>
        <v>1.9332498940347446E-2</v>
      </c>
      <c r="BI28" s="140">
        <f>IF(OR(AS28="Corporate",AS28="Government"),_xll.BDP(G28&amp;" ISIN", $BI$1),"")</f>
        <v>6.4109379547407483</v>
      </c>
      <c r="BJ28" s="140">
        <f>IF(OR(AS28="Corporate",AS28="Government"),BI28*AB28/'SFC Report'!$C$20,"")</f>
        <v>3.1593673053582245E-2</v>
      </c>
      <c r="BK28" s="153" t="str">
        <f>IF(OR(T28="Cash",T28="Cash Adjustments"),"-",_xll.BDP(R28&amp;" FIGI",$BK$1))</f>
        <v>USY70902AB04</v>
      </c>
      <c r="BL28" s="11" t="str">
        <f>IF(OR(AS28="Cash", AS28="Cash Adjustments"),"-",IF(ISNA(VLOOKUP(BK28,'BBG - VaR Data (Sample, Indus )'!C:N,5,0)),"-",VLOOKUP(BK28,'BBG - VaR Data (Sample, Indus )'!C:N,5,0)))</f>
        <v>-</v>
      </c>
      <c r="BM28" s="11">
        <f>IF(OR(AS28="Cash", AS28="Cash Adjustments"),"-",IF(ISNA(VLOOKUP(BK28,'BBG - Scenarios (Sample View)'!C:Z,14,0)),"-",VLOOKUP(BK28,'BBG - Scenarios (Sample View)'!C:Z,14,0)))</f>
        <v>-4.04</v>
      </c>
      <c r="BN28" s="14">
        <f t="shared" si="7"/>
        <v>2712570</v>
      </c>
      <c r="BO28" s="1">
        <f t="shared" si="8"/>
        <v>5.3211098820194471E-3</v>
      </c>
      <c r="BP28" t="str">
        <f>IF(BC28&lt;&gt;0,MaturityBucket(BG28),"")</f>
        <v>3 - 5 yrs</v>
      </c>
      <c r="BQ28" s="11" t="str">
        <f>IF(OR(T28="Cash",T28="Cash Adjustments"),T28,VLOOKUP(AL28,'SFC Classifcation'!$A:$C,2,0))</f>
        <v>Indonesia</v>
      </c>
      <c r="BR28" s="1" t="e">
        <f>IF(S28="Bond",BH28/'SFC Report'!$B$7,"")</f>
        <v>#VALUE!</v>
      </c>
      <c r="BS28" t="str">
        <f>IF(OR(T28="Cash",T28="Cash Adjustments"),"-",_xll.BDP(R28&amp;" FIGI",$BS$1))</f>
        <v>#N/A N/A</v>
      </c>
      <c r="BT28" t="str">
        <f>IF(OR(T28="Cash",T28="Cash Adjustments"),"-",_xll.BDP(R28&amp;" FIGI",$BT$1))</f>
        <v>10/15/2019</v>
      </c>
      <c r="BU28" t="str">
        <f>IF(OR(T28="Cash",T28="Cash Adjustments"),"-",_xll.BDP(R28&amp;" FIGI",$BU$1))</f>
        <v>10/30/2019</v>
      </c>
    </row>
    <row r="29" spans="1:73">
      <c r="A29" s="254" t="s">
        <v>15</v>
      </c>
      <c r="B29" s="254" t="s">
        <v>25</v>
      </c>
      <c r="C29" s="254" t="s">
        <v>46</v>
      </c>
      <c r="D29" s="254" t="s">
        <v>22</v>
      </c>
      <c r="E29" s="254"/>
      <c r="F29" s="254" t="s">
        <v>522</v>
      </c>
      <c r="G29" s="254" t="s">
        <v>523</v>
      </c>
      <c r="H29" s="270">
        <v>5000000</v>
      </c>
      <c r="I29" s="270">
        <v>100.011</v>
      </c>
      <c r="J29" s="270">
        <v>5002486.1100000003</v>
      </c>
      <c r="K29" s="270">
        <v>39268740.189999998</v>
      </c>
      <c r="L29" s="270">
        <v>-513477.57</v>
      </c>
      <c r="M29" s="270">
        <v>382235.55</v>
      </c>
      <c r="N29" s="270">
        <v>38755262.619999997</v>
      </c>
      <c r="O29" s="255">
        <v>8.5000000000000006E-3</v>
      </c>
      <c r="P29" s="1"/>
      <c r="Q29" s="1" t="str">
        <f t="shared" si="2"/>
        <v>Investments</v>
      </c>
      <c r="R29" s="1" t="str">
        <f>_xll.BDP(G29&amp;" ISIN",$R$1)</f>
        <v>BBG00NGWHP25</v>
      </c>
      <c r="S29" s="1" t="str">
        <f>IF(Q29="Cash",Q29,IF(OR(Q29="Receivable Investments",Q29="Payable Investments"),"Cash Adjustments",_xll.BDP(R29&amp;" FIGI",$S$1)))</f>
        <v>BOND</v>
      </c>
      <c r="T29" s="1" t="str">
        <f>IF(Q29="Cash",Q29,IF(OR(Q29="Receivable Investments",Q29="Payable Investments"),"Cash Adjustments",VLOOKUP(R29,LQA!E:S,3,0)))</f>
        <v>Corp</v>
      </c>
      <c r="U29" s="1" t="str">
        <f>IF(Q29="Cash",Q29,IF(OR(Q29="Receivable Investments",Q29="Payable Investments"),"Cash Adjustments",_xll.BDP(R29&amp;" FIGI",$U$1)))</f>
        <v>#N/A Field Not Applicable</v>
      </c>
      <c r="V29" s="10">
        <f>IF(OR(Q29="Cash",Q29="Receivable Investments",Q29="Payable Investments"),0,IF(Q29="Investments",VLOOKUP(R29,LQA!E:Q,12,0),"Not Covered"))</f>
        <v>0.3</v>
      </c>
      <c r="W29" s="76">
        <f>IF(OR(Q29="Cash",Q29="Receivable Investments",Q29="Payable Investments"),0,IF(Q29="Investments",VLOOKUP(R29,LQA!E:Q,9,0),"Not Covered"))</f>
        <v>6.5409999999999999E-3</v>
      </c>
      <c r="X29" s="13" t="str">
        <f>IF(OR(H29=0,T29="Comdty"),"High",IF(V29&lt;='Liquidity Bucket'!$A$4,'Liquidity Bucket'!$I$4,IF(V29&lt;='Liquidity Bucket'!$A$5,'Liquidity Bucket'!$I$5,IF(V29&lt;='Liquidity Bucket'!$A$6,'Liquidity Bucket'!$I$6,IF(V29='Liquidity Bucket'!$A$8,'Liquidity Bucket'!$I$8,'Liquidity Bucket'!$I$7)))))</f>
        <v>High</v>
      </c>
      <c r="Y29" s="153">
        <f>IF(OR(Q29="Cash",Q29="Receivable Investments",Q29="Payable Investments"),0,IF(Q29="Investments",VLOOKUP(R29,'LQA Stress'!E:Q,12,0),"Not Covered"))</f>
        <v>1.3</v>
      </c>
      <c r="Z29" s="75">
        <f>IF(OR(Q29="Cash",Q29="Receivable Investments",Q29="Payable Investments"),0,IF(Q29="Investments",VLOOKUP(R29,'LQA Stress'!E:Q,9,0),"Not Covered"))</f>
        <v>1.7408E-2</v>
      </c>
      <c r="AA29" s="13" t="str">
        <f>IF(T29="Comdty","High",IF(Y29&lt;='Liquidity Bucket'!$A$4,'Liquidity Bucket'!$I$4,IF(Y29&lt;='Liquidity Bucket'!$A$5,'Liquidity Bucket'!$I$5,IF(Y29&lt;='Liquidity Bucket'!$A$6,'Liquidity Bucket'!$I$6,IF(Y29='Liquidity Bucket'!$A$8,'Liquidity Bucket'!$I$8,'Liquidity Bucket'!$I$7)))))</f>
        <v>High</v>
      </c>
      <c r="AB29" s="14">
        <f>(N29+M29)/'FX Rates'!$C$5</f>
        <v>5048696.8743550042</v>
      </c>
      <c r="AC29" s="15" t="str">
        <f>IF(X29="Not Covered", (H29/_xll.BDP(R29&amp;" FIGI",$AC$1)),"")</f>
        <v/>
      </c>
      <c r="AD29" s="16" t="str">
        <f>IF(X29="Not Covered", _xll.BDP(R29&amp;" FIGI",$AD$1),"")</f>
        <v/>
      </c>
      <c r="AE29" s="16" t="str">
        <f>IF(OR(T29="Corp",T29="Govt"),IF(_xll.BDP(R29&amp;" FIGI",$AE$1)="#N/A N/A","",_xll.BDP(R29&amp;" FIGI",$AE$1)),"")</f>
        <v>BB</v>
      </c>
      <c r="AF29" s="1" t="str">
        <f>IF(OR(T29="Corp",T29="Govt"),IF(_xll.BDP(R29&amp;" FIGI",$AF$1)="#N/A N/A","",_xll.BDP(R29&amp;" FIGI",$AF$1)),"")</f>
        <v>Ba3</v>
      </c>
      <c r="AG29" s="16" t="str">
        <f>IF(OR(T29="Corp",T29="Govt"),IF(_xll.BDP(R29&amp;" FIGI",$AG$1)="#N/A N/A","",_xll.BDP(R29&amp;" FIGI",$AG$1)),"")</f>
        <v/>
      </c>
      <c r="AH29" s="125">
        <f>IF(OR(S29="Cash",S29="M-Mkt"),21,IF(AE29="",0,VLOOKUP(AE29,'Rating Scale'!A:B,2,0)))</f>
        <v>10</v>
      </c>
      <c r="AI29" s="125">
        <f>IF(OR(S29="Cash",S29="M-Mkt"),21,IF(AF29="",0,VLOOKUP(AF29,'Rating Scale'!D:E,2,0)))</f>
        <v>9</v>
      </c>
      <c r="AJ29" s="125">
        <f>IF(OR(S29="Cash",S29="M-Mkt"),21,IF(AG29="",0,VLOOKUP(AG29,'Rating Scale'!G:H,2,0)))</f>
        <v>0</v>
      </c>
      <c r="AK29">
        <f t="shared" si="3"/>
        <v>9</v>
      </c>
      <c r="AL29" s="1" t="str">
        <f>IF(OR(U29="Cash",U29="Cash Adjustments"),_xll.BDP(G29&amp;" Curncy","Country"),IF(T29="Equity",_xll.BDP(R29&amp;" FIGI","CNTRY_ISSUE_ISO"),_xll.BDP(R29&amp;" FIGI",$AL$1)))</f>
        <v>CN</v>
      </c>
      <c r="AM29" s="126" t="str">
        <f>IF(OR(T29="Cash",T29="Cash Adjustments",T29="M-Mkt"), T29, IF(T29="Comdty",AS29, _xll.BDP(R29&amp;" FIGI", $AM$1)))</f>
        <v>Financial</v>
      </c>
      <c r="AN29" s="126" t="str">
        <f>IF(OR(T29="Cash",T29="Cash Adjustments",T29="M-Mkt"), T29,  IF(T29="Comdty",AS29,_xll.BDP(R29&amp;" FIGI", $AN$1)))</f>
        <v>Real Estate</v>
      </c>
      <c r="AO29" s="126" t="str">
        <f>IF(OR(T29="Cash",T29="Cash Adjustments",T29="M-Mkt"), T29,  IF(T29="Comdty",AS29,_xll.BDP(R29&amp;" FIGI", $AO$1)))</f>
        <v>Real Estate Oper/Develop</v>
      </c>
      <c r="AP29" s="13" t="str">
        <f>IF(OR(T29="Cash",T29="Cash Adjustments"), T29, IF(_xll.BDP(R29&amp;" FIGI", $AP$1)="#N/A Field Not Applicable","N",_xll.BDP(R29&amp;" FIGI", $AP$1)))</f>
        <v>N</v>
      </c>
      <c r="AQ29" s="1" t="str">
        <f>IF(OR(T29="Cash",T29="Cash Adjustments"), T29, IF(_xll.BDP(R29&amp;" FIGI", $AQ$1)="#N/A Field Not Applicable"," ",_xll.BDP(R29&amp;" FIGI", $AQ$1)))</f>
        <v xml:space="preserve"> </v>
      </c>
      <c r="AR29" s="1" t="str">
        <f>IF(OR(T29="Cash",T29="Cash Adjustments"), T29, IF(_xll.BDP(R29&amp;" FIGI", $AR$1)="#N/A Field Not Applicable"," ",_xll.BDP(R29&amp;" FIGI", $AR$1)))</f>
        <v>ACTV</v>
      </c>
      <c r="AS29" s="1" t="str">
        <f>VLOOKUP(T29,'SFC Classifcation'!$F$2:$H$7,3,0)</f>
        <v>Corporate</v>
      </c>
      <c r="AT29" s="22" t="str">
        <f t="shared" si="0"/>
        <v>Financial</v>
      </c>
      <c r="AU29" s="1" t="str">
        <f t="shared" si="4"/>
        <v>Non-Investment Grade</v>
      </c>
      <c r="AV29" s="1" t="str">
        <f>IF(OR(T29="Cash",T29="Cash Adjustments"),T29,VLOOKUP(AL29,'SFC Classifcation'!$A:$C,3,0))</f>
        <v>China</v>
      </c>
      <c r="AW29" s="22" t="str">
        <f t="shared" si="5"/>
        <v>High</v>
      </c>
      <c r="AX29" s="22" t="str">
        <f t="shared" si="6"/>
        <v>High</v>
      </c>
      <c r="AY29" s="45" t="str">
        <f>IF(OR(T29="Cash",T29="Cash Adjustments"), T29, _xll.BDP(R29&amp;" FIGI", $AY$1))</f>
        <v>Real Estate</v>
      </c>
      <c r="AZ29" s="45" t="str">
        <f>IF(OR(T29="Cash",T29="Cash Adjustments"), T29, _xll.BDP(R29&amp;" FIGI", $AZ$1))</f>
        <v>FINANCIAL</v>
      </c>
      <c r="BA29" s="45" t="str">
        <f>IF(OR(T29="Cash",T29="Cash Adjustments"), T29, _xll.BDP(R29&amp;" FIGI", $BA$1))</f>
        <v>#N/A Field Not Applicable</v>
      </c>
      <c r="BB29" s="16">
        <f>IF(OR(AS29="Government",AS29="Corporate"),(AK29*AB29/'SFC Report'!$C$20),"")</f>
        <v>8.2550440900155717E-2</v>
      </c>
      <c r="BC29" s="174" t="str">
        <f>IF(OR(T29="Cash",T29="Cash Adjustments", T29="FX Forward", T29="Repo", T29="Equity", T29="M-Mkt"), "", _xll.BDP(R29&amp;" FIGI", $BC$1))</f>
        <v>3/7/2022</v>
      </c>
      <c r="BD29" s="125">
        <f ca="1">IF(OR(T29="Cash",T29="Cash Adjustments",T29="FX Forward",T29="Repo", T29="Equity", T29="M-Mkt"),"",(BC29-'SFC Report'!$B$13)/365)</f>
        <v>1.8520547945205479</v>
      </c>
      <c r="BE29" s="82" t="str">
        <f t="shared" ca="1" si="9"/>
        <v>1 - 2 yrs</v>
      </c>
      <c r="BF29" s="5">
        <f ca="1">IF(BC29="","",BD29*AB29/'SFC Report'!$C$20)</f>
        <v>1.698754887321317E-2</v>
      </c>
      <c r="BG29" s="14" cm="1">
        <f t="array" ref="BG29">IF(OR(AS29="Corporate",AS29="Government"),_xll.BDP(G29&amp;" ISIN", $BG$1),"")</f>
        <v>1.636849726061816</v>
      </c>
      <c r="BH29" s="140">
        <f>IF(OR(AS29="Corporate",AS29="Government"),BG29*BN29/'SFC Report'!$C$20,"")</f>
        <v>1.5013629619300225E-2</v>
      </c>
      <c r="BI29" s="140">
        <f>IF(OR(AS29="Corporate",AS29="Government"),_xll.BDP(G29&amp;" ISIN", $BI$1),"")</f>
        <v>5.7121859624237761</v>
      </c>
      <c r="BJ29" s="140">
        <f>IF(OR(AS29="Corporate",AS29="Government"),BI29*AB29/'SFC Report'!$C$20,"")</f>
        <v>5.2393718855751455E-2</v>
      </c>
      <c r="BK29" s="153" t="str">
        <f>IF(OR(T29="Cash",T29="Cash Adjustments"),"-",_xll.BDP(R29&amp;" FIGI",$BK$1))</f>
        <v>XS1959497782</v>
      </c>
      <c r="BL29" s="11" t="str">
        <f>IF(OR(AS29="Cash", AS29="Cash Adjustments"),"-",IF(ISNA(VLOOKUP(BK29,'BBG - VaR Data (Sample, Indus )'!C:N,5,0)),"-",VLOOKUP(BK29,'BBG - VaR Data (Sample, Indus )'!C:N,5,0)))</f>
        <v>-</v>
      </c>
      <c r="BM29" s="11">
        <f>IF(OR(AS29="Cash", AS29="Cash Adjustments"),"-",IF(ISNA(VLOOKUP(BK29,'BBG - Scenarios (Sample View)'!C:Z,14,0)),"-",VLOOKUP(BK29,'BBG - Scenarios (Sample View)'!C:Z,14,0)))</f>
        <v>-2.72</v>
      </c>
      <c r="BN29" s="14">
        <f t="shared" si="7"/>
        <v>5048696.8743550042</v>
      </c>
      <c r="BO29" s="1">
        <f t="shared" si="8"/>
        <v>9.9037705310650436E-3</v>
      </c>
      <c r="BP29" t="str">
        <f>IF(BC29&lt;&gt;0,MaturityBucket(BG29),"")</f>
        <v>1 - 2 yrs</v>
      </c>
      <c r="BQ29" s="11" t="str">
        <f>IF(OR(T29="Cash",T29="Cash Adjustments"),T29,VLOOKUP(AL29,'SFC Classifcation'!$A:$C,2,0))</f>
        <v>China</v>
      </c>
      <c r="BR29" s="1" t="e">
        <f>IF(S29="Bond",BH29/'SFC Report'!$B$7,"")</f>
        <v>#VALUE!</v>
      </c>
      <c r="BS29" t="str">
        <f>IF(OR(T29="Cash",T29="Cash Adjustments"),"-",_xll.BDP(R29&amp;" FIGI",$BS$1))</f>
        <v>2/27/2019</v>
      </c>
      <c r="BT29" t="str">
        <f>IF(OR(T29="Cash",T29="Cash Adjustments"),"-",_xll.BDP(R29&amp;" FIGI",$BT$1))</f>
        <v>2/28/2019</v>
      </c>
      <c r="BU29" t="str">
        <f>IF(OR(T29="Cash",T29="Cash Adjustments"),"-",_xll.BDP(R29&amp;" FIGI",$BU$1))</f>
        <v>#N/A N/A</v>
      </c>
    </row>
    <row r="30" spans="1:73">
      <c r="A30" s="254" t="s">
        <v>15</v>
      </c>
      <c r="B30" s="254" t="s">
        <v>25</v>
      </c>
      <c r="C30" s="254" t="s">
        <v>46</v>
      </c>
      <c r="D30" s="254" t="s">
        <v>22</v>
      </c>
      <c r="E30" s="254"/>
      <c r="F30" s="254" t="s">
        <v>1919</v>
      </c>
      <c r="G30" s="254" t="s">
        <v>1920</v>
      </c>
      <c r="H30" s="270">
        <v>3400000</v>
      </c>
      <c r="I30" s="270">
        <v>91.962000000000003</v>
      </c>
      <c r="J30" s="270">
        <v>3104000</v>
      </c>
      <c r="K30" s="270">
        <v>24057552</v>
      </c>
      <c r="L30" s="270">
        <v>175060.33</v>
      </c>
      <c r="M30" s="270">
        <v>518779.01</v>
      </c>
      <c r="N30" s="270">
        <v>24232612.329999998</v>
      </c>
      <c r="O30" s="255">
        <v>5.3E-3</v>
      </c>
      <c r="P30" s="1"/>
      <c r="Q30" s="1" t="str">
        <f t="shared" si="2"/>
        <v>Investments</v>
      </c>
      <c r="R30" s="1" t="str">
        <f>_xll.BDP(G30&amp;" ISIN",$R$1)</f>
        <v>BBG00QNT5B76</v>
      </c>
      <c r="S30" s="1" t="str">
        <f>IF(Q30="Cash",Q30,IF(OR(Q30="Receivable Investments",Q30="Payable Investments"),"Cash Adjustments",_xll.BDP(R30&amp;" FIGI",$S$1)))</f>
        <v>BOND</v>
      </c>
      <c r="T30" s="1" t="str">
        <f>IF(Q30="Cash",Q30,IF(OR(Q30="Receivable Investments",Q30="Payable Investments"),"Cash Adjustments",VLOOKUP(R30,LQA!E:S,3,0)))</f>
        <v>Corp</v>
      </c>
      <c r="U30" s="1" t="str">
        <f>IF(Q30="Cash",Q30,IF(OR(Q30="Receivable Investments",Q30="Payable Investments"),"Cash Adjustments",_xll.BDP(R30&amp;" FIGI",$U$1)))</f>
        <v>#N/A Field Not Applicable</v>
      </c>
      <c r="V30" s="10">
        <f>IF(OR(Q30="Cash",Q30="Receivable Investments",Q30="Payable Investments"),0,IF(Q30="Investments",VLOOKUP(R30,LQA!E:Q,12,0),"Not Covered"))</f>
        <v>0.3</v>
      </c>
      <c r="W30" s="76">
        <f>IF(OR(Q30="Cash",Q30="Receivable Investments",Q30="Payable Investments"),0,IF(Q30="Investments",VLOOKUP(R30,LQA!E:Q,9,0),"Not Covered"))</f>
        <v>2.1676000000000001E-2</v>
      </c>
      <c r="X30" s="13" t="str">
        <f>IF(OR(H30=0,T30="Comdty"),"High",IF(V30&lt;='Liquidity Bucket'!$A$4,'Liquidity Bucket'!$I$4,IF(V30&lt;='Liquidity Bucket'!$A$5,'Liquidity Bucket'!$I$5,IF(V30&lt;='Liquidity Bucket'!$A$6,'Liquidity Bucket'!$I$6,IF(V30='Liquidity Bucket'!$A$8,'Liquidity Bucket'!$I$8,'Liquidity Bucket'!$I$7)))))</f>
        <v>High</v>
      </c>
      <c r="Y30" s="153">
        <f>IF(OR(Q30="Cash",Q30="Receivable Investments",Q30="Payable Investments"),0,IF(Q30="Investments",VLOOKUP(R30,'LQA Stress'!E:Q,12,0),"Not Covered"))</f>
        <v>2</v>
      </c>
      <c r="Z30" s="75">
        <f>IF(OR(Q30="Cash",Q30="Receivable Investments",Q30="Payable Investments"),0,IF(Q30="Investments",VLOOKUP(R30,'LQA Stress'!E:Q,9,0),"Not Covered"))</f>
        <v>5.7248E-2</v>
      </c>
      <c r="AA30" s="13" t="str">
        <f>IF(T30="Comdty","High",IF(Y30&lt;='Liquidity Bucket'!$A$4,'Liquidity Bucket'!$I$4,IF(Y30&lt;='Liquidity Bucket'!$A$5,'Liquidity Bucket'!$I$5,IF(Y30&lt;='Liquidity Bucket'!$A$6,'Liquidity Bucket'!$I$6,IF(Y30='Liquidity Bucket'!$A$8,'Liquidity Bucket'!$I$8,'Liquidity Bucket'!$I$7)))))</f>
        <v>High</v>
      </c>
      <c r="AB30" s="14">
        <f>(N30+M30)/'FX Rates'!$C$5</f>
        <v>3192903.9396284833</v>
      </c>
      <c r="AC30" s="15" t="str">
        <f>IF(X30="Not Covered", (H30/_xll.BDP(R30&amp;" FIGI",$AC$1)),"")</f>
        <v/>
      </c>
      <c r="AD30" s="16" t="str">
        <f>IF(X30="Not Covered", _xll.BDP(R30&amp;" FIGI",$AD$1),"")</f>
        <v/>
      </c>
      <c r="AE30" s="16" t="str">
        <f>IF(OR(T30="Corp",T30="Govt"),IF(_xll.BDP(R30&amp;" FIGI",$AE$1)="#N/A N/A","",_xll.BDP(R30&amp;" FIGI",$AE$1)),"")</f>
        <v/>
      </c>
      <c r="AF30" s="1" t="str">
        <f>IF(OR(T30="Corp",T30="Govt"),IF(_xll.BDP(R30&amp;" FIGI",$AF$1)="#N/A N/A","",_xll.BDP(R30&amp;" FIGI",$AF$1)),"")</f>
        <v>Ba3</v>
      </c>
      <c r="AG30" s="16" t="str">
        <f>IF(OR(T30="Corp",T30="Govt"),IF(_xll.BDP(R30&amp;" FIGI",$AG$1)="#N/A N/A","",_xll.BDP(R30&amp;" FIGI",$AG$1)),"")</f>
        <v/>
      </c>
      <c r="AH30" s="125">
        <f>IF(OR(S30="Cash",S30="M-Mkt"),21,IF(AE30="",0,VLOOKUP(AE30,'Rating Scale'!A:B,2,0)))</f>
        <v>0</v>
      </c>
      <c r="AI30" s="125">
        <f>IF(OR(S30="Cash",S30="M-Mkt"),21,IF(AF30="",0,VLOOKUP(AF30,'Rating Scale'!D:E,2,0)))</f>
        <v>9</v>
      </c>
      <c r="AJ30" s="125">
        <f>IF(OR(S30="Cash",S30="M-Mkt"),21,IF(AG30="",0,VLOOKUP(AG30,'Rating Scale'!G:H,2,0)))</f>
        <v>0</v>
      </c>
      <c r="AK30">
        <f t="shared" si="3"/>
        <v>9</v>
      </c>
      <c r="AL30" s="1" t="str">
        <f>IF(OR(U30="Cash",U30="Cash Adjustments"),_xll.BDP(G30&amp;" Curncy","Country"),IF(T30="Equity",_xll.BDP(R30&amp;" FIGI","CNTRY_ISSUE_ISO"),_xll.BDP(R30&amp;" FIGI",$AL$1)))</f>
        <v>CN</v>
      </c>
      <c r="AM30" s="126" t="str">
        <f>IF(OR(T30="Cash",T30="Cash Adjustments",T30="M-Mkt"), T30, IF(T30="Comdty",AS30, _xll.BDP(R30&amp;" FIGI", $AM$1)))</f>
        <v>Financial</v>
      </c>
      <c r="AN30" s="126" t="str">
        <f>IF(OR(T30="Cash",T30="Cash Adjustments",T30="M-Mkt"), T30,  IF(T30="Comdty",AS30,_xll.BDP(R30&amp;" FIGI", $AN$1)))</f>
        <v>Real Estate</v>
      </c>
      <c r="AO30" s="126" t="str">
        <f>IF(OR(T30="Cash",T30="Cash Adjustments",T30="M-Mkt"), T30,  IF(T30="Comdty",AS30,_xll.BDP(R30&amp;" FIGI", $AO$1)))</f>
        <v>Real Estate Oper/Develop</v>
      </c>
      <c r="AP30" s="13" t="str">
        <f>IF(OR(T30="Cash",T30="Cash Adjustments"), T30, IF(_xll.BDP(R30&amp;" FIGI", $AP$1)="#N/A Field Not Applicable","N",_xll.BDP(R30&amp;" FIGI", $AP$1)))</f>
        <v>N</v>
      </c>
      <c r="AQ30" s="1" t="str">
        <f>IF(OR(T30="Cash",T30="Cash Adjustments"), T30, IF(_xll.BDP(R30&amp;" FIGI", $AQ$1)="#N/A Field Not Applicable"," ",_xll.BDP(R30&amp;" FIGI", $AQ$1)))</f>
        <v xml:space="preserve"> </v>
      </c>
      <c r="AR30" s="1" t="str">
        <f>IF(OR(T30="Cash",T30="Cash Adjustments"), T30, IF(_xll.BDP(R30&amp;" FIGI", $AR$1)="#N/A Field Not Applicable"," ",_xll.BDP(R30&amp;" FIGI", $AR$1)))</f>
        <v>ACTV</v>
      </c>
      <c r="AS30" s="1" t="str">
        <f>VLOOKUP(T30,'SFC Classifcation'!$F$2:$H$7,3,0)</f>
        <v>Corporate</v>
      </c>
      <c r="AT30" s="22" t="str">
        <f t="shared" si="0"/>
        <v>Financial</v>
      </c>
      <c r="AU30" s="1" t="str">
        <f t="shared" si="4"/>
        <v>Non-Investment Grade</v>
      </c>
      <c r="AV30" s="1" t="str">
        <f>IF(OR(T30="Cash",T30="Cash Adjustments"),T30,VLOOKUP(AL30,'SFC Classifcation'!$A:$C,3,0))</f>
        <v>China</v>
      </c>
      <c r="AW30" s="22" t="str">
        <f t="shared" si="5"/>
        <v>High</v>
      </c>
      <c r="AX30" s="22" t="str">
        <f t="shared" si="6"/>
        <v>High</v>
      </c>
      <c r="AY30" s="45" t="str">
        <f>IF(OR(T30="Cash",T30="Cash Adjustments"), T30, _xll.BDP(R30&amp;" FIGI", $AY$1))</f>
        <v>Real Estate</v>
      </c>
      <c r="AZ30" s="45" t="str">
        <f>IF(OR(T30="Cash",T30="Cash Adjustments"), T30, _xll.BDP(R30&amp;" FIGI", $AZ$1))</f>
        <v>FINANCIAL</v>
      </c>
      <c r="BA30" s="45" t="str">
        <f>IF(OR(T30="Cash",T30="Cash Adjustments"), T30, _xll.BDP(R30&amp;" FIGI", $BA$1))</f>
        <v>#N/A Field Not Applicable</v>
      </c>
      <c r="BB30" s="16">
        <f>IF(OR(AS30="Government",AS30="Corporate"),(AK30*AB30/'SFC Report'!$C$20),"")</f>
        <v>5.2206665309421758E-2</v>
      </c>
      <c r="BC30" s="174" t="str">
        <f>IF(OR(T30="Cash",T30="Cash Adjustments", T30="FX Forward", T30="Repo", T30="Equity", T30="M-Mkt"), "", _xll.BDP(R30&amp;" FIGI", $BC$1))</f>
        <v>1/31/2169</v>
      </c>
      <c r="BD30" s="125">
        <f ca="1">IF(OR(T30="Cash",T30="Cash Adjustments",T30="FX Forward",T30="Repo", T30="Equity", T30="M-Mkt"),"",(BC30-'SFC Report'!$B$13)/365)</f>
        <v>148.85479452054796</v>
      </c>
      <c r="BE30" s="82" t="str">
        <f t="shared" ca="1" si="9"/>
        <v>10 yrs or Above</v>
      </c>
      <c r="BF30" s="5">
        <f ca="1">IF(BC30="","",BD30*AB30/'SFC Report'!$C$20)</f>
        <v>0.86346804858188841</v>
      </c>
      <c r="BG30" s="14" cm="1">
        <f t="array" ref="BG30">IF(OR(AS30="Corporate",AS30="Government"),_xll.BDP(G30&amp;" ISIN", $BG$1),"")</f>
        <v>3.380371570892899</v>
      </c>
      <c r="BH30" s="140">
        <f>IF(OR(AS30="Corporate",AS30="Government"),BG30*BN30/'SFC Report'!$C$20,"")</f>
        <v>1.960865858034332E-2</v>
      </c>
      <c r="BI30" s="140">
        <f>IF(OR(AS30="Corporate",AS30="Government"),_xll.BDP(G30&amp;" ISIN", $BI$1),"")</f>
        <v>10.739769543982941</v>
      </c>
      <c r="BJ30" s="140">
        <f>IF(OR(AS30="Corporate",AS30="Government"),BI30*AB30/'SFC Report'!$C$20,"")</f>
        <v>6.2298617120337615E-2</v>
      </c>
      <c r="BK30" s="153" t="str">
        <f>IF(OR(T30="Cash",T30="Cash Adjustments"),"-",_xll.BDP(R30&amp;" FIGI",$BK$1))</f>
        <v>XS2071413483</v>
      </c>
      <c r="BL30" s="11" t="str">
        <f>IF(OR(AS30="Cash", AS30="Cash Adjustments"),"-",IF(ISNA(VLOOKUP(BK30,'BBG - VaR Data (Sample, Indus )'!C:N,5,0)),"-",VLOOKUP(BK30,'BBG - VaR Data (Sample, Indus )'!C:N,5,0)))</f>
        <v>-</v>
      </c>
      <c r="BM30" s="11">
        <f>IF(OR(AS30="Cash", AS30="Cash Adjustments"),"-",IF(ISNA(VLOOKUP(BK30,'BBG - Scenarios (Sample View)'!C:Z,14,0)),"-",VLOOKUP(BK30,'BBG - Scenarios (Sample View)'!C:Z,14,0)))</f>
        <v>-7.83</v>
      </c>
      <c r="BN30" s="14">
        <f t="shared" si="7"/>
        <v>3192903.9396284833</v>
      </c>
      <c r="BO30" s="1">
        <f t="shared" si="8"/>
        <v>6.2633564131048952E-3</v>
      </c>
      <c r="BP30" t="str">
        <f>IF(BC30&lt;&gt;0,MaturityBucket(BG30),"")</f>
        <v>3 - 5 yrs</v>
      </c>
      <c r="BQ30" s="11" t="str">
        <f>IF(OR(T30="Cash",T30="Cash Adjustments"),T30,VLOOKUP(AL30,'SFC Classifcation'!$A:$C,2,0))</f>
        <v>China</v>
      </c>
      <c r="BR30" s="1" t="e">
        <f>IF(S30="Bond",BH30/'SFC Report'!$B$7,"")</f>
        <v>#VALUE!</v>
      </c>
      <c r="BS30" t="str">
        <f>IF(OR(T30="Cash",T30="Cash Adjustments"),"-",_xll.BDP(R30&amp;" FIGI",$BS$1))</f>
        <v>#N/A N/A</v>
      </c>
      <c r="BT30" t="str">
        <f>IF(OR(T30="Cash",T30="Cash Adjustments"),"-",_xll.BDP(R30&amp;" FIGI",$BT$1))</f>
        <v>10/24/2019</v>
      </c>
      <c r="BU30" t="str">
        <f>IF(OR(T30="Cash",T30="Cash Adjustments"),"-",_xll.BDP(R30&amp;" FIGI",$BU$1))</f>
        <v>#N/A N/A</v>
      </c>
    </row>
    <row r="31" spans="1:73">
      <c r="A31" s="254" t="s">
        <v>15</v>
      </c>
      <c r="B31" s="254" t="s">
        <v>25</v>
      </c>
      <c r="C31" s="254" t="s">
        <v>46</v>
      </c>
      <c r="D31" s="254" t="s">
        <v>22</v>
      </c>
      <c r="E31" s="254"/>
      <c r="F31" s="254" t="s">
        <v>1921</v>
      </c>
      <c r="G31" s="254" t="s">
        <v>1370</v>
      </c>
      <c r="H31" s="270">
        <v>2000000</v>
      </c>
      <c r="I31" s="270">
        <v>107.73399999999999</v>
      </c>
      <c r="J31" s="270">
        <v>2025319.99</v>
      </c>
      <c r="K31" s="270">
        <v>15700226.560000001</v>
      </c>
      <c r="L31" s="270">
        <v>998974.46</v>
      </c>
      <c r="M31" s="270">
        <v>33422.74</v>
      </c>
      <c r="N31" s="270">
        <v>16699201.02</v>
      </c>
      <c r="O31" s="255">
        <v>3.7000000000000002E-3</v>
      </c>
      <c r="P31" s="1"/>
      <c r="Q31" s="1" t="str">
        <f t="shared" si="2"/>
        <v>Investments</v>
      </c>
      <c r="R31" s="1" t="str">
        <f>_xll.BDP(G31&amp;" ISIN",$R$1)</f>
        <v>BBG00SY1QXH9</v>
      </c>
      <c r="S31" s="1" t="str">
        <f>IF(Q31="Cash",Q31,IF(OR(Q31="Receivable Investments",Q31="Payable Investments"),"Cash Adjustments",_xll.BDP(R31&amp;" FIGI",$S$1)))</f>
        <v>BOND</v>
      </c>
      <c r="T31" s="1" t="str">
        <f>IF(Q31="Cash",Q31,IF(OR(Q31="Receivable Investments",Q31="Payable Investments"),"Cash Adjustments",VLOOKUP(R31,LQA!E:S,3,0)))</f>
        <v>Corp</v>
      </c>
      <c r="U31" s="1" t="str">
        <f>IF(Q31="Cash",Q31,IF(OR(Q31="Receivable Investments",Q31="Payable Investments"),"Cash Adjustments",_xll.BDP(R31&amp;" FIGI",$U$1)))</f>
        <v>#N/A Field Not Applicable</v>
      </c>
      <c r="V31" s="10">
        <f>IF(OR(Q31="Cash",Q31="Receivable Investments",Q31="Payable Investments"),0,IF(Q31="Investments",VLOOKUP(R31,LQA!E:Q,12,0),"Not Covered"))</f>
        <v>0.3</v>
      </c>
      <c r="W31" s="76">
        <f>IF(OR(Q31="Cash",Q31="Receivable Investments",Q31="Payable Investments"),0,IF(Q31="Investments",VLOOKUP(R31,LQA!E:Q,9,0),"Not Covered"))</f>
        <v>1.2966999999999999E-2</v>
      </c>
      <c r="X31" s="13" t="str">
        <f>IF(OR(H31=0,T31="Comdty"),"High",IF(V31&lt;='Liquidity Bucket'!$A$4,'Liquidity Bucket'!$I$4,IF(V31&lt;='Liquidity Bucket'!$A$5,'Liquidity Bucket'!$I$5,IF(V31&lt;='Liquidity Bucket'!$A$6,'Liquidity Bucket'!$I$6,IF(V31='Liquidity Bucket'!$A$8,'Liquidity Bucket'!$I$8,'Liquidity Bucket'!$I$7)))))</f>
        <v>High</v>
      </c>
      <c r="Y31" s="153">
        <f>IF(OR(Q31="Cash",Q31="Receivable Investments",Q31="Payable Investments"),0,IF(Q31="Investments",VLOOKUP(R31,'LQA Stress'!E:Q,12,0),"Not Covered"))</f>
        <v>1.4</v>
      </c>
      <c r="Z31" s="75">
        <f>IF(OR(Q31="Cash",Q31="Receivable Investments",Q31="Payable Investments"),0,IF(Q31="Investments",VLOOKUP(R31,'LQA Stress'!E:Q,9,0),"Not Covered"))</f>
        <v>3.5829E-2</v>
      </c>
      <c r="AA31" s="13" t="str">
        <f>IF(T31="Comdty","High",IF(Y31&lt;='Liquidity Bucket'!$A$4,'Liquidity Bucket'!$I$4,IF(Y31&lt;='Liquidity Bucket'!$A$5,'Liquidity Bucket'!$I$5,IF(Y31&lt;='Liquidity Bucket'!$A$6,'Liquidity Bucket'!$I$6,IF(Y31='Liquidity Bucket'!$A$8,'Liquidity Bucket'!$I$8,'Liquidity Bucket'!$I$7)))))</f>
        <v>High</v>
      </c>
      <c r="AB31" s="14">
        <f>(N31+M31)/'FX Rates'!$C$5</f>
        <v>2158491.1971104234</v>
      </c>
      <c r="AC31" s="15" t="str">
        <f>IF(X31="Not Covered", (H31/_xll.BDP(R31&amp;" FIGI",$AC$1)),"")</f>
        <v/>
      </c>
      <c r="AD31" s="16" t="str">
        <f>IF(X31="Not Covered", _xll.BDP(R31&amp;" FIGI",$AD$1),"")</f>
        <v/>
      </c>
      <c r="AE31" s="16" t="str">
        <f>IF(OR(T31="Corp",T31="Govt"),IF(_xll.BDP(R31&amp;" FIGI",$AE$1)="#N/A N/A","",_xll.BDP(R31&amp;" FIGI",$AE$1)),"")</f>
        <v>A</v>
      </c>
      <c r="AF31" s="1" t="str">
        <f>IF(OR(T31="Corp",T31="Govt"),IF(_xll.BDP(R31&amp;" FIGI",$AF$1)="#N/A N/A","",_xll.BDP(R31&amp;" FIGI",$AF$1)),"")</f>
        <v>A2</v>
      </c>
      <c r="AG31" s="16" t="str">
        <f>IF(OR(T31="Corp",T31="Govt"),IF(_xll.BDP(R31&amp;" FIGI",$AG$1)="#N/A N/A","",_xll.BDP(R31&amp;" FIGI",$AG$1)),"")</f>
        <v>A+</v>
      </c>
      <c r="AH31" s="125">
        <f>IF(OR(S31="Cash",S31="M-Mkt"),21,IF(AE31="",0,VLOOKUP(AE31,'Rating Scale'!A:B,2,0)))</f>
        <v>16</v>
      </c>
      <c r="AI31" s="125">
        <f>IF(OR(S31="Cash",S31="M-Mkt"),21,IF(AF31="",0,VLOOKUP(AF31,'Rating Scale'!D:E,2,0)))</f>
        <v>16</v>
      </c>
      <c r="AJ31" s="125">
        <f>IF(OR(S31="Cash",S31="M-Mkt"),21,IF(AG31="",0,VLOOKUP(AG31,'Rating Scale'!G:H,2,0)))</f>
        <v>17</v>
      </c>
      <c r="AK31">
        <f t="shared" si="3"/>
        <v>16</v>
      </c>
      <c r="AL31" s="1" t="str">
        <f>IF(OR(U31="Cash",U31="Cash Adjustments"),_xll.BDP(G31&amp;" Curncy","Country"),IF(T31="Equity",_xll.BDP(R31&amp;" FIGI","CNTRY_ISSUE_ISO"),_xll.BDP(R31&amp;" FIGI",$AL$1)))</f>
        <v>HK</v>
      </c>
      <c r="AM31" s="126" t="str">
        <f>IF(OR(T31="Cash",T31="Cash Adjustments",T31="M-Mkt"), T31, IF(T31="Comdty",AS31, _xll.BDP(R31&amp;" FIGI", $AM$1)))</f>
        <v>Financial</v>
      </c>
      <c r="AN31" s="126" t="str">
        <f>IF(OR(T31="Cash",T31="Cash Adjustments",T31="M-Mkt"), T31,  IF(T31="Comdty",AS31,_xll.BDP(R31&amp;" FIGI", $AN$1)))</f>
        <v>Insurance</v>
      </c>
      <c r="AO31" s="126" t="str">
        <f>IF(OR(T31="Cash",T31="Cash Adjustments",T31="M-Mkt"), T31,  IF(T31="Comdty",AS31,_xll.BDP(R31&amp;" FIGI", $AO$1)))</f>
        <v>Life/Health Insurance</v>
      </c>
      <c r="AP31" s="13" t="str">
        <f>IF(OR(T31="Cash",T31="Cash Adjustments"), T31, IF(_xll.BDP(R31&amp;" FIGI", $AP$1)="#N/A Field Not Applicable","N",_xll.BDP(R31&amp;" FIGI", $AP$1)))</f>
        <v>N</v>
      </c>
      <c r="AQ31" s="1" t="str">
        <f>IF(OR(T31="Cash",T31="Cash Adjustments"), T31, IF(_xll.BDP(R31&amp;" FIGI", $AQ$1)="#N/A Field Not Applicable"," ",_xll.BDP(R31&amp;" FIGI", $AQ$1)))</f>
        <v xml:space="preserve"> </v>
      </c>
      <c r="AR31" s="1" t="str">
        <f>IF(OR(T31="Cash",T31="Cash Adjustments"), T31, IF(_xll.BDP(R31&amp;" FIGI", $AR$1)="#N/A Field Not Applicable"," ",_xll.BDP(R31&amp;" FIGI", $AR$1)))</f>
        <v>ACTV</v>
      </c>
      <c r="AS31" s="1" t="str">
        <f>VLOOKUP(T31,'SFC Classifcation'!$F$2:$H$7,3,0)</f>
        <v>Corporate</v>
      </c>
      <c r="AT31" s="22" t="str">
        <f t="shared" si="0"/>
        <v>Financial</v>
      </c>
      <c r="AU31" s="1" t="str">
        <f>IF(OR(T31="Cash",T31="Cash Adjustments",T31="Equity", T31="Comdty"),"",IF(AK31&gt;=12,"Investment Grade", "Non-Investment Grade"))</f>
        <v>Investment Grade</v>
      </c>
      <c r="AV31" s="1" t="str">
        <f>IF(OR(T31="Cash",T31="Cash Adjustments"),T31,VLOOKUP(AL31,'SFC Classifcation'!$A:$C,3,0))</f>
        <v>Hong Kong</v>
      </c>
      <c r="AW31" s="22" t="str">
        <f t="shared" si="5"/>
        <v>High</v>
      </c>
      <c r="AX31" s="22" t="str">
        <f t="shared" si="6"/>
        <v>High</v>
      </c>
      <c r="AY31" s="45" t="str">
        <f>IF(OR(T31="Cash",T31="Cash Adjustments"), T31, _xll.BDP(R31&amp;" FIGI", $AY$1))</f>
        <v>Financials</v>
      </c>
      <c r="AZ31" s="45" t="str">
        <f>IF(OR(T31="Cash",T31="Cash Adjustments"), T31, _xll.BDP(R31&amp;" FIGI", $AZ$1))</f>
        <v>FINANCIAL</v>
      </c>
      <c r="BA31" s="45" t="str">
        <f>IF(OR(T31="Cash",T31="Cash Adjustments"), T31, _xll.BDP(R31&amp;" FIGI", $BA$1))</f>
        <v>#N/A Field Not Applicable</v>
      </c>
      <c r="BB31" s="16">
        <f>IF(OR(AS31="Government",AS31="Corporate"),(AK31*AB31/'SFC Report'!$C$20),"")</f>
        <v>6.2743372111867951E-2</v>
      </c>
      <c r="BC31" s="174" t="str">
        <f>IF(OR(T31="Cash",T31="Cash Adjustments", T31="FX Forward", T31="Repo", T31="Equity", T31="M-Mkt"), "", _xll.BDP(R31&amp;" FIGI", $BC$1))</f>
        <v>4/7/2030</v>
      </c>
      <c r="BD31" s="125">
        <f ca="1">IF(OR(T31="Cash",T31="Cash Adjustments",T31="FX Forward",T31="Repo", T31="Equity", T31="M-Mkt"),"",(BC31-'SFC Report'!$B$13)/365)</f>
        <v>9.9424657534246581</v>
      </c>
      <c r="BE31" s="82" t="str">
        <f t="shared" ca="1" si="9"/>
        <v>7 - 10 yrs</v>
      </c>
      <c r="BF31" s="5">
        <f ca="1">IF(BC31="","",BD31*AB31/'SFC Report'!$C$20)</f>
        <v>3.898898927978918E-2</v>
      </c>
      <c r="BG31" s="14" cm="1">
        <f t="array" ref="BG31">IF(OR(AS31="Corporate",AS31="Government"),_xll.BDP(G31&amp;" ISIN", $BG$1),"")</f>
        <v>8.2143479491419527</v>
      </c>
      <c r="BH31" s="140">
        <f>IF(OR(AS31="Corporate",AS31="Government"),BG31*BN31/'SFC Report'!$C$20,"")</f>
        <v>3.2212243126835807E-2</v>
      </c>
      <c r="BI31" s="140">
        <f>IF(OR(AS31="Corporate",AS31="Government"),_xll.BDP(G31&amp;" ISIN", $BI$1),"")</f>
        <v>2.4383360746908429</v>
      </c>
      <c r="BJ31" s="140">
        <f>IF(OR(AS31="Corporate",AS31="Government"),BI31*AB31/'SFC Report'!$C$20,"")</f>
        <v>9.5618392292574385E-3</v>
      </c>
      <c r="BK31" s="153" t="str">
        <f>IF(OR(T31="Cash",T31="Cash Adjustments"),"-",_xll.BDP(R31&amp;" FIGI",$BK$1))</f>
        <v>US00131MAJ27</v>
      </c>
      <c r="BL31" s="11" t="str">
        <f>IF(OR(AS31="Cash", AS31="Cash Adjustments"),"-",IF(ISNA(VLOOKUP(BK31,'BBG - VaR Data (Sample, Indus )'!C:N,5,0)),"-",VLOOKUP(BK31,'BBG - VaR Data (Sample, Indus )'!C:N,5,0)))</f>
        <v>-</v>
      </c>
      <c r="BM31" s="11">
        <f>IF(OR(AS31="Cash", AS31="Cash Adjustments"),"-",IF(ISNA(VLOOKUP(BK31,'BBG - Scenarios (Sample View)'!C:Z,14,0)),"-",VLOOKUP(BK31,'BBG - Scenarios (Sample View)'!C:Z,14,0)))</f>
        <v>-3.83</v>
      </c>
      <c r="BN31" s="14">
        <f t="shared" si="7"/>
        <v>2158491.1971104234</v>
      </c>
      <c r="BO31" s="1">
        <f t="shared" si="8"/>
        <v>4.2342018230667813E-3</v>
      </c>
      <c r="BP31" t="str">
        <f>IF(BC31&lt;&gt;0,MaturityBucket(BG31),"")</f>
        <v>7 - 10 yrs</v>
      </c>
      <c r="BQ31" s="11" t="str">
        <f>IF(OR(T31="Cash",T31="Cash Adjustments"),T31,VLOOKUP(AL31,'SFC Classifcation'!$A:$C,2,0))</f>
        <v>Hong Kong</v>
      </c>
      <c r="BR31" s="1" t="e">
        <f>IF(S31="Bond",BH31/'SFC Report'!$B$7,"")</f>
        <v>#VALUE!</v>
      </c>
      <c r="BS31" t="str">
        <f>IF(OR(T31="Cash",T31="Cash Adjustments"),"-",_xll.BDP(R31&amp;" FIGI",$BS$1))</f>
        <v>4/1/2020</v>
      </c>
      <c r="BT31" t="str">
        <f>IF(OR(T31="Cash",T31="Cash Adjustments"),"-",_xll.BDP(R31&amp;" FIGI",$BT$1))</f>
        <v>4/6/2020</v>
      </c>
      <c r="BU31" t="str">
        <f>IF(OR(T31="Cash",T31="Cash Adjustments"),"-",_xll.BDP(R31&amp;" FIGI",$BU$1))</f>
        <v>4/2/2020</v>
      </c>
    </row>
    <row r="32" spans="1:73">
      <c r="A32" s="254" t="s">
        <v>15</v>
      </c>
      <c r="B32" s="254" t="s">
        <v>25</v>
      </c>
      <c r="C32" s="254" t="s">
        <v>46</v>
      </c>
      <c r="D32" s="254" t="s">
        <v>22</v>
      </c>
      <c r="E32" s="254"/>
      <c r="F32" s="254" t="s">
        <v>48</v>
      </c>
      <c r="G32" s="254" t="s">
        <v>49</v>
      </c>
      <c r="H32" s="270">
        <v>8000000</v>
      </c>
      <c r="I32" s="270">
        <v>101.508</v>
      </c>
      <c r="J32" s="270">
        <v>7984000</v>
      </c>
      <c r="K32" s="270">
        <v>62525095.200000003</v>
      </c>
      <c r="L32" s="270">
        <v>411488.92</v>
      </c>
      <c r="M32" s="270">
        <v>100752.6</v>
      </c>
      <c r="N32" s="270">
        <v>62936584.119999997</v>
      </c>
      <c r="O32" s="255">
        <v>1.38E-2</v>
      </c>
      <c r="P32" s="1"/>
      <c r="Q32" s="1" t="str">
        <f t="shared" si="2"/>
        <v>Investments</v>
      </c>
      <c r="R32" s="1" t="str">
        <f>_xll.BDP(G32&amp;" ISIN",$R$1)</f>
        <v>BBG00M5BYXF5</v>
      </c>
      <c r="S32" s="1" t="str">
        <f>IF(Q32="Cash",Q32,IF(OR(Q32="Receivable Investments",Q32="Payable Investments"),"Cash Adjustments",_xll.BDP(R32&amp;" FIGI",$S$1)))</f>
        <v>BOND</v>
      </c>
      <c r="T32" s="1" t="str">
        <f>IF(Q32="Cash",Q32,IF(OR(Q32="Receivable Investments",Q32="Payable Investments"),"Cash Adjustments",VLOOKUP(R32,LQA!E:S,3,0)))</f>
        <v>Corp</v>
      </c>
      <c r="U32" s="1" t="str">
        <f>IF(Q32="Cash",Q32,IF(OR(Q32="Receivable Investments",Q32="Payable Investments"),"Cash Adjustments",_xll.BDP(R32&amp;" FIGI",$U$1)))</f>
        <v>#N/A Field Not Applicable</v>
      </c>
      <c r="V32" s="10">
        <f>IF(OR(Q32="Cash",Q32="Receivable Investments",Q32="Payable Investments"),0,IF(Q32="Investments",VLOOKUP(R32,LQA!E:Q,12,0),"Not Covered"))</f>
        <v>1.4</v>
      </c>
      <c r="W32" s="76">
        <f>IF(OR(Q32="Cash",Q32="Receivable Investments",Q32="Payable Investments"),0,IF(Q32="Investments",VLOOKUP(R32,LQA!E:Q,9,0),"Not Covered"))</f>
        <v>5.5149999999999999E-3</v>
      </c>
      <c r="X32" s="13" t="str">
        <f>IF(OR(H32=0,T32="Comdty"),"High",IF(V32&lt;='Liquidity Bucket'!$A$4,'Liquidity Bucket'!$I$4,IF(V32&lt;='Liquidity Bucket'!$A$5,'Liquidity Bucket'!$I$5,IF(V32&lt;='Liquidity Bucket'!$A$6,'Liquidity Bucket'!$I$6,IF(V32='Liquidity Bucket'!$A$8,'Liquidity Bucket'!$I$8,'Liquidity Bucket'!$I$7)))))</f>
        <v>High</v>
      </c>
      <c r="Y32" s="153">
        <f>IF(OR(Q32="Cash",Q32="Receivable Investments",Q32="Payable Investments"),0,IF(Q32="Investments",VLOOKUP(R32,'LQA Stress'!E:Q,12,0),"Not Covered"))</f>
        <v>10.5</v>
      </c>
      <c r="Z32" s="75">
        <f>IF(OR(Q32="Cash",Q32="Receivable Investments",Q32="Payable Investments"),0,IF(Q32="Investments",VLOOKUP(R32,'LQA Stress'!E:Q,9,0),"Not Covered"))</f>
        <v>1.3475000000000001E-2</v>
      </c>
      <c r="AA32" s="13" t="str">
        <f>IF(T32="Comdty","High",IF(Y32&lt;='Liquidity Bucket'!$A$4,'Liquidity Bucket'!$I$4,IF(Y32&lt;='Liquidity Bucket'!$A$5,'Liquidity Bucket'!$I$5,IF(Y32&lt;='Liquidity Bucket'!$A$6,'Liquidity Bucket'!$I$6,IF(Y32='Liquidity Bucket'!$A$8,'Liquidity Bucket'!$I$8,'Liquidity Bucket'!$I$7)))))</f>
        <v>Illiquid</v>
      </c>
      <c r="AB32" s="14">
        <f>(N32+M32)/'FX Rates'!$C$5</f>
        <v>8131751.3828689372</v>
      </c>
      <c r="AC32" s="15" t="str">
        <f>IF(X32="Not Covered", (H32/_xll.BDP(R32&amp;" FIGI",$AC$1)),"")</f>
        <v/>
      </c>
      <c r="AD32" s="16" t="str">
        <f>IF(X32="Not Covered", _xll.BDP(R32&amp;" FIGI",$AD$1),"")</f>
        <v/>
      </c>
      <c r="AE32" s="16" t="str">
        <f>IF(OR(T32="Corp",T32="Govt"),IF(_xll.BDP(R32&amp;" FIGI",$AE$1)="#N/A N/A","",_xll.BDP(R32&amp;" FIGI",$AE$1)),"")</f>
        <v/>
      </c>
      <c r="AF32" s="1" t="str">
        <f>IF(OR(T32="Corp",T32="Govt"),IF(_xll.BDP(R32&amp;" FIGI",$AF$1)="#N/A N/A","",_xll.BDP(R32&amp;" FIGI",$AF$1)),"")</f>
        <v>A3</v>
      </c>
      <c r="AG32" s="16" t="str">
        <f>IF(OR(T32="Corp",T32="Govt"),IF(_xll.BDP(R32&amp;" FIGI",$AG$1)="#N/A N/A","",_xll.BDP(R32&amp;" FIGI",$AG$1)),"")</f>
        <v>A-</v>
      </c>
      <c r="AH32" s="125">
        <f>IF(OR(S32="Cash",S32="M-Mkt"),21,IF(AE32="",0,VLOOKUP(AE32,'Rating Scale'!A:B,2,0)))</f>
        <v>0</v>
      </c>
      <c r="AI32" s="125">
        <f>IF(OR(S32="Cash",S32="M-Mkt"),21,IF(AF32="",0,VLOOKUP(AF32,'Rating Scale'!D:E,2,0)))</f>
        <v>15</v>
      </c>
      <c r="AJ32" s="125">
        <f>IF(OR(S32="Cash",S32="M-Mkt"),21,IF(AG32="",0,VLOOKUP(AG32,'Rating Scale'!G:H,2,0)))</f>
        <v>15</v>
      </c>
      <c r="AK32">
        <f t="shared" si="3"/>
        <v>15</v>
      </c>
      <c r="AL32" s="1" t="str">
        <f>IF(OR(U32="Cash",U32="Cash Adjustments"),_xll.BDP(G32&amp;" Curncy","Country"),IF(T32="Equity",_xll.BDP(R32&amp;" FIGI","CNTRY_ISSUE_ISO"),_xll.BDP(R32&amp;" FIGI",$AL$1)))</f>
        <v>CN</v>
      </c>
      <c r="AM32" s="126" t="str">
        <f>IF(OR(T32="Cash",T32="Cash Adjustments",T32="M-Mkt"), T32, IF(T32="Comdty",AS32, _xll.BDP(R32&amp;" FIGI", $AM$1)))</f>
        <v>Consumer, Cyclical</v>
      </c>
      <c r="AN32" s="126" t="str">
        <f>IF(OR(T32="Cash",T32="Cash Adjustments",T32="M-Mkt"), T32,  IF(T32="Comdty",AS32,_xll.BDP(R32&amp;" FIGI", $AN$1)))</f>
        <v>Distribution/Wholesale</v>
      </c>
      <c r="AO32" s="126" t="str">
        <f>IF(OR(T32="Cash",T32="Cash Adjustments",T32="M-Mkt"), T32,  IF(T32="Comdty",AS32,_xll.BDP(R32&amp;" FIGI", $AO$1)))</f>
        <v>Distribution/Wholesale</v>
      </c>
      <c r="AP32" s="13" t="str">
        <f>IF(OR(T32="Cash",T32="Cash Adjustments"), T32, IF(_xll.BDP(R32&amp;" FIGI", $AP$1)="#N/A Field Not Applicable","N",_xll.BDP(R32&amp;" FIGI", $AP$1)))</f>
        <v>N</v>
      </c>
      <c r="AQ32" s="1" t="str">
        <f>IF(OR(T32="Cash",T32="Cash Adjustments"), T32, IF(_xll.BDP(R32&amp;" FIGI", $AQ$1)="#N/A Field Not Applicable"," ",_xll.BDP(R32&amp;" FIGI", $AQ$1)))</f>
        <v xml:space="preserve"> </v>
      </c>
      <c r="AR32" s="1" t="str">
        <f>IF(OR(T32="Cash",T32="Cash Adjustments"), T32, IF(_xll.BDP(R32&amp;" FIGI", $AR$1)="#N/A Field Not Applicable"," ",_xll.BDP(R32&amp;" FIGI", $AR$1)))</f>
        <v>ACTV</v>
      </c>
      <c r="AS32" s="1" t="str">
        <f>VLOOKUP(T32,'SFC Classifcation'!$F$2:$H$7,3,0)</f>
        <v>Corporate</v>
      </c>
      <c r="AT32" s="22" t="str">
        <f t="shared" si="0"/>
        <v>Non-Financial</v>
      </c>
      <c r="AU32" s="1" t="str">
        <f t="shared" si="4"/>
        <v>Investment Grade</v>
      </c>
      <c r="AV32" s="1" t="str">
        <f>IF(OR(T32="Cash",T32="Cash Adjustments"),T32,VLOOKUP(AL32,'SFC Classifcation'!$A:$C,3,0))</f>
        <v>China</v>
      </c>
      <c r="AW32" s="22" t="str">
        <f t="shared" si="5"/>
        <v>High</v>
      </c>
      <c r="AX32" s="22" t="str">
        <f t="shared" si="6"/>
        <v>Illiquid</v>
      </c>
      <c r="AY32" s="45" t="str">
        <f>IF(OR(T32="Cash",T32="Cash Adjustments"), T32, _xll.BDP(R32&amp;" FIGI", $AY$1))</f>
        <v>#N/A Field Not Applicable</v>
      </c>
      <c r="AZ32" s="45" t="str">
        <f>IF(OR(T32="Cash",T32="Cash Adjustments"), T32, _xll.BDP(R32&amp;" FIGI", $AZ$1))</f>
        <v>INDUSTRIAL</v>
      </c>
      <c r="BA32" s="45" t="str">
        <f>IF(OR(T32="Cash",T32="Cash Adjustments"), T32, _xll.BDP(R32&amp;" FIGI", $BA$1))</f>
        <v>Chengtou Bond</v>
      </c>
      <c r="BB32" s="16">
        <f>IF(OR(AS32="Government",AS32="Corporate"),(AK32*AB32/'SFC Report'!$C$20),"")</f>
        <v>0.2216016260077148</v>
      </c>
      <c r="BC32" s="174" t="str">
        <f>IF(OR(T32="Cash",T32="Cash Adjustments", T32="FX Forward", T32="Repo", T32="Equity", T32="M-Mkt"), "", _xll.BDP(R32&amp;" FIGI", $BC$1))</f>
        <v>10/18/2021</v>
      </c>
      <c r="BD32" s="125">
        <f ca="1">IF(OR(T32="Cash",T32="Cash Adjustments",T32="FX Forward",T32="Repo", T32="Equity", T32="M-Mkt"),"",(BC32-'SFC Report'!$B$13)/365)</f>
        <v>1.4684931506849315</v>
      </c>
      <c r="BE32" s="82" t="str">
        <f t="shared" ca="1" si="9"/>
        <v>1 - 2 yrs</v>
      </c>
      <c r="BF32" s="5">
        <f ca="1">IF(BC32="","",BD32*AB32/'SFC Report'!$C$20)</f>
        <v>2.1694697998198197E-2</v>
      </c>
      <c r="BG32" s="14" cm="1">
        <f t="array" ref="BG32">IF(OR(AS32="Corporate",AS32="Government"),_xll.BDP(G32&amp;" ISIN", $BG$1),"")</f>
        <v>1.3338545555716124</v>
      </c>
      <c r="BH32" s="140">
        <f>IF(OR(AS32="Corporate",AS32="Government"),BG32*BN32/'SFC Report'!$C$20,"")</f>
        <v>1.9705622558164472E-2</v>
      </c>
      <c r="BI32" s="140">
        <f>IF(OR(AS32="Corporate",AS32="Government"),_xll.BDP(G32&amp;" ISIN", $BI$1),"")</f>
        <v>3.4193536777363027</v>
      </c>
      <c r="BJ32" s="140">
        <f>IF(OR(AS32="Corporate",AS32="Government"),BI32*AB32/'SFC Report'!$C$20,"")</f>
        <v>5.0515622325454951E-2</v>
      </c>
      <c r="BK32" s="153" t="str">
        <f>IF(OR(T32="Cash",T32="Cash Adjustments"),"-",_xll.BDP(R32&amp;" FIGI",$BK$1))</f>
        <v>XS1891659358</v>
      </c>
      <c r="BL32" s="11" t="str">
        <f>IF(OR(AS32="Cash", AS32="Cash Adjustments"),"-",IF(ISNA(VLOOKUP(BK32,'BBG - VaR Data (Sample, Indus )'!C:N,5,0)),"-",VLOOKUP(BK32,'BBG - VaR Data (Sample, Indus )'!C:N,5,0)))</f>
        <v>-</v>
      </c>
      <c r="BM32" s="11">
        <f>IF(OR(AS32="Cash", AS32="Cash Adjustments"),"-",IF(ISNA(VLOOKUP(BK32,'BBG - Scenarios (Sample View)'!C:Z,14,0)),"-",VLOOKUP(BK32,'BBG - Scenarios (Sample View)'!C:Z,14,0)))</f>
        <v>-1.05</v>
      </c>
      <c r="BN32" s="14">
        <f t="shared" si="7"/>
        <v>8131751.3828689372</v>
      </c>
      <c r="BO32" s="1">
        <f t="shared" si="8"/>
        <v>1.5951640931481659E-2</v>
      </c>
      <c r="BP32" t="str">
        <f>IF(BC32&lt;&gt;0,MaturityBucket(BG32),"")</f>
        <v>1 - 2 yrs</v>
      </c>
      <c r="BQ32" s="11" t="str">
        <f>IF(OR(T32="Cash",T32="Cash Adjustments"),T32,VLOOKUP(AL32,'SFC Classifcation'!$A:$C,2,0))</f>
        <v>China</v>
      </c>
      <c r="BR32" s="1" t="e">
        <f>IF(S32="Bond",BH32/'SFC Report'!$B$7,"")</f>
        <v>#VALUE!</v>
      </c>
      <c r="BS32" t="str">
        <f>IF(OR(T32="Cash",T32="Cash Adjustments"),"-",_xll.BDP(R32&amp;" FIGI",$BS$1))</f>
        <v>#N/A N/A</v>
      </c>
      <c r="BT32" t="str">
        <f>IF(OR(T32="Cash",T32="Cash Adjustments"),"-",_xll.BDP(R32&amp;" FIGI",$BT$1))</f>
        <v>10/3/2018</v>
      </c>
      <c r="BU32" t="str">
        <f>IF(OR(T32="Cash",T32="Cash Adjustments"),"-",_xll.BDP(R32&amp;" FIGI",$BU$1))</f>
        <v>10/30/2018</v>
      </c>
    </row>
    <row r="33" spans="1:73">
      <c r="A33" s="254" t="s">
        <v>15</v>
      </c>
      <c r="B33" s="254" t="s">
        <v>25</v>
      </c>
      <c r="C33" s="254" t="s">
        <v>46</v>
      </c>
      <c r="D33" s="254" t="s">
        <v>22</v>
      </c>
      <c r="E33" s="254"/>
      <c r="F33" s="254" t="s">
        <v>1199</v>
      </c>
      <c r="G33" s="254" t="s">
        <v>1200</v>
      </c>
      <c r="H33" s="270">
        <v>3200000</v>
      </c>
      <c r="I33" s="270">
        <v>128.286</v>
      </c>
      <c r="J33" s="270">
        <v>4106037.26</v>
      </c>
      <c r="K33" s="270">
        <v>31998758.969999999</v>
      </c>
      <c r="L33" s="270">
        <v>-183009.94</v>
      </c>
      <c r="M33" s="270">
        <v>436491.27</v>
      </c>
      <c r="N33" s="270">
        <v>31815749.030000001</v>
      </c>
      <c r="O33" s="255">
        <v>7.0000000000000001E-3</v>
      </c>
      <c r="P33" s="1"/>
      <c r="Q33" s="1" t="str">
        <f t="shared" si="2"/>
        <v>Investments</v>
      </c>
      <c r="R33" s="1" t="str">
        <f>_xll.BDP(G33&amp;" ISIN",$R$1)</f>
        <v>BBG00JCQ6Y42</v>
      </c>
      <c r="S33" s="1" t="str">
        <f>IF(Q33="Cash",Q33,IF(OR(Q33="Receivable Investments",Q33="Payable Investments"),"Cash Adjustments",_xll.BDP(R33&amp;" FIGI",$S$1)))</f>
        <v>BOND</v>
      </c>
      <c r="T33" s="1" t="str">
        <f>IF(Q33="Cash",Q33,IF(OR(Q33="Receivable Investments",Q33="Payable Investments"),"Cash Adjustments",VLOOKUP(R33,LQA!E:S,3,0)))</f>
        <v>Corp</v>
      </c>
      <c r="U33" s="1" t="str">
        <f>IF(Q33="Cash",Q33,IF(OR(Q33="Receivable Investments",Q33="Payable Investments"),"Cash Adjustments",_xll.BDP(R33&amp;" FIGI",$U$1)))</f>
        <v>#N/A Field Not Applicable</v>
      </c>
      <c r="V33" s="10">
        <f>IF(OR(Q33="Cash",Q33="Receivable Investments",Q33="Payable Investments"),0,IF(Q33="Investments",VLOOKUP(R33,LQA!E:Q,12,0),"Not Covered"))</f>
        <v>0.3</v>
      </c>
      <c r="W33" s="76">
        <f>IF(OR(Q33="Cash",Q33="Receivable Investments",Q33="Payable Investments"),0,IF(Q33="Investments",VLOOKUP(R33,LQA!E:Q,9,0),"Not Covered"))</f>
        <v>2.7265999999999999E-2</v>
      </c>
      <c r="X33" s="13" t="str">
        <f>IF(OR(H33=0,T33="Comdty"),"High",IF(V33&lt;='Liquidity Bucket'!$A$4,'Liquidity Bucket'!$I$4,IF(V33&lt;='Liquidity Bucket'!$A$5,'Liquidity Bucket'!$I$5,IF(V33&lt;='Liquidity Bucket'!$A$6,'Liquidity Bucket'!$I$6,IF(V33='Liquidity Bucket'!$A$8,'Liquidity Bucket'!$I$8,'Liquidity Bucket'!$I$7)))))</f>
        <v>High</v>
      </c>
      <c r="Y33" s="153">
        <f>IF(OR(Q33="Cash",Q33="Receivable Investments",Q33="Payable Investments"),0,IF(Q33="Investments",VLOOKUP(R33,'LQA Stress'!E:Q,12,0),"Not Covered"))</f>
        <v>1.3</v>
      </c>
      <c r="Z33" s="75">
        <f>IF(OR(Q33="Cash",Q33="Receivable Investments",Q33="Payable Investments"),0,IF(Q33="Investments",VLOOKUP(R33,'LQA Stress'!E:Q,9,0),"Not Covered"))</f>
        <v>7.4343000000000006E-2</v>
      </c>
      <c r="AA33" s="13" t="str">
        <f>IF(T33="Comdty","High",IF(Y33&lt;='Liquidity Bucket'!$A$4,'Liquidity Bucket'!$I$4,IF(Y33&lt;='Liquidity Bucket'!$A$5,'Liquidity Bucket'!$I$5,IF(Y33&lt;='Liquidity Bucket'!$A$6,'Liquidity Bucket'!$I$6,IF(Y33='Liquidity Bucket'!$A$8,'Liquidity Bucket'!$I$8,'Liquidity Bucket'!$I$7)))))</f>
        <v>High</v>
      </c>
      <c r="AB33" s="14">
        <f>(N33+M33)/'FX Rates'!$C$5</f>
        <v>4160505.7146542831</v>
      </c>
      <c r="AC33" s="15" t="str">
        <f>IF(X33="Not Covered", (H33/_xll.BDP(R33&amp;" FIGI",$AC$1)),"")</f>
        <v/>
      </c>
      <c r="AD33" s="16" t="str">
        <f>IF(X33="Not Covered", _xll.BDP(R33&amp;" FIGI",$AD$1),"")</f>
        <v/>
      </c>
      <c r="AE33" s="16" t="str">
        <f>IF(OR(T33="Corp",T33="Govt"),IF(_xll.BDP(R33&amp;" FIGI",$AE$1)="#N/A N/A","",_xll.BDP(R33&amp;" FIGI",$AE$1)),"")</f>
        <v>A+</v>
      </c>
      <c r="AF33" s="1" t="str">
        <f>IF(OR(T33="Corp",T33="Govt"),IF(_xll.BDP(R33&amp;" FIGI",$AF$1)="#N/A N/A","",_xll.BDP(R33&amp;" FIGI",$AF$1)),"")</f>
        <v>A1</v>
      </c>
      <c r="AG33" s="16" t="str">
        <f>IF(OR(T33="Corp",T33="Govt"),IF(_xll.BDP(R33&amp;" FIGI",$AG$1)="#N/A N/A","",_xll.BDP(R33&amp;" FIGI",$AG$1)),"")</f>
        <v>A+</v>
      </c>
      <c r="AH33" s="125">
        <f>IF(OR(S33="Cash",S33="M-Mkt"),21,IF(AE33="",0,VLOOKUP(AE33,'Rating Scale'!A:B,2,0)))</f>
        <v>17</v>
      </c>
      <c r="AI33" s="125">
        <f>IF(OR(S33="Cash",S33="M-Mkt"),21,IF(AF33="",0,VLOOKUP(AF33,'Rating Scale'!D:E,2,0)))</f>
        <v>17</v>
      </c>
      <c r="AJ33" s="125">
        <f>IF(OR(S33="Cash",S33="M-Mkt"),21,IF(AG33="",0,VLOOKUP(AG33,'Rating Scale'!G:H,2,0)))</f>
        <v>17</v>
      </c>
      <c r="AK33">
        <f t="shared" si="3"/>
        <v>17</v>
      </c>
      <c r="AL33" s="1" t="str">
        <f>IF(OR(U33="Cash",U33="Cash Adjustments"),_xll.BDP(G33&amp;" Curncy","Country"),IF(T33="Equity",_xll.BDP(R33&amp;" FIGI","CNTRY_ISSUE_ISO"),_xll.BDP(R33&amp;" FIGI",$AL$1)))</f>
        <v>CN</v>
      </c>
      <c r="AM33" s="126" t="str">
        <f>IF(OR(T33="Cash",T33="Cash Adjustments",T33="M-Mkt"), T33, IF(T33="Comdty",AS33, _xll.BDP(R33&amp;" FIGI", $AM$1)))</f>
        <v>Communications</v>
      </c>
      <c r="AN33" s="126" t="str">
        <f>IF(OR(T33="Cash",T33="Cash Adjustments",T33="M-Mkt"), T33,  IF(T33="Comdty",AS33,_xll.BDP(R33&amp;" FIGI", $AN$1)))</f>
        <v>Internet</v>
      </c>
      <c r="AO33" s="126" t="str">
        <f>IF(OR(T33="Cash",T33="Cash Adjustments",T33="M-Mkt"), T33,  IF(T33="Comdty",AS33,_xll.BDP(R33&amp;" FIGI", $AO$1)))</f>
        <v>E-Commerce/Products</v>
      </c>
      <c r="AP33" s="13" t="str">
        <f>IF(OR(T33="Cash",T33="Cash Adjustments"), T33, IF(_xll.BDP(R33&amp;" FIGI", $AP$1)="#N/A Field Not Applicable","N",_xll.BDP(R33&amp;" FIGI", $AP$1)))</f>
        <v>N</v>
      </c>
      <c r="AQ33" s="1" t="str">
        <f>IF(OR(T33="Cash",T33="Cash Adjustments"), T33, IF(_xll.BDP(R33&amp;" FIGI", $AQ$1)="#N/A Field Not Applicable"," ",_xll.BDP(R33&amp;" FIGI", $AQ$1)))</f>
        <v xml:space="preserve"> </v>
      </c>
      <c r="AR33" s="1" t="str">
        <f>IF(OR(T33="Cash",T33="Cash Adjustments"), T33, IF(_xll.BDP(R33&amp;" FIGI", $AR$1)="#N/A Field Not Applicable"," ",_xll.BDP(R33&amp;" FIGI", $AR$1)))</f>
        <v>ACTV</v>
      </c>
      <c r="AS33" s="1" t="str">
        <f>VLOOKUP(T33,'SFC Classifcation'!$F$2:$H$7,3,0)</f>
        <v>Corporate</v>
      </c>
      <c r="AT33" s="22" t="str">
        <f t="shared" si="0"/>
        <v>Non-Financial</v>
      </c>
      <c r="AU33" s="1" t="str">
        <f t="shared" si="4"/>
        <v>Investment Grade</v>
      </c>
      <c r="AV33" s="1" t="str">
        <f>IF(OR(T33="Cash",T33="Cash Adjustments"),T33,VLOOKUP(AL33,'SFC Classifcation'!$A:$C,3,0))</f>
        <v>China</v>
      </c>
      <c r="AW33" s="22" t="str">
        <f t="shared" si="5"/>
        <v>High</v>
      </c>
      <c r="AX33" s="22" t="str">
        <f t="shared" si="6"/>
        <v>High</v>
      </c>
      <c r="AY33" s="45" t="str">
        <f>IF(OR(T33="Cash",T33="Cash Adjustments"), T33, _xll.BDP(R33&amp;" FIGI", $AY$1))</f>
        <v>Consumer Discretionary</v>
      </c>
      <c r="AZ33" s="45" t="str">
        <f>IF(OR(T33="Cash",T33="Cash Adjustments"), T33, _xll.BDP(R33&amp;" FIGI", $AZ$1))</f>
        <v>INDUSTRIAL</v>
      </c>
      <c r="BA33" s="45" t="str">
        <f>IF(OR(T33="Cash",T33="Cash Adjustments"), T33, _xll.BDP(R33&amp;" FIGI", $BA$1))</f>
        <v>#N/A Field Not Applicable</v>
      </c>
      <c r="BB33" s="16">
        <f>IF(OR(AS33="Government",AS33="Corporate"),(AK33*AB33/'SFC Report'!$C$20),"")</f>
        <v>0.12849689565038075</v>
      </c>
      <c r="BC33" s="174" t="str">
        <f>IF(OR(T33="Cash",T33="Cash Adjustments", T33="FX Forward", T33="Repo", T33="Equity", T33="M-Mkt"), "", _xll.BDP(R33&amp;" FIGI", $BC$1))</f>
        <v>12/6/2057</v>
      </c>
      <c r="BD33" s="125">
        <f ca="1">IF(OR(T33="Cash",T33="Cash Adjustments",T33="FX Forward",T33="Repo", T33="Equity", T33="M-Mkt"),"",(BC33-'SFC Report'!$B$13)/365)</f>
        <v>37.627397260273973</v>
      </c>
      <c r="BE33" s="82" t="str">
        <f t="shared" ca="1" si="9"/>
        <v>10 yrs or Above</v>
      </c>
      <c r="BF33" s="5">
        <f ca="1">IF(BC33="","",BD33*AB33/'SFC Report'!$C$20)</f>
        <v>0.28441198466757922</v>
      </c>
      <c r="BG33" s="14" cm="1">
        <f t="array" ref="BG33">IF(OR(AS33="Corporate",AS33="Government"),_xll.BDP(G33&amp;" ISIN", $BG$1),"")</f>
        <v>19.899592364714362</v>
      </c>
      <c r="BH33" s="140">
        <f>IF(OR(AS33="Corporate",AS33="Government"),BG33*BN33/'SFC Report'!$C$20,"")</f>
        <v>0.15041387315140087</v>
      </c>
      <c r="BI33" s="140">
        <f>IF(OR(AS33="Corporate",AS33="Government"),_xll.BDP(G33&amp;" ISIN", $BI$1),"")</f>
        <v>3.2125739633628059</v>
      </c>
      <c r="BJ33" s="140">
        <f>IF(OR(AS33="Corporate",AS33="Government"),BI33*AB33/'SFC Report'!$C$20,"")</f>
        <v>2.4282693019962383E-2</v>
      </c>
      <c r="BK33" s="153" t="str">
        <f>IF(OR(T33="Cash",T33="Cash Adjustments"),"-",_xll.BDP(R33&amp;" FIGI",$BK$1))</f>
        <v>US01609WAW29</v>
      </c>
      <c r="BL33" s="11" t="str">
        <f>IF(OR(AS33="Cash", AS33="Cash Adjustments"),"-",IF(ISNA(VLOOKUP(BK33,'BBG - VaR Data (Sample, Indus )'!C:N,5,0)),"-",VLOOKUP(BK33,'BBG - VaR Data (Sample, Indus )'!C:N,5,0)))</f>
        <v>-</v>
      </c>
      <c r="BM33" s="11">
        <f>IF(OR(AS33="Cash", AS33="Cash Adjustments"),"-",IF(ISNA(VLOOKUP(BK33,'BBG - Scenarios (Sample View)'!C:Z,14,0)),"-",VLOOKUP(BK33,'BBG - Scenarios (Sample View)'!C:Z,14,0)))</f>
        <v>-9.42</v>
      </c>
      <c r="BN33" s="14">
        <f t="shared" si="7"/>
        <v>4160505.7146542831</v>
      </c>
      <c r="BO33" s="1">
        <f t="shared" si="8"/>
        <v>8.1614513440926087E-3</v>
      </c>
      <c r="BP33" t="str">
        <f>IF(BC33&lt;&gt;0,MaturityBucket(BG33),"")</f>
        <v>10 yrs or Above</v>
      </c>
      <c r="BQ33" s="11" t="str">
        <f>IF(OR(T33="Cash",T33="Cash Adjustments"),T33,VLOOKUP(AL33,'SFC Classifcation'!$A:$C,2,0))</f>
        <v>China</v>
      </c>
      <c r="BR33" s="1" t="e">
        <f>IF(S33="Bond",BH33/'SFC Report'!$B$7,"")</f>
        <v>#VALUE!</v>
      </c>
      <c r="BS33" t="str">
        <f>IF(OR(T33="Cash",T33="Cash Adjustments"),"-",_xll.BDP(R33&amp;" FIGI",$BS$1))</f>
        <v>11/26/2017</v>
      </c>
      <c r="BT33" t="str">
        <f>IF(OR(T33="Cash",T33="Cash Adjustments"),"-",_xll.BDP(R33&amp;" FIGI",$BT$1))</f>
        <v>11/27/2017</v>
      </c>
      <c r="BU33" t="str">
        <f>IF(OR(T33="Cash",T33="Cash Adjustments"),"-",_xll.BDP(R33&amp;" FIGI",$BU$1))</f>
        <v>12/11/2017</v>
      </c>
    </row>
    <row r="34" spans="1:73">
      <c r="A34" s="254" t="s">
        <v>15</v>
      </c>
      <c r="B34" s="254" t="s">
        <v>25</v>
      </c>
      <c r="C34" s="254" t="s">
        <v>46</v>
      </c>
      <c r="D34" s="254" t="s">
        <v>22</v>
      </c>
      <c r="E34" s="254"/>
      <c r="F34" s="254" t="s">
        <v>1144</v>
      </c>
      <c r="G34" s="254" t="s">
        <v>1145</v>
      </c>
      <c r="H34" s="270">
        <v>3800000</v>
      </c>
      <c r="I34" s="270">
        <v>89.221000000000004</v>
      </c>
      <c r="J34" s="270">
        <v>3800000</v>
      </c>
      <c r="K34" s="270">
        <v>29530940</v>
      </c>
      <c r="L34" s="270">
        <v>-3254677.42</v>
      </c>
      <c r="M34" s="270">
        <v>333284.43</v>
      </c>
      <c r="N34" s="270">
        <v>26276262.579999998</v>
      </c>
      <c r="O34" s="255">
        <v>5.7999999999999996E-3</v>
      </c>
      <c r="P34" s="1"/>
      <c r="Q34" s="1" t="str">
        <f t="shared" si="2"/>
        <v>Investments</v>
      </c>
      <c r="R34" s="1" t="str">
        <f>_xll.BDP(G34&amp;" ISIN",$R$1)</f>
        <v>BBG00RDBJ3B2</v>
      </c>
      <c r="S34" s="1" t="str">
        <f>IF(Q34="Cash",Q34,IF(OR(Q34="Receivable Investments",Q34="Payable Investments"),"Cash Adjustments",_xll.BDP(R34&amp;" FIGI",$S$1)))</f>
        <v>BOND</v>
      </c>
      <c r="T34" s="1" t="str">
        <f>IF(Q34="Cash",Q34,IF(OR(Q34="Receivable Investments",Q34="Payable Investments"),"Cash Adjustments",VLOOKUP(R34,LQA!E:S,3,0)))</f>
        <v>Corp</v>
      </c>
      <c r="U34" s="1" t="str">
        <f>IF(Q34="Cash",Q34,IF(OR(Q34="Receivable Investments",Q34="Payable Investments"),"Cash Adjustments",_xll.BDP(R34&amp;" FIGI",$U$1)))</f>
        <v>#N/A Field Not Applicable</v>
      </c>
      <c r="V34" s="10">
        <f>IF(OR(Q34="Cash",Q34="Receivable Investments",Q34="Payable Investments"),0,IF(Q34="Investments",VLOOKUP(R34,LQA!E:Q,12,0),"Not Covered"))</f>
        <v>0.3</v>
      </c>
      <c r="W34" s="76">
        <f>IF(OR(Q34="Cash",Q34="Receivable Investments",Q34="Payable Investments"),0,IF(Q34="Investments",VLOOKUP(R34,LQA!E:Q,9,0),"Not Covered"))</f>
        <v>8.4060000000000003E-3</v>
      </c>
      <c r="X34" s="13" t="str">
        <f>IF(OR(H34=0,T34="Comdty"),"High",IF(V34&lt;='Liquidity Bucket'!$A$4,'Liquidity Bucket'!$I$4,IF(V34&lt;='Liquidity Bucket'!$A$5,'Liquidity Bucket'!$I$5,IF(V34&lt;='Liquidity Bucket'!$A$6,'Liquidity Bucket'!$I$6,IF(V34='Liquidity Bucket'!$A$8,'Liquidity Bucket'!$I$8,'Liquidity Bucket'!$I$7)))))</f>
        <v>High</v>
      </c>
      <c r="Y34" s="153">
        <f>IF(OR(Q34="Cash",Q34="Receivable Investments",Q34="Payable Investments"),0,IF(Q34="Investments",VLOOKUP(R34,'LQA Stress'!E:Q,12,0),"Not Covered"))</f>
        <v>1.3</v>
      </c>
      <c r="Z34" s="75">
        <f>IF(OR(Q34="Cash",Q34="Receivable Investments",Q34="Payable Investments"),0,IF(Q34="Investments",VLOOKUP(R34,'LQA Stress'!E:Q,9,0),"Not Covered"))</f>
        <v>2.1482000000000001E-2</v>
      </c>
      <c r="AA34" s="13" t="str">
        <f>IF(T34="Comdty","High",IF(Y34&lt;='Liquidity Bucket'!$A$4,'Liquidity Bucket'!$I$4,IF(Y34&lt;='Liquidity Bucket'!$A$5,'Liquidity Bucket'!$I$5,IF(Y34&lt;='Liquidity Bucket'!$A$6,'Liquidity Bucket'!$I$6,IF(Y34='Liquidity Bucket'!$A$8,'Liquidity Bucket'!$I$8,'Liquidity Bucket'!$I$7)))))</f>
        <v>High</v>
      </c>
      <c r="AB34" s="14">
        <f>(N34+M34)/'FX Rates'!$C$5</f>
        <v>3432604.1034571724</v>
      </c>
      <c r="AC34" s="15" t="str">
        <f>IF(X34="Not Covered", (H34/_xll.BDP(R34&amp;" FIGI",$AC$1)),"")</f>
        <v/>
      </c>
      <c r="AD34" s="16" t="str">
        <f>IF(X34="Not Covered", _xll.BDP(R34&amp;" FIGI",$AD$1),"")</f>
        <v/>
      </c>
      <c r="AE34" s="16" t="str">
        <f>IF(OR(T34="Corp",T34="Govt"),IF(_xll.BDP(R34&amp;" FIGI",$AE$1)="#N/A N/A","",_xll.BDP(R34&amp;" FIGI",$AE$1)),"")</f>
        <v/>
      </c>
      <c r="AF34" s="1" t="str">
        <f>IF(OR(T34="Corp",T34="Govt"),IF(_xll.BDP(R34&amp;" FIGI",$AF$1)="#N/A N/A","",_xll.BDP(R34&amp;" FIGI",$AF$1)),"")</f>
        <v>Ba3</v>
      </c>
      <c r="AG34" s="16" t="str">
        <f>IF(OR(T34="Corp",T34="Govt"),IF(_xll.BDP(R34&amp;" FIGI",$AG$1)="#N/A N/A","",_xll.BDP(R34&amp;" FIGI",$AG$1)),"")</f>
        <v/>
      </c>
      <c r="AH34" s="125">
        <f>IF(OR(S34="Cash",S34="M-Mkt"),21,IF(AE34="",0,VLOOKUP(AE34,'Rating Scale'!A:B,2,0)))</f>
        <v>0</v>
      </c>
      <c r="AI34" s="125">
        <f>IF(OR(S34="Cash",S34="M-Mkt"),21,IF(AF34="",0,VLOOKUP(AF34,'Rating Scale'!D:E,2,0)))</f>
        <v>9</v>
      </c>
      <c r="AJ34" s="125">
        <f>IF(OR(S34="Cash",S34="M-Mkt"),21,IF(AG34="",0,VLOOKUP(AG34,'Rating Scale'!G:H,2,0)))</f>
        <v>0</v>
      </c>
      <c r="AK34">
        <f t="shared" si="3"/>
        <v>9</v>
      </c>
      <c r="AL34" s="1" t="str">
        <f>IF(OR(U34="Cash",U34="Cash Adjustments"),_xll.BDP(G34&amp;" Curncy","Country"),IF(T34="Equity",_xll.BDP(R34&amp;" FIGI","CNTRY_ISSUE_ISO"),_xll.BDP(R34&amp;" FIGI",$AL$1)))</f>
        <v>ID</v>
      </c>
      <c r="AM34" s="126" t="str">
        <f>IF(OR(T34="Cash",T34="Cash Adjustments",T34="M-Mkt"), T34, IF(T34="Comdty",AS34, _xll.BDP(R34&amp;" FIGI", $AM$1)))</f>
        <v>Financial</v>
      </c>
      <c r="AN34" s="126" t="str">
        <f>IF(OR(T34="Cash",T34="Cash Adjustments",T34="M-Mkt"), T34,  IF(T34="Comdty",AS34,_xll.BDP(R34&amp;" FIGI", $AN$1)))</f>
        <v>Banks</v>
      </c>
      <c r="AO34" s="126" t="str">
        <f>IF(OR(T34="Cash",T34="Cash Adjustments",T34="M-Mkt"), T34,  IF(T34="Comdty",AS34,_xll.BDP(R34&amp;" FIGI", $AO$1)))</f>
        <v>Commer Banks Non-US</v>
      </c>
      <c r="AP34" s="13" t="str">
        <f>IF(OR(T34="Cash",T34="Cash Adjustments"), T34, IF(_xll.BDP(R34&amp;" FIGI", $AP$1)="#N/A Field Not Applicable","N",_xll.BDP(R34&amp;" FIGI", $AP$1)))</f>
        <v>N</v>
      </c>
      <c r="AQ34" s="1" t="str">
        <f>IF(OR(T34="Cash",T34="Cash Adjustments"), T34, IF(_xll.BDP(R34&amp;" FIGI", $AQ$1)="#N/A Field Not Applicable"," ",_xll.BDP(R34&amp;" FIGI", $AQ$1)))</f>
        <v xml:space="preserve"> </v>
      </c>
      <c r="AR34" s="1" t="str">
        <f>IF(OR(T34="Cash",T34="Cash Adjustments"), T34, IF(_xll.BDP(R34&amp;" FIGI", $AR$1)="#N/A Field Not Applicable"," ",_xll.BDP(R34&amp;" FIGI", $AR$1)))</f>
        <v>ACTV</v>
      </c>
      <c r="AS34" s="1" t="str">
        <f>VLOOKUP(T34,'SFC Classifcation'!$F$2:$H$7,3,0)</f>
        <v>Corporate</v>
      </c>
      <c r="AT34" s="22" t="str">
        <f t="shared" si="0"/>
        <v>Financial</v>
      </c>
      <c r="AU34" s="1" t="str">
        <f t="shared" si="4"/>
        <v>Non-Investment Grade</v>
      </c>
      <c r="AV34" s="1" t="str">
        <f>IF(OR(T34="Cash",T34="Cash Adjustments"),T34,VLOOKUP(AL34,'SFC Classifcation'!$A:$C,3,0))</f>
        <v>Asia - others (1)</v>
      </c>
      <c r="AW34" s="22" t="str">
        <f t="shared" si="5"/>
        <v>High</v>
      </c>
      <c r="AX34" s="22" t="str">
        <f t="shared" si="6"/>
        <v>High</v>
      </c>
      <c r="AY34" s="45" t="str">
        <f>IF(OR(T34="Cash",T34="Cash Adjustments"), T34, _xll.BDP(R34&amp;" FIGI", $AY$1))</f>
        <v>Financials</v>
      </c>
      <c r="AZ34" s="45" t="str">
        <f>IF(OR(T34="Cash",T34="Cash Adjustments"), T34, _xll.BDP(R34&amp;" FIGI", $AZ$1))</f>
        <v>BANK</v>
      </c>
      <c r="BA34" s="45" t="str">
        <f>IF(OR(T34="Cash",T34="Cash Adjustments"), T34, _xll.BDP(R34&amp;" FIGI", $BA$1))</f>
        <v>#N/A Field Not Applicable</v>
      </c>
      <c r="BB34" s="16">
        <f>IF(OR(AS34="Government",AS34="Corporate"),(AK34*AB34/'SFC Report'!$C$20),"")</f>
        <v>5.6125964625728164E-2</v>
      </c>
      <c r="BC34" s="174" t="str">
        <f>IF(OR(T34="Cash",T34="Cash Adjustments", T34="FX Forward", T34="Repo", T34="Equity", T34="M-Mkt"), "", _xll.BDP(R34&amp;" FIGI", $BC$1))</f>
        <v>1/23/2025</v>
      </c>
      <c r="BD34" s="125">
        <f ca="1">IF(OR(T34="Cash",T34="Cash Adjustments",T34="FX Forward",T34="Repo", T34="Equity", T34="M-Mkt"),"",(BC34-'SFC Report'!$B$13)/365)</f>
        <v>4.7369863013698632</v>
      </c>
      <c r="BE34" s="82" t="str">
        <f t="shared" ca="1" si="9"/>
        <v>3 - 5 yrs</v>
      </c>
      <c r="BF34" s="5">
        <f ca="1">IF(BC34="","",BD34*AB34/'SFC Report'!$C$20)</f>
        <v>2.9540880620360428E-2</v>
      </c>
      <c r="BG34" s="14" cm="1">
        <f t="array" ref="BG34">IF(OR(AS34="Corporate",AS34="Government"),_xll.BDP(G34&amp;" ISIN", $BG$1),"")</f>
        <v>4.0879277962857437</v>
      </c>
      <c r="BH34" s="140">
        <f>IF(OR(AS34="Corporate",AS34="Government"),BG34*BN34/'SFC Report'!$C$20,"")</f>
        <v>2.5493210098540504E-2</v>
      </c>
      <c r="BI34" s="140">
        <f>IF(OR(AS34="Corporate",AS34="Government"),_xll.BDP(G34&amp;" ISIN", $BI$1),"")</f>
        <v>5.5363413860858479</v>
      </c>
      <c r="BJ34" s="140">
        <f>IF(OR(AS34="Corporate",AS34="Government"),BI34*AB34/'SFC Report'!$C$20,"")</f>
        <v>3.4525833421267686E-2</v>
      </c>
      <c r="BK34" s="153" t="str">
        <f>IF(OR(T34="Cash",T34="Cash Adjustments"),"-",_xll.BDP(R34&amp;" FIGI",$BK$1))</f>
        <v>XS2099372802</v>
      </c>
      <c r="BL34" s="11" t="str">
        <f>IF(OR(AS34="Cash", AS34="Cash Adjustments"),"-",IF(ISNA(VLOOKUP(BK34,'BBG - VaR Data (Sample, Indus )'!C:N,5,0)),"-",VLOOKUP(BK34,'BBG - VaR Data (Sample, Indus )'!C:N,5,0)))</f>
        <v>-</v>
      </c>
      <c r="BM34" s="11">
        <f>IF(OR(AS34="Cash", AS34="Cash Adjustments"),"-",IF(ISNA(VLOOKUP(BK34,'BBG - Scenarios (Sample View)'!C:Z,14,0)),"-",VLOOKUP(BK34,'BBG - Scenarios (Sample View)'!C:Z,14,0)))</f>
        <v>-5.95</v>
      </c>
      <c r="BN34" s="14">
        <f t="shared" si="7"/>
        <v>3432604.1034571724</v>
      </c>
      <c r="BO34" s="1">
        <f t="shared" si="8"/>
        <v>6.7335639692123941E-3</v>
      </c>
      <c r="BP34" t="str">
        <f>IF(BC34&lt;&gt;0,MaturityBucket(BG34),"")</f>
        <v>3 - 5 yrs</v>
      </c>
      <c r="BQ34" s="11" t="str">
        <f>IF(OR(T34="Cash",T34="Cash Adjustments"),T34,VLOOKUP(AL34,'SFC Classifcation'!$A:$C,2,0))</f>
        <v>Indonesia</v>
      </c>
      <c r="BR34" s="1" t="e">
        <f>IF(S34="Bond",BH34/'SFC Report'!$B$7,"")</f>
        <v>#VALUE!</v>
      </c>
      <c r="BS34" t="str">
        <f>IF(OR(T34="Cash",T34="Cash Adjustments"),"-",_xll.BDP(R34&amp;" FIGI",$BS$1))</f>
        <v>#N/A N/A</v>
      </c>
      <c r="BT34" t="str">
        <f>IF(OR(T34="Cash",T34="Cash Adjustments"),"-",_xll.BDP(R34&amp;" FIGI",$BT$1))</f>
        <v>1/10/2020</v>
      </c>
      <c r="BU34" t="str">
        <f>IF(OR(T34="Cash",T34="Cash Adjustments"),"-",_xll.BDP(R34&amp;" FIGI",$BU$1))</f>
        <v>#N/A N/A</v>
      </c>
    </row>
    <row r="35" spans="1:73">
      <c r="A35" s="254" t="s">
        <v>15</v>
      </c>
      <c r="B35" s="254" t="s">
        <v>25</v>
      </c>
      <c r="C35" s="254" t="s">
        <v>46</v>
      </c>
      <c r="D35" s="254" t="s">
        <v>22</v>
      </c>
      <c r="E35" s="254"/>
      <c r="F35" s="254" t="s">
        <v>1201</v>
      </c>
      <c r="G35" s="254" t="s">
        <v>1202</v>
      </c>
      <c r="H35" s="270">
        <v>12600000</v>
      </c>
      <c r="I35" s="270">
        <v>98.78</v>
      </c>
      <c r="J35" s="270">
        <v>12548854.279999999</v>
      </c>
      <c r="K35" s="270">
        <v>97647748.900000006</v>
      </c>
      <c r="L35" s="270">
        <v>-1186589.56</v>
      </c>
      <c r="M35" s="270">
        <v>546854.11</v>
      </c>
      <c r="N35" s="270">
        <v>96461159.340000004</v>
      </c>
      <c r="O35" s="255">
        <v>2.12E-2</v>
      </c>
      <c r="P35" s="1"/>
      <c r="Q35" s="1" t="str">
        <f t="shared" si="2"/>
        <v>Investments</v>
      </c>
      <c r="R35" s="1" t="str">
        <f>_xll.BDP(G35&amp;" ISIN",$R$1)</f>
        <v>BBG00RYF5CJ7</v>
      </c>
      <c r="S35" s="1" t="str">
        <f>IF(Q35="Cash",Q35,IF(OR(Q35="Receivable Investments",Q35="Payable Investments"),"Cash Adjustments",_xll.BDP(R35&amp;" FIGI",$S$1)))</f>
        <v>BOND</v>
      </c>
      <c r="T35" s="1" t="str">
        <f>IF(Q35="Cash",Q35,IF(OR(Q35="Receivable Investments",Q35="Payable Investments"),"Cash Adjustments",VLOOKUP(R35,LQA!E:S,3,0)))</f>
        <v>Corp</v>
      </c>
      <c r="U35" s="1" t="str">
        <f>IF(Q35="Cash",Q35,IF(OR(Q35="Receivable Investments",Q35="Payable Investments"),"Cash Adjustments",_xll.BDP(R35&amp;" FIGI",$U$1)))</f>
        <v>#N/A Field Not Applicable</v>
      </c>
      <c r="V35" s="10">
        <f>IF(OR(Q35="Cash",Q35="Receivable Investments",Q35="Payable Investments"),0,IF(Q35="Investments",VLOOKUP(R35,LQA!E:Q,12,0),"Not Covered"))</f>
        <v>0.5</v>
      </c>
      <c r="W35" s="76">
        <f>IF(OR(Q35="Cash",Q35="Receivable Investments",Q35="Payable Investments"),0,IF(Q35="Investments",VLOOKUP(R35,LQA!E:Q,9,0),"Not Covered"))</f>
        <v>5.5789999999999998E-3</v>
      </c>
      <c r="X35" s="13" t="str">
        <f>IF(OR(H35=0,T35="Comdty"),"High",IF(V35&lt;='Liquidity Bucket'!$A$4,'Liquidity Bucket'!$I$4,IF(V35&lt;='Liquidity Bucket'!$A$5,'Liquidity Bucket'!$I$5,IF(V35&lt;='Liquidity Bucket'!$A$6,'Liquidity Bucket'!$I$6,IF(V35='Liquidity Bucket'!$A$8,'Liquidity Bucket'!$I$8,'Liquidity Bucket'!$I$7)))))</f>
        <v>High</v>
      </c>
      <c r="Y35" s="153">
        <f>IF(OR(Q35="Cash",Q35="Receivable Investments",Q35="Payable Investments"),0,IF(Q35="Investments",VLOOKUP(R35,'LQA Stress'!E:Q,12,0),"Not Covered"))</f>
        <v>1.2</v>
      </c>
      <c r="Z35" s="75">
        <f>IF(OR(Q35="Cash",Q35="Receivable Investments",Q35="Payable Investments"),0,IF(Q35="Investments",VLOOKUP(R35,'LQA Stress'!E:Q,9,0),"Not Covered"))</f>
        <v>1.4991000000000001E-2</v>
      </c>
      <c r="AA35" s="13" t="str">
        <f>IF(T35="Comdty","High",IF(Y35&lt;='Liquidity Bucket'!$A$4,'Liquidity Bucket'!$I$4,IF(Y35&lt;='Liquidity Bucket'!$A$5,'Liquidity Bucket'!$I$5,IF(Y35&lt;='Liquidity Bucket'!$A$6,'Liquidity Bucket'!$I$6,IF(Y35='Liquidity Bucket'!$A$8,'Liquidity Bucket'!$I$8,'Liquidity Bucket'!$I$7)))))</f>
        <v>High</v>
      </c>
      <c r="AB35" s="14">
        <f>(N35+M35)/'FX Rates'!$C$5</f>
        <v>12513933.623581013</v>
      </c>
      <c r="AC35" s="15" t="str">
        <f>IF(X35="Not Covered", (H35/_xll.BDP(R35&amp;" FIGI",$AC$1)),"")</f>
        <v/>
      </c>
      <c r="AD35" s="16" t="str">
        <f>IF(X35="Not Covered", _xll.BDP(R35&amp;" FIGI",$AD$1),"")</f>
        <v/>
      </c>
      <c r="AE35" s="16" t="str">
        <f>IF(OR(T35="Corp",T35="Govt"),IF(_xll.BDP(R35&amp;" FIGI",$AE$1)="#N/A N/A","",_xll.BDP(R35&amp;" FIGI",$AE$1)),"")</f>
        <v>BB+</v>
      </c>
      <c r="AF35" s="1" t="str">
        <f>IF(OR(T35="Corp",T35="Govt"),IF(_xll.BDP(R35&amp;" FIGI",$AF$1)="#N/A N/A","",_xll.BDP(R35&amp;" FIGI",$AF$1)),"")</f>
        <v>Ba1</v>
      </c>
      <c r="AG35" s="16" t="str">
        <f>IF(OR(T35="Corp",T35="Govt"),IF(_xll.BDP(R35&amp;" FIGI",$AG$1)="#N/A N/A","",_xll.BDP(R35&amp;" FIGI",$AG$1)),"")</f>
        <v>BB+</v>
      </c>
      <c r="AH35" s="125">
        <f>IF(OR(S35="Cash",S35="M-Mkt"),21,IF(AE35="",0,VLOOKUP(AE35,'Rating Scale'!A:B,2,0)))</f>
        <v>11</v>
      </c>
      <c r="AI35" s="125">
        <f>IF(OR(S35="Cash",S35="M-Mkt"),21,IF(AF35="",0,VLOOKUP(AF35,'Rating Scale'!D:E,2,0)))</f>
        <v>11</v>
      </c>
      <c r="AJ35" s="125">
        <f>IF(OR(S35="Cash",S35="M-Mkt"),21,IF(AG35="",0,VLOOKUP(AG35,'Rating Scale'!G:H,2,0)))</f>
        <v>11</v>
      </c>
      <c r="AK35">
        <f t="shared" si="3"/>
        <v>11</v>
      </c>
      <c r="AL35" s="1" t="str">
        <f>IF(OR(U35="Cash",U35="Cash Adjustments"),_xll.BDP(G35&amp;" Curncy","Country"),IF(T35="Equity",_xll.BDP(R35&amp;" FIGI","CNTRY_ISSUE_ISO"),_xll.BDP(R35&amp;" FIGI",$AL$1)))</f>
        <v>CN</v>
      </c>
      <c r="AM35" s="126" t="str">
        <f>IF(OR(T35="Cash",T35="Cash Adjustments",T35="M-Mkt"), T35, IF(T35="Comdty",AS35, _xll.BDP(R35&amp;" FIGI", $AM$1)))</f>
        <v>Financial</v>
      </c>
      <c r="AN35" s="126" t="str">
        <f>IF(OR(T35="Cash",T35="Cash Adjustments",T35="M-Mkt"), T35,  IF(T35="Comdty",AS35,_xll.BDP(R35&amp;" FIGI", $AN$1)))</f>
        <v>Banks</v>
      </c>
      <c r="AO35" s="126" t="str">
        <f>IF(OR(T35="Cash",T35="Cash Adjustments",T35="M-Mkt"), T35,  IF(T35="Comdty",AS35,_xll.BDP(R35&amp;" FIGI", $AO$1)))</f>
        <v>Commer Banks Non-US</v>
      </c>
      <c r="AP35" s="13" t="str">
        <f>IF(OR(T35="Cash",T35="Cash Adjustments"), T35, IF(_xll.BDP(R35&amp;" FIGI", $AP$1)="#N/A Field Not Applicable","N",_xll.BDP(R35&amp;" FIGI", $AP$1)))</f>
        <v>Y</v>
      </c>
      <c r="AQ35" s="1" t="str">
        <f>IF(OR(T35="Cash",T35="Cash Adjustments"), T35, IF(_xll.BDP(R35&amp;" FIGI", $AQ$1)="#N/A Field Not Applicable"," ",_xll.BDP(R35&amp;" FIGI", $AQ$1)))</f>
        <v>Common Equity Tier 1 Ratio</v>
      </c>
      <c r="AR35" s="1" t="str">
        <f>IF(OR(T35="Cash",T35="Cash Adjustments"), T35, IF(_xll.BDP(R35&amp;" FIGI", $AR$1)="#N/A Field Not Applicable"," ",_xll.BDP(R35&amp;" FIGI", $AR$1)))</f>
        <v>ACTV</v>
      </c>
      <c r="AS35" s="1" t="str">
        <f>VLOOKUP(T35,'SFC Classifcation'!$F$2:$H$7,3,0)</f>
        <v>Corporate</v>
      </c>
      <c r="AT35" s="22" t="str">
        <f t="shared" si="0"/>
        <v>Financial</v>
      </c>
      <c r="AU35" s="1" t="str">
        <f t="shared" si="4"/>
        <v>Non-Investment Grade</v>
      </c>
      <c r="AV35" s="1" t="str">
        <f>IF(OR(T35="Cash",T35="Cash Adjustments"),T35,VLOOKUP(AL35,'SFC Classifcation'!$A:$C,3,0))</f>
        <v>China</v>
      </c>
      <c r="AW35" s="22" t="str">
        <f t="shared" si="5"/>
        <v>High</v>
      </c>
      <c r="AX35" s="22" t="str">
        <f t="shared" si="6"/>
        <v>High</v>
      </c>
      <c r="AY35" s="45" t="str">
        <f>IF(OR(T35="Cash",T35="Cash Adjustments"), T35, _xll.BDP(R35&amp;" FIGI", $AY$1))</f>
        <v>Financials</v>
      </c>
      <c r="AZ35" s="45" t="str">
        <f>IF(OR(T35="Cash",T35="Cash Adjustments"), T35, _xll.BDP(R35&amp;" FIGI", $AZ$1))</f>
        <v>BANK</v>
      </c>
      <c r="BA35" s="45" t="str">
        <f>IF(OR(T35="Cash",T35="Cash Adjustments"), T35, _xll.BDP(R35&amp;" FIGI", $BA$1))</f>
        <v>#N/A Field Not Applicable</v>
      </c>
      <c r="BB35" s="16">
        <f>IF(OR(AS35="Government",AS35="Corporate"),(AK35*AB35/'SFC Report'!$C$20),"")</f>
        <v>0.25008297302663601</v>
      </c>
      <c r="BC35" s="174" t="str">
        <f>IF(OR(T35="Cash",T35="Cash Adjustments", T35="FX Forward", T35="Repo", T35="Equity", T35="M-Mkt"), "", _xll.BDP(R35&amp;" FIGI", $BC$1))</f>
        <v>3/4/2169</v>
      </c>
      <c r="BD35" s="125">
        <f ca="1">IF(OR(T35="Cash",T35="Cash Adjustments",T35="FX Forward",T35="Repo", T35="Equity", T35="M-Mkt"),"",(BC35-'SFC Report'!$B$13)/365)</f>
        <v>148.94246575342467</v>
      </c>
      <c r="BE35" s="82" t="str">
        <f t="shared" ca="1" si="9"/>
        <v>10 yrs or Above</v>
      </c>
      <c r="BF35" s="5">
        <f ca="1">IF(BC35="","",BD35*AB35/'SFC Report'!$C$20)</f>
        <v>3.3861795132303962</v>
      </c>
      <c r="BG35" s="14" cm="1">
        <f t="array" ref="BG35">IF(OR(AS35="Corporate",AS35="Government"),_xll.BDP(G35&amp;" ISIN", $BG$1),"")</f>
        <v>4.2757862555903046</v>
      </c>
      <c r="BH35" s="140">
        <f>IF(OR(AS35="Corporate",AS35="Government"),BG35*BN35/'SFC Report'!$C$20,"")</f>
        <v>9.7209212620404647E-2</v>
      </c>
      <c r="BI35" s="140">
        <f>IF(OR(AS35="Corporate",AS35="Government"),_xll.BDP(G35&amp;" ISIN", $BI$1),"")</f>
        <v>2.9041648473760131</v>
      </c>
      <c r="BJ35" s="140">
        <f>IF(OR(AS35="Corporate",AS35="Government"),BI35*AB35/'SFC Report'!$C$20,"")</f>
        <v>6.6025652653749073E-2</v>
      </c>
      <c r="BK35" s="153" t="str">
        <f>IF(OR(T35="Cash",T35="Cash Adjustments"),"-",_xll.BDP(R35&amp;" FIGI",$BK$1))</f>
        <v>XS2125922349</v>
      </c>
      <c r="BL35" s="11" t="str">
        <f>IF(OR(AS35="Cash", AS35="Cash Adjustments"),"-",IF(ISNA(VLOOKUP(BK35,'BBG - VaR Data (Sample, Indus )'!C:N,5,0)),"-",VLOOKUP(BK35,'BBG - VaR Data (Sample, Indus )'!C:N,5,0)))</f>
        <v>-</v>
      </c>
      <c r="BM35" s="11">
        <f>IF(OR(AS35="Cash", AS35="Cash Adjustments"),"-",IF(ISNA(VLOOKUP(BK35,'BBG - Scenarios (Sample View)'!C:Z,14,0)),"-",VLOOKUP(BK35,'BBG - Scenarios (Sample View)'!C:Z,14,0)))</f>
        <v>-7.09</v>
      </c>
      <c r="BN35" s="14">
        <f t="shared" si="7"/>
        <v>12513933.623581013</v>
      </c>
      <c r="BO35" s="1">
        <f t="shared" si="8"/>
        <v>2.4547943782970524E-2</v>
      </c>
      <c r="BP35" t="str">
        <f>IF(BC35&lt;&gt;0,MaturityBucket(BG35),"")</f>
        <v>3 - 5 yrs</v>
      </c>
      <c r="BQ35" s="11" t="str">
        <f>IF(OR(T35="Cash",T35="Cash Adjustments"),T35,VLOOKUP(AL35,'SFC Classifcation'!$A:$C,2,0))</f>
        <v>China</v>
      </c>
      <c r="BR35" s="1" t="e">
        <f>IF(S35="Bond",BH35/'SFC Report'!$B$7,"")</f>
        <v>#VALUE!</v>
      </c>
      <c r="BS35" t="str">
        <f>IF(OR(T35="Cash",T35="Cash Adjustments"),"-",_xll.BDP(R35&amp;" FIGI",$BS$1))</f>
        <v>2/23/2020</v>
      </c>
      <c r="BT35" t="str">
        <f>IF(OR(T35="Cash",T35="Cash Adjustments"),"-",_xll.BDP(R35&amp;" FIGI",$BT$1))</f>
        <v>2/24/2020</v>
      </c>
      <c r="BU35" t="str">
        <f>IF(OR(T35="Cash",T35="Cash Adjustments"),"-",_xll.BDP(R35&amp;" FIGI",$BU$1))</f>
        <v>2/27/2020</v>
      </c>
    </row>
    <row r="36" spans="1:73">
      <c r="A36" s="254" t="s">
        <v>15</v>
      </c>
      <c r="B36" s="254" t="s">
        <v>25</v>
      </c>
      <c r="C36" s="254" t="s">
        <v>46</v>
      </c>
      <c r="D36" s="254" t="s">
        <v>22</v>
      </c>
      <c r="E36" s="254"/>
      <c r="F36" s="254" t="s">
        <v>1293</v>
      </c>
      <c r="G36" s="254" t="s">
        <v>1294</v>
      </c>
      <c r="H36" s="270">
        <v>10000000</v>
      </c>
      <c r="I36" s="270">
        <v>99.45</v>
      </c>
      <c r="J36" s="270">
        <v>10000000</v>
      </c>
      <c r="K36" s="270">
        <v>77692000</v>
      </c>
      <c r="L36" s="270">
        <v>-616261</v>
      </c>
      <c r="M36" s="270">
        <v>253173.2</v>
      </c>
      <c r="N36" s="270">
        <v>77075739</v>
      </c>
      <c r="O36" s="255">
        <v>1.6899999999999998E-2</v>
      </c>
      <c r="P36" s="1"/>
      <c r="Q36" s="1" t="str">
        <f t="shared" si="2"/>
        <v>Investments</v>
      </c>
      <c r="R36" s="1" t="str">
        <f>_xll.BDP(G36&amp;" ISIN",$R$1)</f>
        <v>BBG00S9HKR72</v>
      </c>
      <c r="S36" s="1" t="str">
        <f>IF(Q36="Cash",Q36,IF(OR(Q36="Receivable Investments",Q36="Payable Investments"),"Cash Adjustments",_xll.BDP(R36&amp;" FIGI",$S$1)))</f>
        <v>BOND</v>
      </c>
      <c r="T36" s="1" t="str">
        <f>IF(Q36="Cash",Q36,IF(OR(Q36="Receivable Investments",Q36="Payable Investments"),"Cash Adjustments",VLOOKUP(R36,LQA!E:S,3,0)))</f>
        <v>Corp</v>
      </c>
      <c r="U36" s="1" t="str">
        <f>IF(Q36="Cash",Q36,IF(OR(Q36="Receivable Investments",Q36="Payable Investments"),"Cash Adjustments",_xll.BDP(R36&amp;" FIGI",$U$1)))</f>
        <v>#N/A Field Not Applicable</v>
      </c>
      <c r="V36" s="10">
        <f>IF(OR(Q36="Cash",Q36="Receivable Investments",Q36="Payable Investments"),0,IF(Q36="Investments",VLOOKUP(R36,LQA!E:Q,12,0),"Not Covered"))</f>
        <v>1.8</v>
      </c>
      <c r="W36" s="76">
        <f>IF(OR(Q36="Cash",Q36="Receivable Investments",Q36="Payable Investments"),0,IF(Q36="Investments",VLOOKUP(R36,LQA!E:Q,9,0),"Not Covered"))</f>
        <v>5.7780000000000001E-3</v>
      </c>
      <c r="X36" s="13" t="str">
        <f>IF(OR(H36=0,T36="Comdty"),"High",IF(V36&lt;='Liquidity Bucket'!$A$4,'Liquidity Bucket'!$I$4,IF(V36&lt;='Liquidity Bucket'!$A$5,'Liquidity Bucket'!$I$5,IF(V36&lt;='Liquidity Bucket'!$A$6,'Liquidity Bucket'!$I$6,IF(V36='Liquidity Bucket'!$A$8,'Liquidity Bucket'!$I$8,'Liquidity Bucket'!$I$7)))))</f>
        <v>High</v>
      </c>
      <c r="Y36" s="153">
        <f>IF(OR(Q36="Cash",Q36="Receivable Investments",Q36="Payable Investments"),0,IF(Q36="Investments",VLOOKUP(R36,'LQA Stress'!E:Q,12,0),"Not Covered"))</f>
        <v>6.9</v>
      </c>
      <c r="Z36" s="75">
        <f>IF(OR(Q36="Cash",Q36="Receivable Investments",Q36="Payable Investments"),0,IF(Q36="Investments",VLOOKUP(R36,'LQA Stress'!E:Q,9,0),"Not Covered"))</f>
        <v>1.3828999999999999E-2</v>
      </c>
      <c r="AA36" s="13" t="str">
        <f>IF(OR(H36=0,T36="Comdty",T36="M-Mkt"),"High",IF(V36&lt;='Liquidity Bucket'!$A$4,'Liquidity Bucket'!$I$4,IF(V36&lt;='Liquidity Bucket'!$A$5,'Liquidity Bucket'!$I$5,IF(V36&lt;='Liquidity Bucket'!$A$6,'Liquidity Bucket'!$I$6,IF(V36='Liquidity Bucket'!$A$8,'Liquidity Bucket'!$I$8,'Liquidity Bucket'!$I$7)))))</f>
        <v>High</v>
      </c>
      <c r="AB36" s="14">
        <f>(N36+M36)/'FX Rates'!$C$5</f>
        <v>9975349.8710010331</v>
      </c>
      <c r="AC36" s="15" t="str">
        <f>IF(X36="Not Covered", (H36/_xll.BDP(R36&amp;" FIGI",$AC$1)),"")</f>
        <v/>
      </c>
      <c r="AD36" s="16" t="str">
        <f>IF(X36="Not Covered", _xll.BDP(R36&amp;" FIGI",$AD$1),"")</f>
        <v/>
      </c>
      <c r="AE36" s="16" t="str">
        <f>IF(OR(T36="Corp",T36="Govt"),IF(_xll.BDP(R36&amp;" FIGI",$AE$1)="#N/A N/A","",_xll.BDP(R36&amp;" FIGI",$AE$1)),"")</f>
        <v/>
      </c>
      <c r="AF36" s="1" t="str">
        <f>IF(OR(T36="Corp",T36="Govt"),IF(_xll.BDP(R36&amp;" FIGI",$AF$1)="#N/A N/A","",_xll.BDP(R36&amp;" FIGI",$AF$1)),"")</f>
        <v/>
      </c>
      <c r="AG36" s="16" t="str">
        <f>IF(OR(T36="Corp",T36="Govt"),IF(_xll.BDP(R36&amp;" FIGI",$AG$1)="#N/A N/A","",_xll.BDP(R36&amp;" FIGI",$AG$1)),"")</f>
        <v>BBB</v>
      </c>
      <c r="AH36" s="125">
        <f>IF(OR(S36="Cash",S36="M-Mkt"),21,IF(AE36="",0,VLOOKUP(AE36,'Rating Scale'!A:B,2,0)))</f>
        <v>0</v>
      </c>
      <c r="AI36" s="125">
        <f>IF(OR(S36="Cash",S36="M-Mkt"),21,IF(AF36="",0,VLOOKUP(AF36,'Rating Scale'!D:E,2,0)))</f>
        <v>0</v>
      </c>
      <c r="AJ36" s="125">
        <f>IF(OR(S36="Cash",S36="M-Mkt"),21,IF(AG36="",0,VLOOKUP(AG36,'Rating Scale'!G:H,2,0)))</f>
        <v>13</v>
      </c>
      <c r="AK36">
        <f>Rating(AH36,AI36,AJ36)</f>
        <v>13</v>
      </c>
      <c r="AL36" s="1" t="str">
        <f>IF(OR(U36="Cash",U36="Cash Adjustments"),_xll.BDP(G36&amp;" Curncy","Country"),IF(T36="Equity",_xll.BDP(R36&amp;" FIGI","CNTRY_ISSUE_ISO"),_xll.BDP(R36&amp;" FIGI",$AL$1)))</f>
        <v>CN</v>
      </c>
      <c r="AM36" s="126" t="str">
        <f>IF(OR(T36="Cash",T36="Cash Adjustments",T36="M-Mkt"), T36, IF(T36="Comdty",AS36, _xll.BDP(R36&amp;" FIGI", $AM$1)))</f>
        <v>Financial</v>
      </c>
      <c r="AN36" s="126" t="str">
        <f>IF(OR(T36="Cash",T36="Cash Adjustments",T36="M-Mkt"), T36,  IF(T36="Comdty",AS36,_xll.BDP(R36&amp;" FIGI", $AN$1)))</f>
        <v>Real Estate</v>
      </c>
      <c r="AO36" s="126" t="str">
        <f>IF(OR(T36="Cash",T36="Cash Adjustments",T36="M-Mkt"), T36,  IF(T36="Comdty",AS36,_xll.BDP(R36&amp;" FIGI", $AO$1)))</f>
        <v>Real Estate Oper/Develop</v>
      </c>
      <c r="AP36" s="13" t="str">
        <f>IF(OR(T36="Cash",T36="Cash Adjustments"), T36, IF(_xll.BDP(R36&amp;" FIGI", $AP$1)="#N/A Field Not Applicable","N",_xll.BDP(R36&amp;" FIGI", $AP$1)))</f>
        <v>N</v>
      </c>
      <c r="AQ36" s="1" t="str">
        <f>IF(OR(T36="Cash",T36="Cash Adjustments"), T36, IF(_xll.BDP(R36&amp;" FIGI", $AQ$1)="#N/A Field Not Applicable"," ",_xll.BDP(R36&amp;" FIGI", $AQ$1)))</f>
        <v xml:space="preserve"> </v>
      </c>
      <c r="AR36" s="1" t="str">
        <f>IF(OR(T36="Cash",T36="Cash Adjustments"), T36, IF(_xll.BDP(R36&amp;" FIGI", $AR$1)="#N/A Field Not Applicable"," ",_xll.BDP(R36&amp;" FIGI", $AR$1)))</f>
        <v>ACTV</v>
      </c>
      <c r="AS36" s="1" t="str">
        <f>VLOOKUP(T36,'SFC Classifcation'!$F$2:$H$7,3,0)</f>
        <v>Corporate</v>
      </c>
      <c r="AT36" s="22" t="str">
        <f t="shared" si="0"/>
        <v>Financial</v>
      </c>
      <c r="AU36" s="1" t="str">
        <f t="shared" si="4"/>
        <v>Investment Grade</v>
      </c>
      <c r="AV36" s="1" t="str">
        <f>IF(OR(T36="Cash",T36="Cash Adjustments"),T36,VLOOKUP(AL36,'SFC Classifcation'!$A:$C,3,0))</f>
        <v>China</v>
      </c>
      <c r="AW36" s="22" t="str">
        <f>LQBucket(X36,AK36,AD36,AC36)</f>
        <v>High</v>
      </c>
      <c r="AX36" s="22" t="str">
        <f t="shared" si="6"/>
        <v>High</v>
      </c>
      <c r="AY36" s="45" t="str">
        <f>IF(OR(T36="Cash",T36="Cash Adjustments"), T36, _xll.BDP(R36&amp;" FIGI", $AY$1))</f>
        <v>#N/A Field Not Applicable</v>
      </c>
      <c r="AZ36" s="45" t="str">
        <f>IF(OR(T36="Cash",T36="Cash Adjustments"), T36, _xll.BDP(R36&amp;" FIGI", $AZ$1))</f>
        <v>SPECIAL PURPOSE</v>
      </c>
      <c r="BA36" s="45" t="str">
        <f>IF(OR(T36="Cash",T36="Cash Adjustments"), T36, _xll.BDP(R36&amp;" FIGI", $BA$1))</f>
        <v>Chengtou Bond</v>
      </c>
      <c r="BB36" s="16">
        <f>IF(OR(AS36="Government",AS36="Corporate"),(AK36*AB36/'SFC Report'!$C$20),"")</f>
        <v>0.23559663361791172</v>
      </c>
      <c r="BC36" s="174" t="str">
        <f>IF(OR(T36="Cash",T36="Cash Adjustments", T36="FX Forward", T36="Repo", T36="Equity", T36="M-Mkt"), "", _xll.BDP(R36&amp;" FIGI", $BC$1))</f>
        <v>3/18/2023</v>
      </c>
      <c r="BD36" s="125">
        <f ca="1">IF(OR(T36="Cash",T36="Cash Adjustments",T36="FX Forward",T36="Repo", T36="Equity", T36="M-Mkt"),"",(BC36-'SFC Report'!$B$13)/365)</f>
        <v>2.882191780821918</v>
      </c>
      <c r="BE36" s="82" t="str">
        <f t="shared" ca="1" si="9"/>
        <v>2 - 3 yrs</v>
      </c>
      <c r="BF36" s="5">
        <f ca="1">IF(BC36="","",BD36*AB36/'SFC Report'!$C$20)</f>
        <v>5.2233437000219839E-2</v>
      </c>
      <c r="BG36" s="14" cm="1">
        <f t="array" ref="BG36">IF(OR(AS36="Corporate",AS36="Government"),_xll.BDP(G36&amp;" ISIN", $BG$1),"")</f>
        <v>2.6663460679258693</v>
      </c>
      <c r="BH36" s="140">
        <f>IF(OR(AS36="Corporate",AS36="Government"),BG36*BN36/'SFC Report'!$C$20,"")</f>
        <v>4.8321704435668508E-2</v>
      </c>
      <c r="BI36" s="140">
        <f>IF(OR(AS36="Corporate",AS36="Government"),_xll.BDP(G36&amp;" ISIN", $BI$1),"")</f>
        <v>2.9985807206066752</v>
      </c>
      <c r="BJ36" s="140">
        <f>IF(OR(AS36="Corporate",AS36="Government"),BI36*AB36/'SFC Report'!$C$20,"")</f>
        <v>5.4342732569731121E-2</v>
      </c>
      <c r="BK36" s="153" t="str">
        <f>IF(OR(T36="Cash",T36="Cash Adjustments"),"-",_xll.BDP(R36&amp;" FIGI",$BK$1))</f>
        <v>XS2127809528</v>
      </c>
      <c r="BL36" s="11" t="str">
        <f>IF(OR(AS36="Cash", AS36="Cash Adjustments"),"-",IF(ISNA(VLOOKUP(BK36,'BBG - VaR Data (Sample, Indus )'!C:N,5,0)),"-",VLOOKUP(BK36,'BBG - VaR Data (Sample, Indus )'!C:N,5,0)))</f>
        <v>-</v>
      </c>
      <c r="BM36" s="11">
        <f>IF(OR(AS36="Cash", AS36="Cash Adjustments"),"-",IF(ISNA(VLOOKUP(BK36,'BBG - Scenarios (Sample View)'!C:Z,14,0)),"-",VLOOKUP(BK36,'BBG - Scenarios (Sample View)'!C:Z,14,0)))</f>
        <v>-2.21</v>
      </c>
      <c r="BN36" s="14">
        <f t="shared" si="7"/>
        <v>9975349.8710010331</v>
      </c>
      <c r="BO36" s="1">
        <f t="shared" si="8"/>
        <v>1.9568133827029353E-2</v>
      </c>
      <c r="BP36" t="str">
        <f>IF(BC36&lt;&gt;0,MaturityBucket(BG36),"")</f>
        <v>2 - 3 yrs</v>
      </c>
      <c r="BQ36" s="11" t="str">
        <f>IF(OR(T36="Cash",T36="Cash Adjustments"),T36,VLOOKUP(AL36,'SFC Classifcation'!$A:$C,2,0))</f>
        <v>China</v>
      </c>
      <c r="BR36" s="1" t="e">
        <f>IF(S36="Bond",BH36/'SFC Report'!$B$7,"")</f>
        <v>#VALUE!</v>
      </c>
      <c r="BS36" t="str">
        <f>IF(OR(T36="Cash",T36="Cash Adjustments"),"-",_xll.BDP(R36&amp;" FIGI",$BS$1))</f>
        <v>#N/A N/A</v>
      </c>
      <c r="BT36" t="str">
        <f>IF(OR(T36="Cash",T36="Cash Adjustments"),"-",_xll.BDP(R36&amp;" FIGI",$BT$1))</f>
        <v>#N/A N/A</v>
      </c>
      <c r="BU36" t="str">
        <f>IF(OR(T36="Cash",T36="Cash Adjustments"),"-",_xll.BDP(R36&amp;" FIGI",$BU$1))</f>
        <v>3/10/2020</v>
      </c>
    </row>
    <row r="37" spans="1:73">
      <c r="A37" s="254" t="s">
        <v>15</v>
      </c>
      <c r="B37" s="254" t="s">
        <v>25</v>
      </c>
      <c r="C37" s="254" t="s">
        <v>46</v>
      </c>
      <c r="D37" s="254" t="s">
        <v>22</v>
      </c>
      <c r="E37" s="254"/>
      <c r="F37" s="254" t="s">
        <v>1295</v>
      </c>
      <c r="G37" s="254" t="s">
        <v>1296</v>
      </c>
      <c r="H37" s="270">
        <v>5375000</v>
      </c>
      <c r="I37" s="270">
        <v>90.162999999999997</v>
      </c>
      <c r="J37" s="270">
        <v>4947766.6100000003</v>
      </c>
      <c r="K37" s="270">
        <v>38435201.670000002</v>
      </c>
      <c r="L37" s="270">
        <v>-875707.72</v>
      </c>
      <c r="M37" s="270">
        <v>98068.29</v>
      </c>
      <c r="N37" s="270">
        <v>37559493.950000003</v>
      </c>
      <c r="O37" s="255">
        <v>8.3000000000000001E-3</v>
      </c>
      <c r="P37" s="1"/>
      <c r="Q37" s="1" t="str">
        <f t="shared" si="2"/>
        <v>Investments</v>
      </c>
      <c r="R37" s="1" t="str">
        <f>_xll.BDP(G37&amp;" ISIN",$R$1)</f>
        <v>BBG00QJ3FR72</v>
      </c>
      <c r="S37" s="1" t="str">
        <f>IF(Q37="Cash",Q37,IF(OR(Q37="Receivable Investments",Q37="Payable Investments"),"Cash Adjustments",_xll.BDP(R37&amp;" FIGI",$S$1)))</f>
        <v>BOND</v>
      </c>
      <c r="T37" s="1" t="str">
        <f>IF(Q37="Cash",Q37,IF(OR(Q37="Receivable Investments",Q37="Payable Investments"),"Cash Adjustments",VLOOKUP(R37,LQA!E:S,3,0)))</f>
        <v>Corp</v>
      </c>
      <c r="U37" s="1" t="str">
        <f>IF(Q37="Cash",Q37,IF(OR(Q37="Receivable Investments",Q37="Payable Investments"),"Cash Adjustments",_xll.BDP(R37&amp;" FIGI",$U$1)))</f>
        <v>#N/A Field Not Applicable</v>
      </c>
      <c r="V37" s="10">
        <f>IF(OR(Q37="Cash",Q37="Receivable Investments",Q37="Payable Investments"),0,IF(Q37="Investments",VLOOKUP(R37,LQA!E:Q,12,0),"Not Covered"))</f>
        <v>0.3</v>
      </c>
      <c r="W37" s="76">
        <f>IF(OR(Q37="Cash",Q37="Receivable Investments",Q37="Payable Investments"),0,IF(Q37="Investments",VLOOKUP(R37,LQA!E:Q,9,0),"Not Covered"))</f>
        <v>1.8931E-2</v>
      </c>
      <c r="X37" s="13" t="str">
        <f>IF(OR(H37=0,T37="Comdty"),"High",IF(V37&lt;='Liquidity Bucket'!$A$4,'Liquidity Bucket'!$I$4,IF(V37&lt;='Liquidity Bucket'!$A$5,'Liquidity Bucket'!$I$5,IF(V37&lt;='Liquidity Bucket'!$A$6,'Liquidity Bucket'!$I$6,IF(V37='Liquidity Bucket'!$A$8,'Liquidity Bucket'!$I$8,'Liquidity Bucket'!$I$7)))))</f>
        <v>High</v>
      </c>
      <c r="Y37" s="153">
        <f>IF(OR(Q37="Cash",Q37="Receivable Investments",Q37="Payable Investments"),0,IF(Q37="Investments",VLOOKUP(R37,'LQA Stress'!E:Q,12,0),"Not Covered"))</f>
        <v>1.4</v>
      </c>
      <c r="Z37" s="75">
        <f>IF(OR(Q37="Cash",Q37="Receivable Investments",Q37="Payable Investments"),0,IF(Q37="Investments",VLOOKUP(R37,'LQA Stress'!E:Q,9,0),"Not Covered"))</f>
        <v>5.1484000000000002E-2</v>
      </c>
      <c r="AA37" s="13" t="str">
        <f>IF(T37="Comdty","High",IF(Y37&lt;='Liquidity Bucket'!$A$4,'Liquidity Bucket'!$I$4,IF(Y37&lt;='Liquidity Bucket'!$A$5,'Liquidity Bucket'!$I$5,IF(Y37&lt;='Liquidity Bucket'!$A$6,'Liquidity Bucket'!$I$6,IF(Y37='Liquidity Bucket'!$A$8,'Liquidity Bucket'!$I$8,'Liquidity Bucket'!$I$7)))))</f>
        <v>High</v>
      </c>
      <c r="AB37" s="14">
        <f>(N37+M37)/'FX Rates'!$C$5</f>
        <v>4857786.666666667</v>
      </c>
      <c r="AC37" s="15" t="str">
        <f>IF(X37="Not Covered", (H37/_xll.BDP(R37&amp;" FIGI",$AC$1)),"")</f>
        <v/>
      </c>
      <c r="AD37" s="16" t="str">
        <f>IF(X37="Not Covered", _xll.BDP(R37&amp;" FIGI",$AD$1),"")</f>
        <v/>
      </c>
      <c r="AE37" s="16" t="str">
        <f>IF(OR(T37="Corp",T37="Govt"),IF(_xll.BDP(R37&amp;" FIGI",$AE$1)="#N/A N/A","",_xll.BDP(R37&amp;" FIGI",$AE$1)),"")</f>
        <v>BB</v>
      </c>
      <c r="AF37" s="1" t="str">
        <f>IF(OR(T37="Corp",T37="Govt"),IF(_xll.BDP(R37&amp;" FIGI",$AF$1)="#N/A N/A","",_xll.BDP(R37&amp;" FIGI",$AF$1)),"")</f>
        <v/>
      </c>
      <c r="AG37" s="16" t="str">
        <f>IF(OR(T37="Corp",T37="Govt"),IF(_xll.BDP(R37&amp;" FIGI",$AG$1)="#N/A N/A","",_xll.BDP(R37&amp;" FIGI",$AG$1)),"")</f>
        <v>BB</v>
      </c>
      <c r="AH37" s="125">
        <f>IF(OR(S37="Cash",S37="M-Mkt"),21,IF(AE37="",0,VLOOKUP(AE37,'Rating Scale'!A:B,2,0)))</f>
        <v>10</v>
      </c>
      <c r="AI37" s="125">
        <f>IF(OR(S37="Cash",S37="M-Mkt"),21,IF(AF37="",0,VLOOKUP(AF37,'Rating Scale'!D:E,2,0)))</f>
        <v>0</v>
      </c>
      <c r="AJ37" s="125">
        <f>IF(OR(S37="Cash",S37="M-Mkt"),21,IF(AG37="",0,VLOOKUP(AG37,'Rating Scale'!G:H,2,0)))</f>
        <v>10</v>
      </c>
      <c r="AK37">
        <f t="shared" si="3"/>
        <v>10</v>
      </c>
      <c r="AL37" s="1" t="str">
        <f>IF(OR(U37="Cash",U37="Cash Adjustments"),_xll.BDP(G37&amp;" Curncy","Country"),IF(T37="Equity",_xll.BDP(R37&amp;" FIGI","CNTRY_ISSUE_ISO"),_xll.BDP(R37&amp;" FIGI",$AL$1)))</f>
        <v>IN</v>
      </c>
      <c r="AM37" s="126" t="str">
        <f>IF(OR(T37="Cash",T37="Cash Adjustments",T37="M-Mkt"), T37, IF(T37="Comdty",AS37, _xll.BDP(R37&amp;" FIGI", $AM$1)))</f>
        <v>Communications</v>
      </c>
      <c r="AN37" s="126" t="str">
        <f>IF(OR(T37="Cash",T37="Cash Adjustments",T37="M-Mkt"), T37,  IF(T37="Comdty",AS37,_xll.BDP(R37&amp;" FIGI", $AN$1)))</f>
        <v>Telecommunications</v>
      </c>
      <c r="AO37" s="126" t="str">
        <f>IF(OR(T37="Cash",T37="Cash Adjustments",T37="M-Mkt"), T37,  IF(T37="Comdty",AS37,_xll.BDP(R37&amp;" FIGI", $AO$1)))</f>
        <v>Telecom Services</v>
      </c>
      <c r="AP37" s="13" t="str">
        <f>IF(OR(T37="Cash",T37="Cash Adjustments"), T37, IF(_xll.BDP(R37&amp;" FIGI", $AP$1)="#N/A Field Not Applicable","N",_xll.BDP(R37&amp;" FIGI", $AP$1)))</f>
        <v>N</v>
      </c>
      <c r="AQ37" s="1" t="str">
        <f>IF(OR(T37="Cash",T37="Cash Adjustments"), T37, IF(_xll.BDP(R37&amp;" FIGI", $AQ$1)="#N/A Field Not Applicable"," ",_xll.BDP(R37&amp;" FIGI", $AQ$1)))</f>
        <v xml:space="preserve"> </v>
      </c>
      <c r="AR37" s="1" t="str">
        <f>IF(OR(T37="Cash",T37="Cash Adjustments"), T37, IF(_xll.BDP(R37&amp;" FIGI", $AR$1)="#N/A Field Not Applicable"," ",_xll.BDP(R37&amp;" FIGI", $AR$1)))</f>
        <v>ACTV</v>
      </c>
      <c r="AS37" s="1" t="str">
        <f>VLOOKUP(T37,'SFC Classifcation'!$F$2:$H$7,3,0)</f>
        <v>Corporate</v>
      </c>
      <c r="AT37" s="22" t="str">
        <f t="shared" si="0"/>
        <v>Non-Financial</v>
      </c>
      <c r="AU37" s="1" t="str">
        <f t="shared" si="4"/>
        <v>Non-Investment Grade</v>
      </c>
      <c r="AV37" s="1" t="str">
        <f>IF(OR(T37="Cash",T37="Cash Adjustments"),T37,VLOOKUP(AL37,'SFC Classifcation'!$A:$C,3,0))</f>
        <v>India</v>
      </c>
      <c r="AW37" s="22" t="str">
        <f t="shared" si="5"/>
        <v>High</v>
      </c>
      <c r="AX37" s="22" t="str">
        <f t="shared" si="6"/>
        <v>High</v>
      </c>
      <c r="AY37" s="45" t="str">
        <f>IF(OR(T37="Cash",T37="Cash Adjustments"), T37, _xll.BDP(R37&amp;" FIGI", $AY$1))</f>
        <v>#N/A Field Not Applicable</v>
      </c>
      <c r="AZ37" s="45" t="str">
        <f>IF(OR(T37="Cash",T37="Cash Adjustments"), T37, _xll.BDP(R37&amp;" FIGI", $AZ$1))</f>
        <v>INDUSTRIAL</v>
      </c>
      <c r="BA37" s="45" t="str">
        <f>IF(OR(T37="Cash",T37="Cash Adjustments"), T37, _xll.BDP(R37&amp;" FIGI", $BA$1))</f>
        <v>#N/A Field Not Applicable</v>
      </c>
      <c r="BB37" s="16">
        <f>IF(OR(AS37="Government",AS37="Corporate"),(AK37*AB37/'SFC Report'!$C$20),"")</f>
        <v>8.8254331565831026E-2</v>
      </c>
      <c r="BC37" s="174" t="str">
        <f>IF(OR(T37="Cash",T37="Cash Adjustments", T37="FX Forward", T37="Repo", T37="Equity", T37="M-Mkt"), "", _xll.BDP(R37&amp;" FIGI", $BC$1))</f>
        <v>4/15/2169</v>
      </c>
      <c r="BD37" s="125">
        <f ca="1">IF(OR(T37="Cash",T37="Cash Adjustments",T37="FX Forward",T37="Repo", T37="Equity", T37="M-Mkt"),"",(BC37-'SFC Report'!$B$13)/365)</f>
        <v>149.05753424657533</v>
      </c>
      <c r="BE37" s="82" t="str">
        <f t="shared" ca="1" si="9"/>
        <v>10 yrs or Above</v>
      </c>
      <c r="BF37" s="5">
        <f ca="1">IF(BC37="","",BD37*AB37/'SFC Report'!$C$20)</f>
        <v>1.3154973049782475</v>
      </c>
      <c r="BG37" s="14" cm="1">
        <f t="array" ref="BG37">IF(OR(AS37="Corporate",AS37="Government"),_xll.BDP(G37&amp;" ISIN", $BG$1),"")</f>
        <v>3.9888229021422497</v>
      </c>
      <c r="BH37" s="140">
        <f>IF(OR(AS37="Corporate",AS37="Government"),BG37*BN37/'SFC Report'!$C$20,"")</f>
        <v>3.5203089896304246E-2</v>
      </c>
      <c r="BI37" s="140">
        <f>IF(OR(AS37="Corporate",AS37="Government"),_xll.BDP(G37&amp;" ISIN", $BI$1),"")</f>
        <v>4.9058438949988759</v>
      </c>
      <c r="BJ37" s="140">
        <f>IF(OR(AS37="Corporate",AS37="Government"),BI37*AB37/'SFC Report'!$C$20,"")</f>
        <v>4.3296197371943873E-2</v>
      </c>
      <c r="BK37" s="153" t="str">
        <f>IF(OR(T37="Cash",T37="Cash Adjustments"),"-",_xll.BDP(R37&amp;" FIGI",$BK$1))</f>
        <v>USV6703DAA29</v>
      </c>
      <c r="BL37" s="11" t="str">
        <f>IF(OR(AS37="Cash", AS37="Cash Adjustments"),"-",IF(ISNA(VLOOKUP(BK37,'BBG - VaR Data (Sample, Indus )'!C:N,5,0)),"-",VLOOKUP(BK37,'BBG - VaR Data (Sample, Indus )'!C:N,5,0)))</f>
        <v>-</v>
      </c>
      <c r="BM37" s="11">
        <f>IF(OR(AS37="Cash", AS37="Cash Adjustments"),"-",IF(ISNA(VLOOKUP(BK37,'BBG - Scenarios (Sample View)'!C:Z,14,0)),"-",VLOOKUP(BK37,'BBG - Scenarios (Sample View)'!C:Z,14,0)))</f>
        <v>-7.15</v>
      </c>
      <c r="BN37" s="14">
        <f t="shared" si="7"/>
        <v>4857786.666666667</v>
      </c>
      <c r="BO37" s="1">
        <f t="shared" si="8"/>
        <v>9.5292717374085498E-3</v>
      </c>
      <c r="BP37" t="str">
        <f>IF(BC37&lt;&gt;0,MaturityBucket(BG37),"")</f>
        <v>3 - 5 yrs</v>
      </c>
      <c r="BQ37" s="11" t="str">
        <f>IF(OR(T37="Cash",T37="Cash Adjustments"),T37,VLOOKUP(AL37,'SFC Classifcation'!$A:$C,2,0))</f>
        <v>India</v>
      </c>
      <c r="BR37" s="1" t="e">
        <f>IF(S37="Bond",BH37/'SFC Report'!$B$7,"")</f>
        <v>#VALUE!</v>
      </c>
      <c r="BS37" t="str">
        <f>IF(OR(T37="Cash",T37="Cash Adjustments"),"-",_xll.BDP(R37&amp;" FIGI",$BS$1))</f>
        <v>4/6/2020</v>
      </c>
      <c r="BT37" t="str">
        <f>IF(OR(T37="Cash",T37="Cash Adjustments"),"-",_xll.BDP(R37&amp;" FIGI",$BT$1))</f>
        <v>#N/A N/A</v>
      </c>
      <c r="BU37" t="str">
        <f>IF(OR(T37="Cash",T37="Cash Adjustments"),"-",_xll.BDP(R37&amp;" FIGI",$BU$1))</f>
        <v>2/20/2020</v>
      </c>
    </row>
    <row r="38" spans="1:73">
      <c r="A38" s="254" t="s">
        <v>15</v>
      </c>
      <c r="B38" s="254" t="s">
        <v>25</v>
      </c>
      <c r="C38" s="254" t="s">
        <v>46</v>
      </c>
      <c r="D38" s="254" t="s">
        <v>22</v>
      </c>
      <c r="E38" s="254"/>
      <c r="F38" s="254" t="s">
        <v>1922</v>
      </c>
      <c r="G38" s="254" t="s">
        <v>1923</v>
      </c>
      <c r="H38" s="270">
        <v>5300000</v>
      </c>
      <c r="I38" s="270">
        <v>100.417</v>
      </c>
      <c r="J38" s="270">
        <v>5271910</v>
      </c>
      <c r="K38" s="270">
        <v>40857829.689999998</v>
      </c>
      <c r="L38" s="270">
        <v>389517.48</v>
      </c>
      <c r="M38" s="270">
        <v>3708.26</v>
      </c>
      <c r="N38" s="270">
        <v>41247347.170000002</v>
      </c>
      <c r="O38" s="255">
        <v>9.1000000000000004E-3</v>
      </c>
      <c r="P38" s="1"/>
      <c r="Q38" s="1" t="str">
        <f t="shared" si="2"/>
        <v>Investments</v>
      </c>
      <c r="R38" s="1" t="str">
        <f>_xll.BDP(G38&amp;" ISIN",$R$1)</f>
        <v>BBG00TDCM8F7</v>
      </c>
      <c r="S38" s="1" t="str">
        <f>IF(Q38="Cash",Q38,IF(OR(Q38="Receivable Investments",Q38="Payable Investments"),"Cash Adjustments",_xll.BDP(R38&amp;" FIGI",$S$1)))</f>
        <v>BOND</v>
      </c>
      <c r="T38" s="1" t="str">
        <f>IF(Q38="Cash",Q38,IF(OR(Q38="Receivable Investments",Q38="Payable Investments"),"Cash Adjustments",VLOOKUP(R38,LQA!E:S,3,0)))</f>
        <v>Corp</v>
      </c>
      <c r="U38" s="1" t="str">
        <f>IF(Q38="Cash",Q38,IF(OR(Q38="Receivable Investments",Q38="Payable Investments"),"Cash Adjustments",_xll.BDP(R38&amp;" FIGI",$U$1)))</f>
        <v>#N/A Field Not Applicable</v>
      </c>
      <c r="V38" s="10">
        <f>IF(OR(Q38="Cash",Q38="Receivable Investments",Q38="Payable Investments"),0,IF(Q38="Investments",VLOOKUP(R38,LQA!E:Q,12,0),"Not Covered"))</f>
        <v>0.5</v>
      </c>
      <c r="W38" s="76">
        <f>IF(OR(Q38="Cash",Q38="Receivable Investments",Q38="Payable Investments"),0,IF(Q38="Investments",VLOOKUP(R38,LQA!E:Q,9,0),"Not Covered"))</f>
        <v>5.3499999999999997E-3</v>
      </c>
      <c r="X38" s="13" t="str">
        <f>IF(OR(H38=0,T38="Comdty"),"High",IF(V38&lt;='Liquidity Bucket'!$A$4,'Liquidity Bucket'!$I$4,IF(V38&lt;='Liquidity Bucket'!$A$5,'Liquidity Bucket'!$I$5,IF(V38&lt;='Liquidity Bucket'!$A$6,'Liquidity Bucket'!$I$6,IF(V38='Liquidity Bucket'!$A$8,'Liquidity Bucket'!$I$8,'Liquidity Bucket'!$I$7)))))</f>
        <v>High</v>
      </c>
      <c r="Y38" s="153">
        <f>IF(OR(Q38="Cash",Q38="Receivable Investments",Q38="Payable Investments"),0,IF(Q38="Investments",VLOOKUP(R38,'LQA Stress'!E:Q,12,0),"Not Covered"))</f>
        <v>1.6</v>
      </c>
      <c r="Z38" s="75">
        <f>IF(OR(Q38="Cash",Q38="Receivable Investments",Q38="Payable Investments"),0,IF(Q38="Investments",VLOOKUP(R38,'LQA Stress'!E:Q,9,0),"Not Covered"))</f>
        <v>1.4475999999999999E-2</v>
      </c>
      <c r="AA38" s="13" t="str">
        <f>IF(T38="Comdty","High",IF(Y38&lt;='Liquidity Bucket'!$A$4,'Liquidity Bucket'!$I$4,IF(Y38&lt;='Liquidity Bucket'!$A$5,'Liquidity Bucket'!$I$5,IF(Y38&lt;='Liquidity Bucket'!$A$6,'Liquidity Bucket'!$I$6,IF(Y38='Liquidity Bucket'!$A$8,'Liquidity Bucket'!$I$8,'Liquidity Bucket'!$I$7)))))</f>
        <v>High</v>
      </c>
      <c r="AB38" s="14">
        <f>(N38+M38)/'FX Rates'!$C$5</f>
        <v>5321343.5797213623</v>
      </c>
      <c r="AC38" s="15" t="str">
        <f>IF(X38="Not Covered", (H38/_xll.BDP(R38&amp;" FIGI",$AC$1)),"")</f>
        <v/>
      </c>
      <c r="AD38" s="16" t="str">
        <f>IF(X38="Not Covered", _xll.BDP(R38&amp;" FIGI",$AD$1),"")</f>
        <v/>
      </c>
      <c r="AE38" s="16" t="str">
        <f>IF(OR(T38="Corp",T38="Govt"),IF(_xll.BDP(R38&amp;" FIGI",$AE$1)="#N/A N/A","",_xll.BDP(R38&amp;" FIGI",$AE$1)),"")</f>
        <v>A-</v>
      </c>
      <c r="AF38" s="1" t="str">
        <f>IF(OR(T38="Corp",T38="Govt"),IF(_xll.BDP(R38&amp;" FIGI",$AF$1)="#N/A N/A","",_xll.BDP(R38&amp;" FIGI",$AF$1)),"")</f>
        <v/>
      </c>
      <c r="AG38" s="16" t="str">
        <f>IF(OR(T38="Corp",T38="Govt"),IF(_xll.BDP(R38&amp;" FIGI",$AG$1)="#N/A N/A","",_xll.BDP(R38&amp;" FIGI",$AG$1)),"")</f>
        <v>A-</v>
      </c>
      <c r="AH38" s="125">
        <f>IF(OR(S38="Cash",S38="M-Mkt"),21,IF(AE38="",0,VLOOKUP(AE38,'Rating Scale'!A:B,2,0)))</f>
        <v>15</v>
      </c>
      <c r="AI38" s="125">
        <f>IF(OR(S38="Cash",S38="M-Mkt"),21,IF(AF38="",0,VLOOKUP(AF38,'Rating Scale'!D:E,2,0)))</f>
        <v>0</v>
      </c>
      <c r="AJ38" s="125">
        <f>IF(OR(S38="Cash",S38="M-Mkt"),21,IF(AG38="",0,VLOOKUP(AG38,'Rating Scale'!G:H,2,0)))</f>
        <v>15</v>
      </c>
      <c r="AK38">
        <f t="shared" si="3"/>
        <v>15</v>
      </c>
      <c r="AL38" s="1" t="str">
        <f>IF(OR(U38="Cash",U38="Cash Adjustments"),_xll.BDP(G38&amp;" Curncy","Country"),IF(T38="Equity",_xll.BDP(R38&amp;" FIGI","CNTRY_ISSUE_ISO"),_xll.BDP(R38&amp;" FIGI",$AL$1)))</f>
        <v>SG</v>
      </c>
      <c r="AM38" s="126" t="str">
        <f>IF(OR(T38="Cash",T38="Cash Adjustments",T38="M-Mkt"), T38, IF(T38="Comdty",AS38, _xll.BDP(R38&amp;" FIGI", $AM$1)))</f>
        <v>Financial</v>
      </c>
      <c r="AN38" s="126" t="str">
        <f>IF(OR(T38="Cash",T38="Cash Adjustments",T38="M-Mkt"), T38,  IF(T38="Comdty",AS38,_xll.BDP(R38&amp;" FIGI", $AN$1)))</f>
        <v>Diversified Finan Serv</v>
      </c>
      <c r="AO38" s="126" t="str">
        <f>IF(OR(T38="Cash",T38="Cash Adjustments",T38="M-Mkt"), T38,  IF(T38="Comdty",AS38,_xll.BDP(R38&amp;" FIGI", $AO$1)))</f>
        <v>Finance-Leasing Compan</v>
      </c>
      <c r="AP38" s="13" t="str">
        <f>IF(OR(T38="Cash",T38="Cash Adjustments"), T38, IF(_xll.BDP(R38&amp;" FIGI", $AP$1)="#N/A Field Not Applicable","N",_xll.BDP(R38&amp;" FIGI", $AP$1)))</f>
        <v>N</v>
      </c>
      <c r="AQ38" s="1" t="str">
        <f>IF(OR(T38="Cash",T38="Cash Adjustments"), T38, IF(_xll.BDP(R38&amp;" FIGI", $AQ$1)="#N/A Field Not Applicable"," ",_xll.BDP(R38&amp;" FIGI", $AQ$1)))</f>
        <v xml:space="preserve"> </v>
      </c>
      <c r="AR38" s="1" t="str">
        <f>IF(OR(T38="Cash",T38="Cash Adjustments"), T38, IF(_xll.BDP(R38&amp;" FIGI", $AR$1)="#N/A Field Not Applicable"," ",_xll.BDP(R38&amp;" FIGI", $AR$1)))</f>
        <v>ACTV</v>
      </c>
      <c r="AS38" s="1" t="str">
        <f>VLOOKUP(T38,'SFC Classifcation'!$F$2:$H$7,3,0)</f>
        <v>Corporate</v>
      </c>
      <c r="AT38" s="22" t="str">
        <f t="shared" si="0"/>
        <v>Financial</v>
      </c>
      <c r="AU38" s="1" t="str">
        <f t="shared" si="4"/>
        <v>Investment Grade</v>
      </c>
      <c r="AV38" s="1" t="str">
        <f>IF(OR(T38="Cash",T38="Cash Adjustments"),T38,VLOOKUP(AL38,'SFC Classifcation'!$A:$C,3,0))</f>
        <v>Singapore</v>
      </c>
      <c r="AW38" s="22" t="str">
        <f t="shared" si="5"/>
        <v>High</v>
      </c>
      <c r="AX38" s="22" t="str">
        <f t="shared" si="6"/>
        <v>High</v>
      </c>
      <c r="AY38" s="45" t="str">
        <f>IF(OR(T38="Cash",T38="Cash Adjustments"), T38, _xll.BDP(R38&amp;" FIGI", $AY$1))</f>
        <v>Industrials</v>
      </c>
      <c r="AZ38" s="45" t="str">
        <f>IF(OR(T38="Cash",T38="Cash Adjustments"), T38, _xll.BDP(R38&amp;" FIGI", $AZ$1))</f>
        <v>FINANCIAL</v>
      </c>
      <c r="BA38" s="45" t="str">
        <f>IF(OR(T38="Cash",T38="Cash Adjustments"), T38, _xll.BDP(R38&amp;" FIGI", $BA$1))</f>
        <v>#N/A Field Not Applicable</v>
      </c>
      <c r="BB38" s="16">
        <f>IF(OR(AS38="Government",AS38="Corporate"),(AK38*AB38/'SFC Report'!$C$20),"")</f>
        <v>0.14501407314249828</v>
      </c>
      <c r="BC38" s="174" t="str">
        <f>IF(OR(T38="Cash",T38="Cash Adjustments", T38="FX Forward", T38="Repo", T38="Equity", T38="M-Mkt"), "", _xll.BDP(R38&amp;" FIGI", $BC$1))</f>
        <v>4/29/2025</v>
      </c>
      <c r="BD38" s="125">
        <f ca="1">IF(OR(T38="Cash",T38="Cash Adjustments",T38="FX Forward",T38="Repo", T38="Equity", T38="M-Mkt"),"",(BC38-'SFC Report'!$B$13)/365)</f>
        <v>5</v>
      </c>
      <c r="BE38" s="82" t="str">
        <f t="shared" ca="1" si="9"/>
        <v>3 - 5 yrs</v>
      </c>
      <c r="BF38" s="5">
        <f ca="1">IF(BC38="","",BD38*AB38/'SFC Report'!$C$20)</f>
        <v>4.8338024380832761E-2</v>
      </c>
      <c r="BG38" s="14" cm="1">
        <f t="array" ref="BG38">IF(OR(AS38="Corporate",AS38="Government"),_xll.BDP(G38&amp;" ISIN", $BG$1),"")</f>
        <v>4.4469744725470131</v>
      </c>
      <c r="BH38" s="140">
        <f>IF(OR(AS38="Corporate",AS38="Government"),BG38*BN38/'SFC Report'!$C$20,"")</f>
        <v>4.2991592094983683E-2</v>
      </c>
      <c r="BI38" s="140">
        <f>IF(OR(AS38="Corporate",AS38="Government"),_xll.BDP(G38&amp;" ISIN", $BI$1),"")</f>
        <v>2.8126087539613489</v>
      </c>
      <c r="BJ38" s="140">
        <f>IF(OR(AS38="Corporate",AS38="Government"),BI38*AB38/'SFC Report'!$C$20,"")</f>
        <v>2.7191190104545467E-2</v>
      </c>
      <c r="BK38" s="153" t="str">
        <f>IF(OR(T38="Cash",T38="Cash Adjustments"),"-",_xll.BDP(R38&amp;" FIGI",$BK$1))</f>
        <v>US09681MAM01</v>
      </c>
      <c r="BL38" s="11" t="str">
        <f>IF(OR(AS38="Cash", AS38="Cash Adjustments"),"-",IF(ISNA(VLOOKUP(BK38,'BBG - VaR Data (Sample, Indus )'!C:N,5,0)),"-",VLOOKUP(BK38,'BBG - VaR Data (Sample, Indus )'!C:N,5,0)))</f>
        <v>-</v>
      </c>
      <c r="BM38" s="11">
        <f>IF(OR(AS38="Cash", AS38="Cash Adjustments"),"-",IF(ISNA(VLOOKUP(BK38,'BBG - Scenarios (Sample View)'!C:Z,14,0)),"-",VLOOKUP(BK38,'BBG - Scenarios (Sample View)'!C:Z,14,0)))</f>
        <v>-2.73</v>
      </c>
      <c r="BN38" s="14">
        <f t="shared" si="7"/>
        <v>5321343.5797213623</v>
      </c>
      <c r="BO38" s="1">
        <f t="shared" si="8"/>
        <v>1.0438607633231983E-2</v>
      </c>
      <c r="BP38" t="str">
        <f>IF(BC38&lt;&gt;0,MaturityBucket(BG38),"")</f>
        <v>3 - 5 yrs</v>
      </c>
      <c r="BQ38" s="11" t="str">
        <f>IF(OR(T38="Cash",T38="Cash Adjustments"),T38,VLOOKUP(AL38,'SFC Classifcation'!$A:$C,2,0))</f>
        <v>Singapore</v>
      </c>
      <c r="BR38" s="1" t="e">
        <f>IF(S38="Bond",BH38/'SFC Report'!$B$7,"")</f>
        <v>#VALUE!</v>
      </c>
      <c r="BS38" t="str">
        <f>IF(OR(T38="Cash",T38="Cash Adjustments"),"-",_xll.BDP(R38&amp;" FIGI",$BS$1))</f>
        <v>4/23/2020</v>
      </c>
      <c r="BT38" t="str">
        <f>IF(OR(T38="Cash",T38="Cash Adjustments"),"-",_xll.BDP(R38&amp;" FIGI",$BT$1))</f>
        <v>#N/A N/A</v>
      </c>
      <c r="BU38" t="str">
        <f>IF(OR(T38="Cash",T38="Cash Adjustments"),"-",_xll.BDP(R38&amp;" FIGI",$BU$1))</f>
        <v>4/28/2020</v>
      </c>
    </row>
    <row r="39" spans="1:73">
      <c r="A39" s="254" t="s">
        <v>15</v>
      </c>
      <c r="B39" s="254" t="s">
        <v>25</v>
      </c>
      <c r="C39" s="254" t="s">
        <v>46</v>
      </c>
      <c r="D39" s="254" t="s">
        <v>22</v>
      </c>
      <c r="E39" s="254"/>
      <c r="F39" s="254" t="s">
        <v>1146</v>
      </c>
      <c r="G39" s="254" t="s">
        <v>1147</v>
      </c>
      <c r="H39" s="270">
        <v>3000000</v>
      </c>
      <c r="I39" s="270">
        <v>78.090999999999994</v>
      </c>
      <c r="J39" s="270">
        <v>2912533.12</v>
      </c>
      <c r="K39" s="270">
        <v>22638828.719999999</v>
      </c>
      <c r="L39" s="270">
        <v>-4482202.59</v>
      </c>
      <c r="M39" s="270">
        <v>379759.8</v>
      </c>
      <c r="N39" s="270">
        <v>18156626.129999999</v>
      </c>
      <c r="O39" s="255">
        <v>4.0000000000000001E-3</v>
      </c>
      <c r="P39" s="160"/>
      <c r="Q39" s="1" t="str">
        <f t="shared" si="2"/>
        <v>Investments</v>
      </c>
      <c r="R39" s="1" t="str">
        <f>_xll.BDP(G39&amp;" ISIN",$R$1)</f>
        <v>BBG00RCY5V08</v>
      </c>
      <c r="S39" s="1" t="str">
        <f>IF(Q39="Cash",Q39,IF(OR(Q39="Receivable Investments",Q39="Payable Investments"),"Cash Adjustments",_xll.BDP(R39&amp;" FIGI",$S$1)))</f>
        <v>BOND</v>
      </c>
      <c r="T39" s="1" t="str">
        <f>IF(Q39="Cash",Q39,IF(OR(Q39="Receivable Investments",Q39="Payable Investments"),"Cash Adjustments",VLOOKUP(R39,LQA!E:S,3,0)))</f>
        <v>Corp</v>
      </c>
      <c r="U39" s="1" t="str">
        <f>IF(Q39="Cash",Q39,IF(OR(Q39="Receivable Investments",Q39="Payable Investments"),"Cash Adjustments",_xll.BDP(R39&amp;" FIGI",$U$1)))</f>
        <v>#N/A Field Not Applicable</v>
      </c>
      <c r="V39" s="154">
        <f>IF(OR(Q39="Cash",Q39="Receivable Investments",Q39="Payable Investments"),0,IF(Q39="Investments",VLOOKUP(R39,LQA!E:Q,12,0),"Not Covered"))</f>
        <v>0.3</v>
      </c>
      <c r="W39" s="155">
        <f>IF(OR(Q39="Cash",Q39="Receivable Investments",Q39="Payable Investments"),0,IF(Q39="Investments",VLOOKUP(R39,LQA!E:Q,9,0),"Not Covered"))</f>
        <v>4.2373000000000001E-2</v>
      </c>
      <c r="X39" s="156" t="str">
        <f>IF(OR(H39=0,T39="Comdty"),"High",IF(V39&lt;='Liquidity Bucket'!$A$4,'Liquidity Bucket'!$I$4,IF(V39&lt;='Liquidity Bucket'!$A$5,'Liquidity Bucket'!$I$5,IF(V39&lt;='Liquidity Bucket'!$A$6,'Liquidity Bucket'!$I$6,IF(V39='Liquidity Bucket'!$A$8,'Liquidity Bucket'!$I$8,'Liquidity Bucket'!$I$7)))))</f>
        <v>High</v>
      </c>
      <c r="Y39" s="153">
        <f>IF(OR(Q39="Cash",Q39="Receivable Investments",Q39="Payable Investments"),0,IF(Q39="Investments",VLOOKUP(R39,'LQA Stress'!E:Q,12,0),"Not Covered"))</f>
        <v>2</v>
      </c>
      <c r="Z39" s="75">
        <f>IF(OR(Q39="Cash",Q39="Receivable Investments",Q39="Payable Investments"),0,IF(Q39="Investments",VLOOKUP(R39,'LQA Stress'!E:Q,9,0),"Not Covered"))</f>
        <v>0.113251</v>
      </c>
      <c r="AA39" s="13" t="str">
        <f>IF(T39="Comdty","High",IF(Y39&lt;='Liquidity Bucket'!$A$4,'Liquidity Bucket'!$I$4,IF(Y39&lt;='Liquidity Bucket'!$A$5,'Liquidity Bucket'!$I$5,IF(Y39&lt;='Liquidity Bucket'!$A$6,'Liquidity Bucket'!$I$6,IF(Y39='Liquidity Bucket'!$A$8,'Liquidity Bucket'!$I$8,'Liquidity Bucket'!$I$7)))))</f>
        <v>High</v>
      </c>
      <c r="AB39" s="157">
        <f>(N39+M39)/'FX Rates'!$C$5</f>
        <v>2391174.6555727553</v>
      </c>
      <c r="AC39" s="158" t="str">
        <f>IF(X39="Not Covered", (H39/_xll.BDP(R39&amp;" FIGI",$AC$1)),"")</f>
        <v/>
      </c>
      <c r="AD39" s="16" t="str">
        <f>IF(X39="Not Covered", _xll.BDP(R39&amp;" FIGI",$AD$1),"")</f>
        <v/>
      </c>
      <c r="AE39" s="159" t="str">
        <f>IF(OR(T39="Corp",T39="Govt"),IF(_xll.BDP(R39&amp;" FIGI",$AE$1)="#N/A N/A","",_xll.BDP(R39&amp;" FIGI",$AE$1)),"")</f>
        <v/>
      </c>
      <c r="AF39" s="160" t="str">
        <f>IF(OR(T39="Corp",T39="Govt"),IF(_xll.BDP(R39&amp;" FIGI",$AF$1)="#N/A N/A","",_xll.BDP(R39&amp;" FIGI",$AF$1)),"")</f>
        <v>Ba3</v>
      </c>
      <c r="AG39" s="159" t="str">
        <f>IF(OR(T39="Corp",T39="Govt"),IF(_xll.BDP(R39&amp;" FIGI",$AG$1)="#N/A N/A","",_xll.BDP(R39&amp;" FIGI",$AG$1)),"")</f>
        <v>BB-</v>
      </c>
      <c r="AH39" s="125">
        <f>IF(OR(S39="Cash",S39="M-Mkt"),21,IF(AE39="",0,VLOOKUP(AE39,'Rating Scale'!A:B,2,0)))</f>
        <v>0</v>
      </c>
      <c r="AI39" s="125">
        <f>IF(OR(S39="Cash",S39="M-Mkt"),21,IF(AF39="",0,VLOOKUP(AF39,'Rating Scale'!D:E,2,0)))</f>
        <v>9</v>
      </c>
      <c r="AJ39" s="125">
        <f>IF(OR(S39="Cash",S39="M-Mkt"),21,IF(AG39="",0,VLOOKUP(AG39,'Rating Scale'!G:H,2,0)))</f>
        <v>9</v>
      </c>
      <c r="AK39" s="161">
        <f t="shared" si="3"/>
        <v>9</v>
      </c>
      <c r="AL39" s="1" t="str">
        <f>IF(OR(U39="Cash",U39="Cash Adjustments"),_xll.BDP(G39&amp;" Curncy","Country"),IF(T39="Equity",_xll.BDP(R39&amp;" FIGI","CNTRY_ISSUE_ISO"),_xll.BDP(R39&amp;" FIGI",$AL$1)))</f>
        <v>ID</v>
      </c>
      <c r="AM39" s="126" t="str">
        <f>IF(OR(T39="Cash",T39="Cash Adjustments",T39="M-Mkt"), T39, IF(T39="Comdty",AS39, _xll.BDP(R39&amp;" FIGI", $AM$1)))</f>
        <v>Energy</v>
      </c>
      <c r="AN39" s="126" t="str">
        <f>IF(OR(T39="Cash",T39="Cash Adjustments",T39="M-Mkt"), T39,  IF(T39="Comdty",AS39,_xll.BDP(R39&amp;" FIGI", $AN$1)))</f>
        <v>Coal</v>
      </c>
      <c r="AO39" s="126" t="str">
        <f>IF(OR(T39="Cash",T39="Cash Adjustments",T39="M-Mkt"), T39,  IF(T39="Comdty",AS39,_xll.BDP(R39&amp;" FIGI", $AO$1)))</f>
        <v>Coal</v>
      </c>
      <c r="AP39" s="13" t="str">
        <f>IF(OR(T39="Cash",T39="Cash Adjustments"), T39, IF(_xll.BDP(R39&amp;" FIGI", $AP$1)="#N/A Field Not Applicable","N",_xll.BDP(R39&amp;" FIGI", $AP$1)))</f>
        <v>N</v>
      </c>
      <c r="AQ39" s="1" t="str">
        <f>IF(OR(T39="Cash",T39="Cash Adjustments"), T39, IF(_xll.BDP(R39&amp;" FIGI", $AQ$1)="#N/A Field Not Applicable"," ",_xll.BDP(R39&amp;" FIGI", $AQ$1)))</f>
        <v xml:space="preserve"> </v>
      </c>
      <c r="AR39" s="1" t="str">
        <f>IF(OR(T39="Cash",T39="Cash Adjustments"), T39, IF(_xll.BDP(R39&amp;" FIGI", $AR$1)="#N/A Field Not Applicable"," ",_xll.BDP(R39&amp;" FIGI", $AR$1)))</f>
        <v>ACTV</v>
      </c>
      <c r="AS39" s="1" t="str">
        <f>VLOOKUP(T39,'SFC Classifcation'!$F$2:$H$7,3,0)</f>
        <v>Corporate</v>
      </c>
      <c r="AT39" s="22" t="str">
        <f t="shared" si="0"/>
        <v>Non-Financial</v>
      </c>
      <c r="AU39" s="1" t="str">
        <f t="shared" si="4"/>
        <v>Non-Investment Grade</v>
      </c>
      <c r="AV39" s="1" t="str">
        <f>IF(OR(T39="Cash",T39="Cash Adjustments"),T39,VLOOKUP(AL39,'SFC Classifcation'!$A:$C,3,0))</f>
        <v>Asia - others (1)</v>
      </c>
      <c r="AW39" s="162" t="str">
        <f>LQBucket(X39,AK39,AD39,AC39)</f>
        <v>High</v>
      </c>
      <c r="AX39" s="22" t="str">
        <f t="shared" si="6"/>
        <v>High</v>
      </c>
      <c r="AY39" s="163" t="str">
        <f>IF(OR(T39="Cash",T39="Cash Adjustments"), T39, _xll.BDP(R39&amp;" FIGI", $AY$1))</f>
        <v>Energy</v>
      </c>
      <c r="AZ39" s="163" t="str">
        <f>IF(OR(T39="Cash",T39="Cash Adjustments"), T39, _xll.BDP(R39&amp;" FIGI", $AZ$1))</f>
        <v>INDUSTRIAL</v>
      </c>
      <c r="BA39" s="163" t="str">
        <f>IF(OR(T39="Cash",T39="Cash Adjustments"), T39, _xll.BDP(R39&amp;" FIGI", $BA$1))</f>
        <v>#N/A Field Not Applicable</v>
      </c>
      <c r="BB39" s="159">
        <f>IF(OR(AS39="Government",AS39="Corporate"),(AK39*AB39/'SFC Report'!$C$20),"")</f>
        <v>3.9097717093983152E-2</v>
      </c>
      <c r="BC39" s="174" t="str">
        <f>IF(OR(T39="Cash",T39="Cash Adjustments", T39="FX Forward", T39="Repo", T39="Equity", T39="M-Mkt"), "", _xll.BDP(R39&amp;" FIGI", $BC$1))</f>
        <v>1/24/2023</v>
      </c>
      <c r="BD39" s="125">
        <f ca="1">IF(OR(T39="Cash",T39="Cash Adjustments",T39="FX Forward",T39="Repo", T39="Equity", T39="M-Mkt"),"",(BC39-'SFC Report'!$B$13)/365)</f>
        <v>2.7369863013698632</v>
      </c>
      <c r="BE39" s="82" t="str">
        <f t="shared" ca="1" si="9"/>
        <v>2 - 3 yrs</v>
      </c>
      <c r="BF39" s="5">
        <f ca="1">IF(BC39="","",BD39*AB39/'SFC Report'!$C$20)</f>
        <v>1.1889990677896247E-2</v>
      </c>
      <c r="BG39" s="14" cm="1">
        <f t="array" ref="BG39">IF(OR(AS39="Corporate",AS39="Government"),_xll.BDP(G39&amp;" ISIN", $BG$1),"")</f>
        <v>2.2981299999592646</v>
      </c>
      <c r="BH39" s="140">
        <f>IF(OR(AS39="Corporate",AS39="Government"),BG39*BN39/'SFC Report'!$C$20,"")</f>
        <v>9.9835151759558715E-3</v>
      </c>
      <c r="BI39" s="140">
        <f>IF(OR(AS39="Corporate",AS39="Government"),_xll.BDP(G39&amp;" ISIN", $BI$1),"")</f>
        <v>11.164214679369836</v>
      </c>
      <c r="BJ39" s="140">
        <f>IF(OR(AS39="Corporate",AS39="Government"),BI39*AB39/'SFC Report'!$C$20,"")</f>
        <v>4.8499478567832856E-2</v>
      </c>
      <c r="BK39" s="153" t="str">
        <f>IF(OR(T39="Cash",T39="Cash Adjustments"),"-",_xll.BDP(R39&amp;" FIGI",$BK$1))</f>
        <v>USY711AJAA00</v>
      </c>
      <c r="BL39" s="11" t="str">
        <f>IF(OR(AS39="Cash", AS39="Cash Adjustments"),"-",IF(ISNA(VLOOKUP(BK39,'BBG - VaR Data (Sample, Indus )'!C:N,5,0)),"-",VLOOKUP(BK39,'BBG - VaR Data (Sample, Indus )'!C:N,5,0)))</f>
        <v>-</v>
      </c>
      <c r="BM39" s="11">
        <f>IF(OR(AS39="Cash", AS39="Cash Adjustments"),"-",IF(ISNA(VLOOKUP(BK39,'BBG - Scenarios (Sample View)'!C:Z,14,0)),"-",VLOOKUP(BK39,'BBG - Scenarios (Sample View)'!C:Z,14,0)))</f>
        <v>-4.75</v>
      </c>
      <c r="BN39" s="14">
        <f t="shared" si="7"/>
        <v>2391174.6555727553</v>
      </c>
      <c r="BO39" s="1">
        <f t="shared" si="8"/>
        <v>4.6906450670038506E-3</v>
      </c>
      <c r="BP39" t="str">
        <f>IF(BC39&lt;&gt;0,MaturityBucket(BG39),"")</f>
        <v>2 - 3 yrs</v>
      </c>
      <c r="BQ39" s="11" t="str">
        <f>IF(OR(T39="Cash",T39="Cash Adjustments"),T39,VLOOKUP(AL39,'SFC Classifcation'!$A:$C,2,0))</f>
        <v>Indonesia</v>
      </c>
      <c r="BR39" s="1" t="e">
        <f>IF(S39="Bond",BH39/'SFC Report'!$B$7,"")</f>
        <v>#VALUE!</v>
      </c>
      <c r="BS39" t="str">
        <f>IF(OR(T39="Cash",T39="Cash Adjustments"),"-",_xll.BDP(R39&amp;" FIGI",$BS$1))</f>
        <v>#N/A N/A</v>
      </c>
      <c r="BT39" t="str">
        <f>IF(OR(T39="Cash",T39="Cash Adjustments"),"-",_xll.BDP(R39&amp;" FIGI",$BT$1))</f>
        <v>1/8/2020</v>
      </c>
      <c r="BU39" t="str">
        <f>IF(OR(T39="Cash",T39="Cash Adjustments"),"-",_xll.BDP(R39&amp;" FIGI",$BU$1))</f>
        <v>1/8/2020</v>
      </c>
    </row>
    <row r="40" spans="1:73">
      <c r="A40" s="254" t="s">
        <v>15</v>
      </c>
      <c r="B40" s="254" t="s">
        <v>25</v>
      </c>
      <c r="C40" s="254" t="s">
        <v>46</v>
      </c>
      <c r="D40" s="254" t="s">
        <v>22</v>
      </c>
      <c r="E40" s="254"/>
      <c r="F40" s="254" t="s">
        <v>1924</v>
      </c>
      <c r="G40" s="254" t="s">
        <v>1925</v>
      </c>
      <c r="H40" s="270">
        <v>5000000</v>
      </c>
      <c r="I40" s="270">
        <v>104.48099999999999</v>
      </c>
      <c r="J40" s="270">
        <v>5000000</v>
      </c>
      <c r="K40" s="270">
        <v>38762000</v>
      </c>
      <c r="L40" s="270">
        <v>1725432.31</v>
      </c>
      <c r="M40" s="270">
        <v>73553.7</v>
      </c>
      <c r="N40" s="270">
        <v>40487432.310000002</v>
      </c>
      <c r="O40" s="255">
        <v>8.8999999999999999E-3</v>
      </c>
      <c r="P40" s="1"/>
      <c r="Q40" s="1" t="str">
        <f t="shared" si="2"/>
        <v>Investments</v>
      </c>
      <c r="R40" s="1" t="str">
        <f>_xll.BDP(G40&amp;" ISIN",$R$1)</f>
        <v>BBG00SYNG075</v>
      </c>
      <c r="S40" s="1" t="str">
        <f>IF(Q40="Cash",Q40,IF(OR(Q40="Receivable Investments",Q40="Payable Investments"),"Cash Adjustments",_xll.BDP(R40&amp;" FIGI",$S$1)))</f>
        <v>BOND</v>
      </c>
      <c r="T40" s="1" t="str">
        <f>IF(Q40="Cash",Q40,IF(OR(Q40="Receivable Investments",Q40="Payable Investments"),"Cash Adjustments",VLOOKUP(R40,LQA!E:S,3,0)))</f>
        <v>Corp</v>
      </c>
      <c r="U40" s="1" t="str">
        <f>IF(Q40="Cash",Q40,IF(OR(Q40="Receivable Investments",Q40="Payable Investments"),"Cash Adjustments",_xll.BDP(R40&amp;" FIGI",$U$1)))</f>
        <v>#N/A Field Not Applicable</v>
      </c>
      <c r="V40" s="10">
        <f>IF(OR(Q40="Cash",Q40="Receivable Investments",Q40="Payable Investments"),0,IF(Q40="Investments",VLOOKUP(R40,LQA!E:Q,12,0),"Not Covered"))</f>
        <v>0.3</v>
      </c>
      <c r="W40" s="76">
        <f>IF(OR(Q40="Cash",Q40="Receivable Investments",Q40="Payable Investments"),0,IF(Q40="Investments",VLOOKUP(R40,LQA!E:Q,9,0),"Not Covered"))</f>
        <v>1.073E-2</v>
      </c>
      <c r="X40" s="13" t="str">
        <f>IF(OR(H40=0,T40="Comdty"),"High",IF(V40&lt;='Liquidity Bucket'!$A$4,'Liquidity Bucket'!$I$4,IF(V40&lt;='Liquidity Bucket'!$A$5,'Liquidity Bucket'!$I$5,IF(V40&lt;='Liquidity Bucket'!$A$6,'Liquidity Bucket'!$I$6,IF(V40='Liquidity Bucket'!$A$8,'Liquidity Bucket'!$I$8,'Liquidity Bucket'!$I$7)))))</f>
        <v>High</v>
      </c>
      <c r="Y40" s="153">
        <f>IF(OR(Q40="Cash",Q40="Receivable Investments",Q40="Payable Investments"),0,IF(Q40="Investments",VLOOKUP(R40,'LQA Stress'!E:Q,12,0),"Not Covered"))</f>
        <v>1.5</v>
      </c>
      <c r="Z40" s="75">
        <f>IF(OR(Q40="Cash",Q40="Receivable Investments",Q40="Payable Investments"),0,IF(Q40="Investments",VLOOKUP(R40,'LQA Stress'!E:Q,9,0),"Not Covered"))</f>
        <v>2.9752000000000001E-2</v>
      </c>
      <c r="AA40" s="13" t="str">
        <f>IF(T40="Comdty","High",IF(Y40&lt;='Liquidity Bucket'!$A$4,'Liquidity Bucket'!$I$4,IF(Y40&lt;='Liquidity Bucket'!$A$5,'Liquidity Bucket'!$I$5,IF(Y40&lt;='Liquidity Bucket'!$A$6,'Liquidity Bucket'!$I$6,IF(Y40='Liquidity Bucket'!$A$8,'Liquidity Bucket'!$I$8,'Liquidity Bucket'!$I$7)))))</f>
        <v>High</v>
      </c>
      <c r="AB40" s="14">
        <f>(N40+M40)/'FX Rates'!$C$5</f>
        <v>5232325.3366873078</v>
      </c>
      <c r="AC40" s="15" t="str">
        <f>IF(X40="Not Covered", (H40/_xll.BDP(R40&amp;" FIGI",$AC$1)),"")</f>
        <v/>
      </c>
      <c r="AD40" s="16" t="str">
        <f>IF(X40="Not Covered", _xll.BDP(R40&amp;" FIGI",$AD$1),"")</f>
        <v/>
      </c>
      <c r="AE40" s="16" t="str">
        <f>IF(OR(T40="Corp",T40="Govt"),IF(_xll.BDP(R40&amp;" FIGI",$AE$1)="#N/A N/A","",_xll.BDP(R40&amp;" FIGI",$AE$1)),"")</f>
        <v>BBB+</v>
      </c>
      <c r="AF40" s="1" t="str">
        <f>IF(OR(T40="Corp",T40="Govt"),IF(_xll.BDP(R40&amp;" FIGI",$AF$1)="#N/A N/A","",_xll.BDP(R40&amp;" FIGI",$AF$1)),"")</f>
        <v>A3</v>
      </c>
      <c r="AG40" s="16" t="str">
        <f>IF(OR(T40="Corp",T40="Govt"),IF(_xll.BDP(R40&amp;" FIGI",$AG$1)="#N/A N/A","",_xll.BDP(R40&amp;" FIGI",$AG$1)),"")</f>
        <v>A</v>
      </c>
      <c r="AH40" s="125">
        <f>IF(OR(S40="Cash",S40="M-Mkt"),21,IF(AE40="",0,VLOOKUP(AE40,'Rating Scale'!A:B,2,0)))</f>
        <v>14</v>
      </c>
      <c r="AI40" s="125">
        <f>IF(OR(S40="Cash",S40="M-Mkt"),21,IF(AF40="",0,VLOOKUP(AF40,'Rating Scale'!D:E,2,0)))</f>
        <v>15</v>
      </c>
      <c r="AJ40" s="125">
        <f>IF(OR(S40="Cash",S40="M-Mkt"),21,IF(AG40="",0,VLOOKUP(AG40,'Rating Scale'!G:H,2,0)))</f>
        <v>16</v>
      </c>
      <c r="AK40">
        <f t="shared" si="3"/>
        <v>15</v>
      </c>
      <c r="AL40" s="1" t="str">
        <f>IF(OR(U40="Cash",U40="Cash Adjustments"),_xll.BDP(G40&amp;" Curncy","Country"),IF(T40="Equity",_xll.BDP(R40&amp;" FIGI","CNTRY_ISSUE_ISO"),_xll.BDP(R40&amp;" FIGI",$AL$1)))</f>
        <v>US</v>
      </c>
      <c r="AM40" s="126" t="str">
        <f>IF(OR(T40="Cash",T40="Cash Adjustments",T40="M-Mkt"), T40, IF(T40="Comdty",AS40, _xll.BDP(R40&amp;" FIGI", $AM$1)))</f>
        <v>Financial</v>
      </c>
      <c r="AN40" s="126" t="str">
        <f>IF(OR(T40="Cash",T40="Cash Adjustments",T40="M-Mkt"), T40,  IF(T40="Comdty",AS40,_xll.BDP(R40&amp;" FIGI", $AN$1)))</f>
        <v>Banks</v>
      </c>
      <c r="AO40" s="126" t="str">
        <f>IF(OR(T40="Cash",T40="Cash Adjustments",T40="M-Mkt"), T40,  IF(T40="Comdty",AS40,_xll.BDP(R40&amp;" FIGI", $AO$1)))</f>
        <v>Diversified Banking Inst</v>
      </c>
      <c r="AP40" s="13" t="str">
        <f>IF(OR(T40="Cash",T40="Cash Adjustments"), T40, IF(_xll.BDP(R40&amp;" FIGI", $AP$1)="#N/A Field Not Applicable","N",_xll.BDP(R40&amp;" FIGI", $AP$1)))</f>
        <v>N</v>
      </c>
      <c r="AQ40" s="1" t="str">
        <f>IF(OR(T40="Cash",T40="Cash Adjustments"), T40, IF(_xll.BDP(R40&amp;" FIGI", $AQ$1)="#N/A Field Not Applicable"," ",_xll.BDP(R40&amp;" FIGI", $AQ$1)))</f>
        <v xml:space="preserve"> </v>
      </c>
      <c r="AR40" s="1" t="str">
        <f>IF(OR(T40="Cash",T40="Cash Adjustments"), T40, IF(_xll.BDP(R40&amp;" FIGI", $AR$1)="#N/A Field Not Applicable"," ",_xll.BDP(R40&amp;" FIGI", $AR$1)))</f>
        <v>ACTV</v>
      </c>
      <c r="AS40" s="1" t="str">
        <f>VLOOKUP(T40,'SFC Classifcation'!$F$2:$H$7,3,0)</f>
        <v>Corporate</v>
      </c>
      <c r="AT40" s="22" t="str">
        <f t="shared" si="0"/>
        <v>Financial</v>
      </c>
      <c r="AU40" s="1" t="str">
        <f t="shared" si="4"/>
        <v>Investment Grade</v>
      </c>
      <c r="AV40" s="1" t="str">
        <f>IF(OR(T40="Cash",T40="Cash Adjustments"),T40,VLOOKUP(AL40,'SFC Classifcation'!$A:$C,3,0))</f>
        <v>United States of America</v>
      </c>
      <c r="AW40" s="22" t="str">
        <f t="shared" si="5"/>
        <v>High</v>
      </c>
      <c r="AX40" s="22" t="str">
        <f t="shared" si="6"/>
        <v>High</v>
      </c>
      <c r="AY40" s="45" t="str">
        <f>IF(OR(T40="Cash",T40="Cash Adjustments"), T40, _xll.BDP(R40&amp;" FIGI", $AY$1))</f>
        <v>Financials</v>
      </c>
      <c r="AZ40" s="45" t="str">
        <f>IF(OR(T40="Cash",T40="Cash Adjustments"), T40, _xll.BDP(R40&amp;" FIGI", $AZ$1))</f>
        <v>FINANCIAL</v>
      </c>
      <c r="BA40" s="45" t="str">
        <f>IF(OR(T40="Cash",T40="Cash Adjustments"), T40, _xll.BDP(R40&amp;" FIGI", $BA$1))</f>
        <v>#N/A Field Not Applicable</v>
      </c>
      <c r="BB40" s="16">
        <f>IF(OR(AS40="Government",AS40="Corporate"),(AK40*AB40/'SFC Report'!$C$20),"")</f>
        <v>0.14258820121504925</v>
      </c>
      <c r="BC40" s="174" t="str">
        <f>IF(OR(T40="Cash",T40="Cash Adjustments", T40="FX Forward", T40="Repo", T40="Equity", T40="M-Mkt"), "", _xll.BDP(R40&amp;" FIGI", $BC$1))</f>
        <v>4/8/2026</v>
      </c>
      <c r="BD40" s="125">
        <f ca="1">IF(OR(T40="Cash",T40="Cash Adjustments",T40="FX Forward",T40="Repo", T40="Equity", T40="M-Mkt"),"",(BC40-'SFC Report'!$B$13)/365)</f>
        <v>5.9424657534246572</v>
      </c>
      <c r="BE40" s="82" t="str">
        <f t="shared" ca="1" si="9"/>
        <v>5 - 7 yrs</v>
      </c>
      <c r="BF40" s="5">
        <f ca="1">IF(BC40="","",BD40*AB40/'SFC Report'!$C$20)</f>
        <v>5.6488366837523625E-2</v>
      </c>
      <c r="BG40" s="14" cm="1">
        <f t="array" ref="BG40">IF(OR(AS40="Corporate",AS40="Government"),_xll.BDP(G40&amp;" ISIN", $BG$1),"")</f>
        <v>4.499718271887958</v>
      </c>
      <c r="BH40" s="140">
        <f>IF(OR(AS40="Corporate",AS40="Government"),BG40*BN40/'SFC Report'!$C$20,"")</f>
        <v>4.2773782290866265E-2</v>
      </c>
      <c r="BI40" s="140">
        <f>IF(OR(AS40="Corporate",AS40="Government"),_xll.BDP(G40&amp;" ISIN", $BI$1),"")</f>
        <v>2.0950637924931246</v>
      </c>
      <c r="BJ40" s="140">
        <f>IF(OR(AS40="Corporate",AS40="Government"),BI40*AB40/'SFC Report'!$C$20,"")</f>
        <v>1.9915425173491593E-2</v>
      </c>
      <c r="BK40" s="153" t="str">
        <f>IF(OR(T40="Cash",T40="Cash Adjustments"),"-",_xll.BDP(R40&amp;" FIGI",$BK$1))</f>
        <v>US172967MQ12</v>
      </c>
      <c r="BL40" s="11" t="str">
        <f>IF(OR(AS40="Cash", AS40="Cash Adjustments"),"-",IF(ISNA(VLOOKUP(BK40,'BBG - VaR Data (Sample, Indus )'!C:N,5,0)),"-",VLOOKUP(BK40,'BBG - VaR Data (Sample, Indus )'!C:N,5,0)))</f>
        <v>-</v>
      </c>
      <c r="BM40" s="11">
        <f>IF(OR(AS40="Cash", AS40="Cash Adjustments"),"-",IF(ISNA(VLOOKUP(BK40,'BBG - Scenarios (Sample View)'!C:Z,14,0)),"-",VLOOKUP(BK40,'BBG - Scenarios (Sample View)'!C:Z,14,0)))</f>
        <v>-4.42</v>
      </c>
      <c r="BN40" s="14">
        <f t="shared" si="7"/>
        <v>5232325.3366873078</v>
      </c>
      <c r="BO40" s="1">
        <f t="shared" si="8"/>
        <v>1.0263985097154198E-2</v>
      </c>
      <c r="BP40" t="str">
        <f>IF(BC40&lt;&gt;0,MaturityBucket(BG40),"")</f>
        <v>3 - 5 yrs</v>
      </c>
      <c r="BQ40" s="11" t="str">
        <f>IF(OR(T40="Cash",T40="Cash Adjustments"),T40,VLOOKUP(AL40,'SFC Classifcation'!$A:$C,2,0))</f>
        <v>United States of America</v>
      </c>
      <c r="BR40" s="1" t="e">
        <f>IF(S40="Bond",BH40/'SFC Report'!$B$7,"")</f>
        <v>#VALUE!</v>
      </c>
      <c r="BS40" t="str">
        <f>IF(OR(T40="Cash",T40="Cash Adjustments"),"-",_xll.BDP(R40&amp;" FIGI",$BS$1))</f>
        <v>4/6/2020</v>
      </c>
      <c r="BT40" t="str">
        <f>IF(OR(T40="Cash",T40="Cash Adjustments"),"-",_xll.BDP(R40&amp;" FIGI",$BT$1))</f>
        <v>4/7/2020</v>
      </c>
      <c r="BU40" t="str">
        <f>IF(OR(T40="Cash",T40="Cash Adjustments"),"-",_xll.BDP(R40&amp;" FIGI",$BU$1))</f>
        <v>4/6/2020</v>
      </c>
    </row>
    <row r="41" spans="1:73">
      <c r="A41" s="254" t="s">
        <v>15</v>
      </c>
      <c r="B41" s="254" t="s">
        <v>25</v>
      </c>
      <c r="C41" s="254" t="s">
        <v>46</v>
      </c>
      <c r="D41" s="254" t="s">
        <v>22</v>
      </c>
      <c r="E41" s="254"/>
      <c r="F41" s="254" t="s">
        <v>1203</v>
      </c>
      <c r="G41" s="254" t="s">
        <v>1204</v>
      </c>
      <c r="H41" s="270">
        <v>4200000</v>
      </c>
      <c r="I41" s="270">
        <v>98.816000000000003</v>
      </c>
      <c r="J41" s="270">
        <v>4200000</v>
      </c>
      <c r="K41" s="270">
        <v>32625180</v>
      </c>
      <c r="L41" s="270">
        <v>-459741.95</v>
      </c>
      <c r="M41" s="270">
        <v>299467.73</v>
      </c>
      <c r="N41" s="270">
        <v>32165438.050000001</v>
      </c>
      <c r="O41" s="255">
        <v>7.1000000000000004E-3</v>
      </c>
      <c r="P41" s="1"/>
      <c r="Q41" s="1" t="str">
        <f t="shared" si="2"/>
        <v>Investments</v>
      </c>
      <c r="R41" s="1" t="str">
        <f>_xll.BDP(G41&amp;" ISIN",$R$1)</f>
        <v>BBG00RRMFK74</v>
      </c>
      <c r="S41" s="191" t="s">
        <v>519</v>
      </c>
      <c r="T41" s="1" t="str">
        <f>IF(Q41="Cash",Q41,IF(OR(Q41="Receivable Investments",Q41="Payable Investments"),"Cash Adjustments",VLOOKUP(R41,LQA!E:S,3,0)))</f>
        <v>Corp</v>
      </c>
      <c r="U41" s="1" t="str">
        <f>IF(Q41="Cash",Q41,IF(OR(Q41="Receivable Investments",Q41="Payable Investments"),"Cash Adjustments",_xll.BDP(R41&amp;" FIGI",$U$1)))</f>
        <v>#N/A Field Not Applicable</v>
      </c>
      <c r="V41" s="10">
        <f>IF(OR(Q41="Cash",Q41="Receivable Investments",Q41="Payable Investments"),0,IF(Q41="Investments",VLOOKUP(R41,LQA!E:Q,12,0),"Not Covered"))</f>
        <v>0.5</v>
      </c>
      <c r="W41" s="76">
        <f>IF(OR(Q41="Cash",Q41="Receivable Investments",Q41="Payable Investments"),0,IF(Q41="Investments",VLOOKUP(R41,LQA!E:Q,9,0),"Not Covered"))</f>
        <v>5.2490000000000002E-3</v>
      </c>
      <c r="X41" s="13" t="str">
        <f>IF(OR(H41=0,T41="Comdty"),"High",IF(V41&lt;='Liquidity Bucket'!$A$4,'Liquidity Bucket'!$I$4,IF(V41&lt;='Liquidity Bucket'!$A$5,'Liquidity Bucket'!$I$5,IF(V41&lt;='Liquidity Bucket'!$A$6,'Liquidity Bucket'!$I$6,IF(V41='Liquidity Bucket'!$A$8,'Liquidity Bucket'!$I$8,'Liquidity Bucket'!$I$7)))))</f>
        <v>High</v>
      </c>
      <c r="Y41" s="153">
        <f>IF(OR(Q41="Cash",Q41="Receivable Investments",Q41="Payable Investments"),0,IF(Q41="Investments",VLOOKUP(R41,'LQA Stress'!E:Q,12,0),"Not Covered"))</f>
        <v>2.4</v>
      </c>
      <c r="Z41" s="75">
        <f>IF(OR(Q41="Cash",Q41="Receivable Investments",Q41="Payable Investments"),0,IF(Q41="Investments",VLOOKUP(R41,'LQA Stress'!E:Q,9,0),"Not Covered"))</f>
        <v>1.32E-2</v>
      </c>
      <c r="AA41" s="13" t="str">
        <f>IF(T41="Comdty","High",IF(Y41&lt;='Liquidity Bucket'!$A$4,'Liquidity Bucket'!$I$4,IF(Y41&lt;='Liquidity Bucket'!$A$5,'Liquidity Bucket'!$I$5,IF(Y41&lt;='Liquidity Bucket'!$A$6,'Liquidity Bucket'!$I$6,IF(Y41='Liquidity Bucket'!$A$8,'Liquidity Bucket'!$I$8,'Liquidity Bucket'!$I$7)))))</f>
        <v>High</v>
      </c>
      <c r="AB41" s="14">
        <f>(N41+M41)/'FX Rates'!$C$5</f>
        <v>4187939.3421052634</v>
      </c>
      <c r="AC41" s="15" t="str">
        <f>IF(X41="Not Covered", (H41/_xll.BDP(R41&amp;" FIGI",$AC$1)),"")</f>
        <v/>
      </c>
      <c r="AD41" s="16" t="str">
        <f>IF(X41="Not Covered", _xll.BDP(R41&amp;" FIGI",$AD$1),"")</f>
        <v/>
      </c>
      <c r="AE41" s="16" t="str">
        <f>IF(OR(T41="Corp",T41="Govt"),IF(_xll.BDP(R41&amp;" FIGI",$AE$1)="#N/A N/A","",_xll.BDP(R41&amp;" FIGI",$AE$1)),"")</f>
        <v/>
      </c>
      <c r="AF41" s="1" t="str">
        <f>IF(OR(T41="Corp",T41="Govt"),IF(_xll.BDP(R41&amp;" FIGI",$AF$1)="#N/A N/A","",_xll.BDP(R41&amp;" FIGI",$AF$1)),"")</f>
        <v/>
      </c>
      <c r="AG41" s="16" t="str">
        <f>IF(OR(T41="Corp",T41="Govt"),IF(_xll.BDP(R41&amp;" FIGI",$AG$1)="#N/A N/A","",_xll.BDP(R41&amp;" FIGI",$AG$1)),"")</f>
        <v/>
      </c>
      <c r="AH41" s="125">
        <f>IF(OR(S41="Cash",S41="M-Mkt"),21,IF(AE41="",0,VLOOKUP(AE41,'Rating Scale'!A:B,2,0)))</f>
        <v>0</v>
      </c>
      <c r="AI41" s="125">
        <f>IF(OR(S41="Cash",S41="M-Mkt"),21,IF(AF41="",0,VLOOKUP(AF41,'Rating Scale'!D:E,2,0)))</f>
        <v>0</v>
      </c>
      <c r="AJ41" s="125">
        <f>IF(OR(S41="Cash",S41="M-Mkt"),21,IF(AG41="",0,VLOOKUP(AG41,'Rating Scale'!G:H,2,0)))</f>
        <v>0</v>
      </c>
      <c r="AK41">
        <f t="shared" si="3"/>
        <v>0</v>
      </c>
      <c r="AL41" s="1" t="str">
        <f>IF(OR(U41="Cash",U41="Cash Adjustments"),_xll.BDP(G41&amp;" Curncy","Country"),IF(T41="Equity",_xll.BDP(R41&amp;" FIGI","CNTRY_ISSUE_ISO"),_xll.BDP(R41&amp;" FIGI",$AL$1)))</f>
        <v>CN</v>
      </c>
      <c r="AM41" s="126" t="str">
        <f>IF(OR(T41="Cash",T41="Cash Adjustments",T41="M-Mkt"), T41, IF(T41="Comdty",AS41, _xll.BDP(R41&amp;" FIGI", $AM$1)))</f>
        <v>Financial</v>
      </c>
      <c r="AN41" s="126" t="str">
        <f>IF(OR(T41="Cash",T41="Cash Adjustments",T41="M-Mkt"), T41,  IF(T41="Comdty",AS41,_xll.BDP(R41&amp;" FIGI", $AN$1)))</f>
        <v>Real Estate</v>
      </c>
      <c r="AO41" s="126" t="str">
        <f>IF(OR(T41="Cash",T41="Cash Adjustments",T41="M-Mkt"), T41,  IF(T41="Comdty",AS41,_xll.BDP(R41&amp;" FIGI", $AO$1)))</f>
        <v>Real Estate Oper/Develop</v>
      </c>
      <c r="AP41" s="13" t="str">
        <f>IF(OR(T41="Cash",T41="Cash Adjustments"), T41, IF(_xll.BDP(R41&amp;" FIGI", $AP$1)="#N/A Field Not Applicable","N",_xll.BDP(R41&amp;" FIGI", $AP$1)))</f>
        <v>N</v>
      </c>
      <c r="AQ41" s="1" t="str">
        <f>IF(OR(T41="Cash",T41="Cash Adjustments"), T41, IF(_xll.BDP(R41&amp;" FIGI", $AQ$1)="#N/A Field Not Applicable"," ",_xll.BDP(R41&amp;" FIGI", $AQ$1)))</f>
        <v xml:space="preserve"> </v>
      </c>
      <c r="AR41" s="1" t="str">
        <f>IF(OR(T41="Cash",T41="Cash Adjustments"), T41, IF(_xll.BDP(R41&amp;" FIGI", $AR$1)="#N/A Field Not Applicable"," ",_xll.BDP(R41&amp;" FIGI", $AR$1)))</f>
        <v>ACTV</v>
      </c>
      <c r="AS41" s="1" t="str">
        <f>VLOOKUP(T41,'SFC Classifcation'!$F$2:$H$7,3,0)</f>
        <v>Corporate</v>
      </c>
      <c r="AT41" s="22" t="str">
        <f t="shared" si="0"/>
        <v>Financial</v>
      </c>
      <c r="AU41" s="1" t="str">
        <f t="shared" si="4"/>
        <v>Non-Investment Grade</v>
      </c>
      <c r="AV41" s="1" t="str">
        <f>IF(OR(T41="Cash",T41="Cash Adjustments"),T41,VLOOKUP(AL41,'SFC Classifcation'!$A:$C,3,0))</f>
        <v>China</v>
      </c>
      <c r="AW41" s="22" t="str">
        <f t="shared" si="5"/>
        <v>High</v>
      </c>
      <c r="AX41" s="22" t="str">
        <f t="shared" si="6"/>
        <v>High</v>
      </c>
      <c r="AY41" s="45" t="str">
        <f>IF(OR(T41="Cash",T41="Cash Adjustments"), T41, _xll.BDP(R41&amp;" FIGI", $AY$1))</f>
        <v>Real Estate</v>
      </c>
      <c r="AZ41" s="45" t="str">
        <f>IF(OR(T41="Cash",T41="Cash Adjustments"), T41, _xll.BDP(R41&amp;" FIGI", $AZ$1))</f>
        <v>FINANCIAL</v>
      </c>
      <c r="BA41" s="45" t="str">
        <f>IF(OR(T41="Cash",T41="Cash Adjustments"), T41, _xll.BDP(R41&amp;" FIGI", $BA$1))</f>
        <v>#N/A Field Not Applicable</v>
      </c>
      <c r="BB41" s="16">
        <f>IF(OR(AS41="Government",AS41="Corporate"),(AK41*AB41/'SFC Report'!$C$20),"")</f>
        <v>0</v>
      </c>
      <c r="BC41" s="174" t="str">
        <f>IF(OR(T41="Cash",T41="Cash Adjustments", T41="FX Forward", T41="Repo", T41="Equity", T41="M-Mkt"), "", _xll.BDP(R41&amp;" FIGI", $BC$1))</f>
        <v>2/18/2021</v>
      </c>
      <c r="BD41" s="125">
        <f ca="1">IF(OR(T41="Cash",T41="Cash Adjustments",T41="FX Forward",T41="Repo", T41="Equity", T41="M-Mkt"),"",(BC41-'SFC Report'!$B$13)/365)</f>
        <v>0.80547945205479454</v>
      </c>
      <c r="BE41" s="82" t="str">
        <f t="shared" ca="1" si="9"/>
        <v>0 - 1 yr</v>
      </c>
      <c r="BF41" s="5">
        <f ca="1">IF(BC41="","",BD41*AB41/'SFC Report'!$C$20)</f>
        <v>6.1284753012121745E-3</v>
      </c>
      <c r="BG41" s="14" cm="1">
        <f t="array" ref="BG41">IF(OR(AS41="Corporate",AS41="Government"),_xll.BDP(G41&amp;" ISIN", $BG$1),"")</f>
        <v>0.69310519604765242</v>
      </c>
      <c r="BH41" s="140">
        <f>IF(OR(AS41="Corporate",AS41="Government"),BG41*BN41/'SFC Report'!$C$20,"")</f>
        <v>5.2734778823766964E-3</v>
      </c>
      <c r="BI41" s="140">
        <f>IF(OR(AS41="Corporate",AS41="Government"),_xll.BDP(G41&amp;" ISIN", $BI$1),"")</f>
        <v>5.8601704245125754</v>
      </c>
      <c r="BJ41" s="140">
        <f>IF(OR(AS41="Corporate",AS41="Government"),BI41*AB41/'SFC Report'!$C$20,"")</f>
        <v>4.4586996745729843E-2</v>
      </c>
      <c r="BK41" s="153" t="str">
        <f>IF(OR(T41="Cash",T41="Cash Adjustments"),"-",_xll.BDP(R41&amp;" FIGI",$BK$1))</f>
        <v>XS2123967452</v>
      </c>
      <c r="BL41" s="11" t="str">
        <f>IF(OR(AS41="Cash", AS41="Cash Adjustments"),"-",IF(ISNA(VLOOKUP(BK41,'BBG - VaR Data (Sample, Indus )'!C:N,5,0)),"-",VLOOKUP(BK41,'BBG - VaR Data (Sample, Indus )'!C:N,5,0)))</f>
        <v>-</v>
      </c>
      <c r="BM41" s="11">
        <f>IF(OR(AS41="Cash", AS41="Cash Adjustments"),"-",IF(ISNA(VLOOKUP(BK41,'BBG - Scenarios (Sample View)'!C:Z,14,0)),"-",VLOOKUP(BK41,'BBG - Scenarios (Sample View)'!C:Z,14,0)))</f>
        <v>-1.18</v>
      </c>
      <c r="BN41" s="14">
        <f t="shared" si="7"/>
        <v>4187939.3421052634</v>
      </c>
      <c r="BO41" s="1">
        <f t="shared" si="8"/>
        <v>8.2152664884498228E-3</v>
      </c>
      <c r="BP41" t="str">
        <f>IF(BC41&lt;&gt;0,MaturityBucket(BG41),"")</f>
        <v>0 - 1 yr</v>
      </c>
      <c r="BQ41" s="11" t="str">
        <f>IF(OR(T41="Cash",T41="Cash Adjustments"),T41,VLOOKUP(AL41,'SFC Classifcation'!$A:$C,2,0))</f>
        <v>China</v>
      </c>
      <c r="BR41" s="1" t="e">
        <f>IF(S41="Bond",BH41/'SFC Report'!$B$7,"")</f>
        <v>#VALUE!</v>
      </c>
      <c r="BS41" t="str">
        <f>IF(OR(T41="Cash",T41="Cash Adjustments"),"-",_xll.BDP(R41&amp;" FIGI",$BS$1))</f>
        <v>#N/A N/A</v>
      </c>
      <c r="BT41" t="str">
        <f>IF(OR(T41="Cash",T41="Cash Adjustments"),"-",_xll.BDP(R41&amp;" FIGI",$BT$1))</f>
        <v>#N/A N/A</v>
      </c>
      <c r="BU41" t="str">
        <f>IF(OR(T41="Cash",T41="Cash Adjustments"),"-",_xll.BDP(R41&amp;" FIGI",$BU$1))</f>
        <v>#N/A N/A</v>
      </c>
    </row>
    <row r="42" spans="1:73">
      <c r="A42" s="254" t="s">
        <v>15</v>
      </c>
      <c r="B42" s="254" t="s">
        <v>25</v>
      </c>
      <c r="C42" s="254" t="s">
        <v>46</v>
      </c>
      <c r="D42" s="254" t="s">
        <v>22</v>
      </c>
      <c r="E42" s="254"/>
      <c r="F42" s="254" t="s">
        <v>50</v>
      </c>
      <c r="G42" s="254" t="s">
        <v>51</v>
      </c>
      <c r="H42" s="270">
        <v>10000000</v>
      </c>
      <c r="I42" s="270">
        <v>100.97799999999999</v>
      </c>
      <c r="J42" s="270">
        <v>9797196.1799999997</v>
      </c>
      <c r="K42" s="270">
        <v>76504402.870000005</v>
      </c>
      <c r="L42" s="270">
        <v>1755566.61</v>
      </c>
      <c r="M42" s="270">
        <v>907096.33</v>
      </c>
      <c r="N42" s="270">
        <v>78259969.480000004</v>
      </c>
      <c r="O42" s="255">
        <v>1.72E-2</v>
      </c>
      <c r="P42" s="1"/>
      <c r="Q42" s="1" t="str">
        <f t="shared" si="2"/>
        <v>Investments</v>
      </c>
      <c r="R42" s="1" t="str">
        <f>_xll.BDP(G42&amp;" ISIN",$R$1)</f>
        <v>BBG00LVCWLT9</v>
      </c>
      <c r="S42" s="1" t="str">
        <f>IF(Q42="Cash",Q42,IF(OR(Q42="Receivable Investments",Q42="Payable Investments"),"Cash Adjustments",_xll.BDP(R42&amp;" FIGI",$S$1)))</f>
        <v>BOND</v>
      </c>
      <c r="T42" s="1" t="str">
        <f>IF(Q42="Cash",Q42,IF(OR(Q42="Receivable Investments",Q42="Payable Investments"),"Cash Adjustments",VLOOKUP(R42,LQA!E:S,3,0)))</f>
        <v>Corp</v>
      </c>
      <c r="U42" s="1" t="str">
        <f>IF(Q42="Cash",Q42,IF(OR(Q42="Receivable Investments",Q42="Payable Investments"),"Cash Adjustments",_xll.BDP(R42&amp;" FIGI",$U$1)))</f>
        <v>#N/A Field Not Applicable</v>
      </c>
      <c r="V42" s="10">
        <f>IF(OR(Q42="Cash",Q42="Receivable Investments",Q42="Payable Investments"),0,IF(Q42="Investments",VLOOKUP(R42,LQA!E:Q,12,0),"Not Covered"))</f>
        <v>0.3</v>
      </c>
      <c r="W42" s="76">
        <f>IF(OR(Q42="Cash",Q42="Receivable Investments",Q42="Payable Investments"),0,IF(Q42="Investments",VLOOKUP(R42,LQA!E:Q,9,0),"Not Covered"))</f>
        <v>5.398E-3</v>
      </c>
      <c r="X42" s="13" t="str">
        <f>IF(OR(H42=0,T42="Comdty"),"High",IF(V42&lt;='Liquidity Bucket'!$A$4,'Liquidity Bucket'!$I$4,IF(V42&lt;='Liquidity Bucket'!$A$5,'Liquidity Bucket'!$I$5,IF(V42&lt;='Liquidity Bucket'!$A$6,'Liquidity Bucket'!$I$6,IF(V42='Liquidity Bucket'!$A$8,'Liquidity Bucket'!$I$8,'Liquidity Bucket'!$I$7)))))</f>
        <v>High</v>
      </c>
      <c r="Y42" s="153">
        <f>IF(OR(Q42="Cash",Q42="Receivable Investments",Q42="Payable Investments"),0,IF(Q42="Investments",VLOOKUP(R42,'LQA Stress'!E:Q,12,0),"Not Covered"))</f>
        <v>2.5</v>
      </c>
      <c r="Z42" s="75">
        <f>IF(OR(Q42="Cash",Q42="Receivable Investments",Q42="Payable Investments"),0,IF(Q42="Investments",VLOOKUP(R42,'LQA Stress'!E:Q,9,0),"Not Covered"))</f>
        <v>1.3894E-2</v>
      </c>
      <c r="AA42" s="13" t="str">
        <f>IF(T42="Comdty","High",IF(Y42&lt;='Liquidity Bucket'!$A$4,'Liquidity Bucket'!$I$4,IF(Y42&lt;='Liquidity Bucket'!$A$5,'Liquidity Bucket'!$I$5,IF(Y42&lt;='Liquidity Bucket'!$A$6,'Liquidity Bucket'!$I$6,IF(Y42='Liquidity Bucket'!$A$8,'Liquidity Bucket'!$I$8,'Liquidity Bucket'!$I$7)))))</f>
        <v>High</v>
      </c>
      <c r="AB42" s="14">
        <f>(N42+M42)/'FX Rates'!$C$5</f>
        <v>10212469.789731683</v>
      </c>
      <c r="AC42" s="15" t="str">
        <f>IF(X42="Not Covered", (H42/_xll.BDP(R42&amp;" FIGI",$AC$1)),"")</f>
        <v/>
      </c>
      <c r="AD42" s="16" t="str">
        <f>IF(X42="Not Covered", _xll.BDP(R42&amp;" FIGI",$AD$1),"")</f>
        <v/>
      </c>
      <c r="AE42" s="16" t="str">
        <f>IF(OR(T42="Corp",T42="Govt"),IF(_xll.BDP(R42&amp;" FIGI",$AE$1)="#N/A N/A","",_xll.BDP(R42&amp;" FIGI",$AE$1)),"")</f>
        <v>B</v>
      </c>
      <c r="AF42" s="1" t="str">
        <f>IF(OR(T42="Corp",T42="Govt"),IF(_xll.BDP(R42&amp;" FIGI",$AF$1)="#N/A N/A","",_xll.BDP(R42&amp;" FIGI",$AF$1)),"")</f>
        <v>B2</v>
      </c>
      <c r="AG42" s="16" t="str">
        <f>IF(OR(T42="Corp",T42="Govt"),IF(_xll.BDP(R42&amp;" FIGI",$AG$1)="#N/A N/A","",_xll.BDP(R42&amp;" FIGI",$AG$1)),"")</f>
        <v>BB-</v>
      </c>
      <c r="AH42" s="125">
        <f>IF(OR(S42="Cash",S42="M-Mkt"),21,IF(AE42="",0,VLOOKUP(AE42,'Rating Scale'!A:B,2,0)))</f>
        <v>7</v>
      </c>
      <c r="AI42" s="125">
        <f>IF(OR(S42="Cash",S42="M-Mkt"),21,IF(AF42="",0,VLOOKUP(AF42,'Rating Scale'!D:E,2,0)))</f>
        <v>7</v>
      </c>
      <c r="AJ42" s="125">
        <f>IF(OR(S42="Cash",S42="M-Mkt"),21,IF(AG42="",0,VLOOKUP(AG42,'Rating Scale'!G:H,2,0)))</f>
        <v>9</v>
      </c>
      <c r="AK42">
        <f t="shared" si="3"/>
        <v>7</v>
      </c>
      <c r="AL42" s="1" t="str">
        <f>IF(OR(U42="Cash",U42="Cash Adjustments"),_xll.BDP(G42&amp;" Curncy","Country"),IF(T42="Equity",_xll.BDP(R42&amp;" FIGI","CNTRY_ISSUE_ISO"),_xll.BDP(R42&amp;" FIGI",$AL$1)))</f>
        <v>CN</v>
      </c>
      <c r="AM42" s="126" t="str">
        <f>IF(OR(T42="Cash",T42="Cash Adjustments",T42="M-Mkt"), T42, IF(T42="Comdty",AS42, _xll.BDP(R42&amp;" FIGI", $AM$1)))</f>
        <v>Financial</v>
      </c>
      <c r="AN42" s="126" t="str">
        <f>IF(OR(T42="Cash",T42="Cash Adjustments",T42="M-Mkt"), T42,  IF(T42="Comdty",AS42,_xll.BDP(R42&amp;" FIGI", $AN$1)))</f>
        <v>Real Estate</v>
      </c>
      <c r="AO42" s="126" t="str">
        <f>IF(OR(T42="Cash",T42="Cash Adjustments",T42="M-Mkt"), T42,  IF(T42="Comdty",AS42,_xll.BDP(R42&amp;" FIGI", $AO$1)))</f>
        <v>Real Estate Oper/Develop</v>
      </c>
      <c r="AP42" s="13" t="str">
        <f>IF(OR(T42="Cash",T42="Cash Adjustments"), T42, IF(_xll.BDP(R42&amp;" FIGI", $AP$1)="#N/A Field Not Applicable","N",_xll.BDP(R42&amp;" FIGI", $AP$1)))</f>
        <v>N</v>
      </c>
      <c r="AQ42" s="1" t="str">
        <f>IF(OR(T42="Cash",T42="Cash Adjustments"), T42, IF(_xll.BDP(R42&amp;" FIGI", $AQ$1)="#N/A Field Not Applicable"," ",_xll.BDP(R42&amp;" FIGI", $AQ$1)))</f>
        <v xml:space="preserve"> </v>
      </c>
      <c r="AR42" s="1" t="str">
        <f>IF(OR(T42="Cash",T42="Cash Adjustments"), T42, IF(_xll.BDP(R42&amp;" FIGI", $AR$1)="#N/A Field Not Applicable"," ",_xll.BDP(R42&amp;" FIGI", $AR$1)))</f>
        <v>ACTV</v>
      </c>
      <c r="AS42" s="1" t="str">
        <f>VLOOKUP(T42,'SFC Classifcation'!$F$2:$H$7,3,0)</f>
        <v>Corporate</v>
      </c>
      <c r="AT42" s="22" t="str">
        <f t="shared" si="0"/>
        <v>Financial</v>
      </c>
      <c r="AU42" s="1" t="str">
        <f t="shared" si="4"/>
        <v>Non-Investment Grade</v>
      </c>
      <c r="AV42" s="1" t="str">
        <f>IF(OR(T42="Cash",T42="Cash Adjustments"),T42,VLOOKUP(AL42,'SFC Classifcation'!$A:$C,3,0))</f>
        <v>China</v>
      </c>
      <c r="AW42" s="22" t="str">
        <f t="shared" si="5"/>
        <v>High</v>
      </c>
      <c r="AX42" s="22" t="str">
        <f t="shared" si="6"/>
        <v>High</v>
      </c>
      <c r="AY42" s="45" t="str">
        <f>IF(OR(T42="Cash",T42="Cash Adjustments"), T42, _xll.BDP(R42&amp;" FIGI", $AY$1))</f>
        <v>Real Estate</v>
      </c>
      <c r="AZ42" s="45" t="str">
        <f>IF(OR(T42="Cash",T42="Cash Adjustments"), T42, _xll.BDP(R42&amp;" FIGI", $AZ$1))</f>
        <v>FINANCIAL</v>
      </c>
      <c r="BA42" s="45" t="str">
        <f>IF(OR(T42="Cash",T42="Cash Adjustments"), T42, _xll.BDP(R42&amp;" FIGI", $BA$1))</f>
        <v>#N/A Field Not Applicable</v>
      </c>
      <c r="BB42" s="16">
        <f>IF(OR(AS42="Government",AS42="Corporate"),(AK42*AB42/'SFC Report'!$C$20),"")</f>
        <v>0.12987525590192836</v>
      </c>
      <c r="BC42" s="174" t="str">
        <f>IF(OR(T42="Cash",T42="Cash Adjustments", T42="FX Forward", T42="Repo", T42="Equity", T42="M-Mkt"), "", _xll.BDP(R42&amp;" FIGI", $BC$1))</f>
        <v>9/7/2021</v>
      </c>
      <c r="BD42" s="125">
        <f ca="1">IF(OR(T42="Cash",T42="Cash Adjustments",T42="FX Forward",T42="Repo", T42="Equity", T42="M-Mkt"),"",(BC42-'SFC Report'!$B$13)/365)</f>
        <v>1.3561643835616439</v>
      </c>
      <c r="BE42" s="82" t="str">
        <f t="shared" ca="1" si="9"/>
        <v>1 - 2 yrs</v>
      </c>
      <c r="BF42" s="5">
        <f ca="1">IF(BC42="","",BD42*AB42/'SFC Report'!$C$20)</f>
        <v>2.51617423371642E-2</v>
      </c>
      <c r="BG42" s="14" cm="1">
        <f t="array" ref="BG42">IF(OR(AS42="Corporate",AS42="Government"),_xll.BDP(G42&amp;" ISIN", $BG$1),"")</f>
        <v>1.1844272911377969</v>
      </c>
      <c r="BH42" s="140">
        <f>IF(OR(AS42="Corporate",AS42="Government"),BG42*BN42/'SFC Report'!$C$20,"")</f>
        <v>2.1975399647678452E-2</v>
      </c>
      <c r="BI42" s="140">
        <f>IF(OR(AS42="Corporate",AS42="Government"),_xll.BDP(G42&amp;" ISIN", $BI$1),"")</f>
        <v>6.319911735930007</v>
      </c>
      <c r="BJ42" s="140">
        <f>IF(OR(AS42="Corporate",AS42="Government"),BI42*AB42/'SFC Report'!$C$20,"")</f>
        <v>0.11725716485450141</v>
      </c>
      <c r="BK42" s="153" t="str">
        <f>IF(OR(T42="Cash",T42="Cash Adjustments"),"-",_xll.BDP(R42&amp;" FIGI",$BK$1))</f>
        <v>XS1876052025</v>
      </c>
      <c r="BL42" s="11" t="str">
        <f>IF(OR(AS42="Cash", AS42="Cash Adjustments"),"-",IF(ISNA(VLOOKUP(BK42,'BBG - VaR Data (Sample, Indus )'!C:N,5,0)),"-",VLOOKUP(BK42,'BBG - VaR Data (Sample, Indus )'!C:N,5,0)))</f>
        <v>-</v>
      </c>
      <c r="BM42" s="11">
        <f>IF(OR(AS42="Cash", AS42="Cash Adjustments"),"-",IF(ISNA(VLOOKUP(BK42,'BBG - Scenarios (Sample View)'!C:Z,14,0)),"-",VLOOKUP(BK42,'BBG - Scenarios (Sample View)'!C:Z,14,0)))</f>
        <v>-1.18</v>
      </c>
      <c r="BN42" s="14">
        <f t="shared" si="7"/>
        <v>10212469.789731683</v>
      </c>
      <c r="BO42" s="1">
        <f t="shared" si="8"/>
        <v>2.0033279848249565E-2</v>
      </c>
      <c r="BP42" t="str">
        <f>IF(BC42&lt;&gt;0,MaturityBucket(BG42),"")</f>
        <v>1 - 2 yrs</v>
      </c>
      <c r="BQ42" s="11" t="str">
        <f>IF(OR(T42="Cash",T42="Cash Adjustments"),T42,VLOOKUP(AL42,'SFC Classifcation'!$A:$C,2,0))</f>
        <v>China</v>
      </c>
      <c r="BR42" s="1" t="e">
        <f>IF(S42="Bond",BH42/'SFC Report'!$B$7,"")</f>
        <v>#VALUE!</v>
      </c>
      <c r="BS42" t="str">
        <f>IF(OR(T42="Cash",T42="Cash Adjustments"),"-",_xll.BDP(R42&amp;" FIGI",$BS$1))</f>
        <v>8/29/2018</v>
      </c>
      <c r="BT42" t="str">
        <f>IF(OR(T42="Cash",T42="Cash Adjustments"),"-",_xll.BDP(R42&amp;" FIGI",$BT$1))</f>
        <v>8/29/2018</v>
      </c>
      <c r="BU42" t="str">
        <f>IF(OR(T42="Cash",T42="Cash Adjustments"),"-",_xll.BDP(R42&amp;" FIGI",$BU$1))</f>
        <v>9/18/2018</v>
      </c>
    </row>
    <row r="43" spans="1:73">
      <c r="A43" s="254" t="s">
        <v>15</v>
      </c>
      <c r="B43" s="254" t="s">
        <v>25</v>
      </c>
      <c r="C43" s="254" t="s">
        <v>46</v>
      </c>
      <c r="D43" s="254" t="s">
        <v>22</v>
      </c>
      <c r="E43" s="254"/>
      <c r="F43" s="254" t="s">
        <v>52</v>
      </c>
      <c r="G43" s="254" t="s">
        <v>53</v>
      </c>
      <c r="H43" s="270">
        <v>6000000</v>
      </c>
      <c r="I43" s="270">
        <v>102.06399999999999</v>
      </c>
      <c r="J43" s="270">
        <v>6152708.3300000001</v>
      </c>
      <c r="K43" s="270">
        <v>48237073.630000003</v>
      </c>
      <c r="L43" s="270">
        <v>-776088.86</v>
      </c>
      <c r="M43" s="270">
        <v>1065006.6499999999</v>
      </c>
      <c r="N43" s="270">
        <v>47460984.770000003</v>
      </c>
      <c r="O43" s="255">
        <v>1.04E-2</v>
      </c>
      <c r="P43" s="1"/>
      <c r="Q43" s="1" t="str">
        <f t="shared" si="2"/>
        <v>Investments</v>
      </c>
      <c r="R43" s="1" t="str">
        <f>_xll.BDP(G43&amp;" ISIN",$R$1)</f>
        <v>BBG00N2K8LG0</v>
      </c>
      <c r="S43" s="1" t="str">
        <f>IF(Q43="Cash",Q43,IF(OR(Q43="Receivable Investments",Q43="Payable Investments"),"Cash Adjustments",_xll.BDP(R43&amp;" FIGI",$S$1)))</f>
        <v>BOND</v>
      </c>
      <c r="T43" s="1" t="str">
        <f>IF(Q43="Cash",Q43,IF(OR(Q43="Receivable Investments",Q43="Payable Investments"),"Cash Adjustments",VLOOKUP(R43,LQA!E:S,3,0)))</f>
        <v>Corp</v>
      </c>
      <c r="U43" s="1" t="str">
        <f>IF(Q43="Cash",Q43,IF(OR(Q43="Receivable Investments",Q43="Payable Investments"),"Cash Adjustments",_xll.BDP(R43&amp;" FIGI",$U$1)))</f>
        <v>#N/A Field Not Applicable</v>
      </c>
      <c r="V43" s="10">
        <f>IF(OR(Q43="Cash",Q43="Receivable Investments",Q43="Payable Investments"),0,IF(Q43="Investments",VLOOKUP(R43,LQA!E:Q,12,0),"Not Covered"))</f>
        <v>0.3</v>
      </c>
      <c r="W43" s="76">
        <f>IF(OR(Q43="Cash",Q43="Receivable Investments",Q43="Payable Investments"),0,IF(Q43="Investments",VLOOKUP(R43,LQA!E:Q,9,0),"Not Covered"))</f>
        <v>7.5100000000000002E-3</v>
      </c>
      <c r="X43" s="13" t="str">
        <f>IF(OR(H43=0,T43="Comdty"),"High",IF(V43&lt;='Liquidity Bucket'!$A$4,'Liquidity Bucket'!$I$4,IF(V43&lt;='Liquidity Bucket'!$A$5,'Liquidity Bucket'!$I$5,IF(V43&lt;='Liquidity Bucket'!$A$6,'Liquidity Bucket'!$I$6,IF(V43='Liquidity Bucket'!$A$8,'Liquidity Bucket'!$I$8,'Liquidity Bucket'!$I$7)))))</f>
        <v>High</v>
      </c>
      <c r="Y43" s="153">
        <f>IF(OR(Q43="Cash",Q43="Receivable Investments",Q43="Payable Investments"),0,IF(Q43="Investments",VLOOKUP(R43,'LQA Stress'!E:Q,12,0),"Not Covered"))</f>
        <v>0.9</v>
      </c>
      <c r="Z43" s="75">
        <f>IF(OR(Q43="Cash",Q43="Receivable Investments",Q43="Payable Investments"),0,IF(Q43="Investments",VLOOKUP(R43,'LQA Stress'!E:Q,9,0),"Not Covered"))</f>
        <v>2.0025999999999999E-2</v>
      </c>
      <c r="AA43" s="13" t="str">
        <f>IF(T43="Comdty","High",IF(Y43&lt;='Liquidity Bucket'!$A$4,'Liquidity Bucket'!$I$4,IF(Y43&lt;='Liquidity Bucket'!$A$5,'Liquidity Bucket'!$I$5,IF(Y43&lt;='Liquidity Bucket'!$A$6,'Liquidity Bucket'!$I$6,IF(Y43='Liquidity Bucket'!$A$8,'Liquidity Bucket'!$I$8,'Liquidity Bucket'!$I$7)))))</f>
        <v>High</v>
      </c>
      <c r="AB43" s="14">
        <f>(N43+M43)/'FX Rates'!$C$5</f>
        <v>6259802.8147574821</v>
      </c>
      <c r="AC43" s="15" t="str">
        <f>IF(X43="Not Covered", (H43/_xll.BDP(R43&amp;" FIGI",$AC$1)),"")</f>
        <v/>
      </c>
      <c r="AD43" s="16" t="str">
        <f>IF(X43="Not Covered", _xll.BDP(R43&amp;" FIGI",$AD$1),"")</f>
        <v/>
      </c>
      <c r="AE43" s="16" t="str">
        <f>IF(OR(T43="Corp",T43="Govt"),IF(_xll.BDP(R43&amp;" FIGI",$AE$1)="#N/A N/A","",_xll.BDP(R43&amp;" FIGI",$AE$1)),"")</f>
        <v/>
      </c>
      <c r="AF43" s="1" t="str">
        <f>IF(OR(T43="Corp",T43="Govt"),IF(_xll.BDP(R43&amp;" FIGI",$AF$1)="#N/A N/A","",_xll.BDP(R43&amp;" FIGI",$AF$1)),"")</f>
        <v>B2</v>
      </c>
      <c r="AG43" s="16" t="str">
        <f>IF(OR(T43="Corp",T43="Govt"),IF(_xll.BDP(R43&amp;" FIGI",$AG$1)="#N/A N/A","",_xll.BDP(R43&amp;" FIGI",$AG$1)),"")</f>
        <v>BB-</v>
      </c>
      <c r="AH43" s="125">
        <f>IF(OR(S43="Cash",S43="M-Mkt"),21,IF(AE43="",0,VLOOKUP(AE43,'Rating Scale'!A:B,2,0)))</f>
        <v>0</v>
      </c>
      <c r="AI43" s="125">
        <f>IF(OR(S43="Cash",S43="M-Mkt"),21,IF(AF43="",0,VLOOKUP(AF43,'Rating Scale'!D:E,2,0)))</f>
        <v>7</v>
      </c>
      <c r="AJ43" s="125">
        <f>IF(OR(S43="Cash",S43="M-Mkt"),21,IF(AG43="",0,VLOOKUP(AG43,'Rating Scale'!G:H,2,0)))</f>
        <v>9</v>
      </c>
      <c r="AK43">
        <f>Rating(AH43,AI43,AJ43)</f>
        <v>7</v>
      </c>
      <c r="AL43" s="1" t="str">
        <f>IF(OR(U43="Cash",U43="Cash Adjustments"),_xll.BDP(G43&amp;" Curncy","Country"),IF(T43="Equity",_xll.BDP(R43&amp;" FIGI","CNTRY_ISSUE_ISO"),_xll.BDP(R43&amp;" FIGI",$AL$1)))</f>
        <v>CN</v>
      </c>
      <c r="AM43" s="126" t="str">
        <f>IF(OR(T43="Cash",T43="Cash Adjustments",T43="M-Mkt"), T43, IF(T43="Comdty",AS43, _xll.BDP(R43&amp;" FIGI", $AM$1)))</f>
        <v>Financial</v>
      </c>
      <c r="AN43" s="126" t="str">
        <f>IF(OR(T43="Cash",T43="Cash Adjustments",T43="M-Mkt"), T43,  IF(T43="Comdty",AS43,_xll.BDP(R43&amp;" FIGI", $AN$1)))</f>
        <v>Real Estate</v>
      </c>
      <c r="AO43" s="126" t="str">
        <f>IF(OR(T43="Cash",T43="Cash Adjustments",T43="M-Mkt"), T43,  IF(T43="Comdty",AS43,_xll.BDP(R43&amp;" FIGI", $AO$1)))</f>
        <v>Real Estate Oper/Develop</v>
      </c>
      <c r="AP43" s="13" t="str">
        <f>IF(OR(T43="Cash",T43="Cash Adjustments"), T43, IF(_xll.BDP(R43&amp;" FIGI", $AP$1)="#N/A Field Not Applicable","N",_xll.BDP(R43&amp;" FIGI", $AP$1)))</f>
        <v>N</v>
      </c>
      <c r="AQ43" s="1" t="str">
        <f>IF(OR(T43="Cash",T43="Cash Adjustments"), T43, IF(_xll.BDP(R43&amp;" FIGI", $AQ$1)="#N/A Field Not Applicable"," ",_xll.BDP(R43&amp;" FIGI", $AQ$1)))</f>
        <v xml:space="preserve"> </v>
      </c>
      <c r="AR43" s="1" t="str">
        <f>IF(OR(T43="Cash",T43="Cash Adjustments"), T43, IF(_xll.BDP(R43&amp;" FIGI", $AR$1)="#N/A Field Not Applicable"," ",_xll.BDP(R43&amp;" FIGI", $AR$1)))</f>
        <v>ACTV</v>
      </c>
      <c r="AS43" s="1" t="str">
        <f>VLOOKUP(T43,'SFC Classifcation'!$F$2:$H$7,3,0)</f>
        <v>Corporate</v>
      </c>
      <c r="AT43" s="22" t="str">
        <f t="shared" si="0"/>
        <v>Financial</v>
      </c>
      <c r="AU43" s="1" t="str">
        <f t="shared" si="4"/>
        <v>Non-Investment Grade</v>
      </c>
      <c r="AV43" s="1" t="str">
        <f>IF(OR(T43="Cash",T43="Cash Adjustments"),T43,VLOOKUP(AL43,'SFC Classifcation'!$A:$C,3,0))</f>
        <v>China</v>
      </c>
      <c r="AW43" s="22" t="str">
        <f t="shared" si="5"/>
        <v>High</v>
      </c>
      <c r="AX43" s="22" t="str">
        <f t="shared" si="6"/>
        <v>High</v>
      </c>
      <c r="AY43" s="45" t="str">
        <f>IF(OR(T43="Cash",T43="Cash Adjustments"), T43, _xll.BDP(R43&amp;" FIGI", $AY$1))</f>
        <v>Real Estate</v>
      </c>
      <c r="AZ43" s="45" t="str">
        <f>IF(OR(T43="Cash",T43="Cash Adjustments"), T43, _xll.BDP(R43&amp;" FIGI", $AZ$1))</f>
        <v>FINANCIAL</v>
      </c>
      <c r="BA43" s="45" t="str">
        <f>IF(OR(T43="Cash",T43="Cash Adjustments"), T43, _xll.BDP(R43&amp;" FIGI", $BA$1))</f>
        <v>#N/A Field Not Applicable</v>
      </c>
      <c r="BB43" s="16">
        <f>IF(OR(AS43="Government",AS43="Corporate"),(AK43*AB43/'SFC Report'!$C$20),"")</f>
        <v>7.9607921413846303E-2</v>
      </c>
      <c r="BC43" s="174" t="str">
        <f>IF(OR(T43="Cash",T43="Cash Adjustments", T43="FX Forward", T43="Repo", T43="Equity", T43="M-Mkt"), "", _xll.BDP(R43&amp;" FIGI", $BC$1))</f>
        <v>1/23/2022</v>
      </c>
      <c r="BD43" s="125">
        <f ca="1">IF(OR(T43="Cash",T43="Cash Adjustments",T43="FX Forward",T43="Repo", T43="Equity", T43="M-Mkt"),"",(BC43-'SFC Report'!$B$13)/365)</f>
        <v>1.7342465753424658</v>
      </c>
      <c r="BE43" s="82" t="str">
        <f t="shared" ca="1" si="9"/>
        <v>1 - 2 yrs</v>
      </c>
      <c r="BF43" s="5">
        <f ca="1">IF(BC43="","",BD43*AB43/'SFC Report'!$C$20)</f>
        <v>1.9722823583156447E-2</v>
      </c>
      <c r="BG43" s="14" cm="1">
        <f t="array" ref="BG43">IF(OR(AS43="Corporate",AS43="Government"),_xll.BDP(G43&amp;" ISIN", $BG$1),"")</f>
        <v>1.4856625504169019</v>
      </c>
      <c r="BH43" s="140">
        <f>IF(OR(AS43="Corporate",AS43="Government"),BG43*BN43/'SFC Report'!$C$20,"")</f>
        <v>1.6895786794440457E-2</v>
      </c>
      <c r="BI43" s="140">
        <f>IF(OR(AS43="Corporate",AS43="Government"),_xll.BDP(G43&amp;" ISIN", $BI$1),"")</f>
        <v>7.0798514551281269</v>
      </c>
      <c r="BJ43" s="140">
        <f>IF(OR(AS43="Corporate",AS43="Government"),BI43*AB43/'SFC Report'!$C$20,"")</f>
        <v>8.0516036894506482E-2</v>
      </c>
      <c r="BK43" s="153" t="str">
        <f>IF(OR(T43="Cash",T43="Cash Adjustments"),"-",_xll.BDP(R43&amp;" FIGI",$BK$1))</f>
        <v>XS1937690128</v>
      </c>
      <c r="BL43" s="11" t="str">
        <f>IF(OR(AS43="Cash", AS43="Cash Adjustments"),"-",IF(ISNA(VLOOKUP(BK43,'BBG - VaR Data (Sample, Indus )'!C:N,5,0)),"-",VLOOKUP(BK43,'BBG - VaR Data (Sample, Indus )'!C:N,5,0)))</f>
        <v>-</v>
      </c>
      <c r="BM43" s="11">
        <f>IF(OR(AS43="Cash", AS43="Cash Adjustments"),"-",IF(ISNA(VLOOKUP(BK43,'BBG - Scenarios (Sample View)'!C:Z,14,0)),"-",VLOOKUP(BK43,'BBG - Scenarios (Sample View)'!C:Z,14,0)))</f>
        <v>-2.15</v>
      </c>
      <c r="BN43" s="14">
        <f t="shared" si="7"/>
        <v>6259802.8147574821</v>
      </c>
      <c r="BO43" s="1">
        <f t="shared" si="8"/>
        <v>1.2279535133507775E-2</v>
      </c>
      <c r="BP43" t="str">
        <f>IF(BC43&lt;&gt;0,MaturityBucket(BG43),"")</f>
        <v>1 - 2 yrs</v>
      </c>
      <c r="BQ43" s="11" t="str">
        <f>IF(OR(T43="Cash",T43="Cash Adjustments"),T43,VLOOKUP(AL43,'SFC Classifcation'!$A:$C,2,0))</f>
        <v>China</v>
      </c>
      <c r="BR43" s="1" t="e">
        <f>IF(S43="Bond",BH43/'SFC Report'!$B$7,"")</f>
        <v>#VALUE!</v>
      </c>
      <c r="BS43" t="str">
        <f>IF(OR(T43="Cash",T43="Cash Adjustments"),"-",_xll.BDP(R43&amp;" FIGI",$BS$1))</f>
        <v>#N/A N/A</v>
      </c>
      <c r="BT43" t="str">
        <f>IF(OR(T43="Cash",T43="Cash Adjustments"),"-",_xll.BDP(R43&amp;" FIGI",$BT$1))</f>
        <v>1/15/2019</v>
      </c>
      <c r="BU43" t="str">
        <f>IF(OR(T43="Cash",T43="Cash Adjustments"),"-",_xll.BDP(R43&amp;" FIGI",$BU$1))</f>
        <v>1/18/2019</v>
      </c>
    </row>
    <row r="44" spans="1:73">
      <c r="A44" s="254" t="s">
        <v>15</v>
      </c>
      <c r="B44" s="254" t="s">
        <v>25</v>
      </c>
      <c r="C44" s="254" t="s">
        <v>46</v>
      </c>
      <c r="D44" s="254" t="s">
        <v>22</v>
      </c>
      <c r="E44" s="254"/>
      <c r="F44" s="254" t="s">
        <v>1122</v>
      </c>
      <c r="G44" s="254" t="s">
        <v>1105</v>
      </c>
      <c r="H44" s="270">
        <v>2200000</v>
      </c>
      <c r="I44" s="270">
        <v>99.694000000000003</v>
      </c>
      <c r="J44" s="270">
        <v>2188999.9900000002</v>
      </c>
      <c r="K44" s="270">
        <v>17047713.109999999</v>
      </c>
      <c r="L44" s="270">
        <v>-49447.45</v>
      </c>
      <c r="M44" s="270">
        <v>442601</v>
      </c>
      <c r="N44" s="270">
        <v>16998265.66</v>
      </c>
      <c r="O44" s="255">
        <v>3.7000000000000002E-3</v>
      </c>
      <c r="P44" s="1"/>
      <c r="Q44" s="1" t="str">
        <f t="shared" si="2"/>
        <v>Investments</v>
      </c>
      <c r="R44" s="1" t="str">
        <f>_xll.BDP(G44&amp;" ISIN",$R$1)</f>
        <v>BBG00DVX5HS1</v>
      </c>
      <c r="S44" s="1" t="str">
        <f>IF(Q44="Cash",Q44,IF(OR(Q44="Receivable Investments",Q44="Payable Investments"),"Cash Adjustments",_xll.BDP(R44&amp;" FIGI",$S$1)))</f>
        <v>EQUI</v>
      </c>
      <c r="T44" s="1" t="str">
        <f>IF(Q44="Cash",Q44,IF(OR(Q44="Receivable Investments",Q44="Payable Investments"),"Cash Adjustments",VLOOKUP(R44,LQA!E:S,3,0)))</f>
        <v>Corp</v>
      </c>
      <c r="U44" s="1" t="str">
        <f>IF(Q44="Cash",Q44,IF(OR(Q44="Receivable Investments",Q44="Payable Investments"),"Cash Adjustments",_xll.BDP(R44&amp;" FIGI",$U$1)))</f>
        <v>#N/A Field Not Applicable</v>
      </c>
      <c r="V44" s="10">
        <f>IF(OR(Q44="Cash",Q44="Receivable Investments",Q44="Payable Investments"),0,IF(Q44="Investments",VLOOKUP(R44,LQA!E:Q,12,0),"Not Covered"))</f>
        <v>0.2</v>
      </c>
      <c r="W44" s="76">
        <f>IF(OR(Q44="Cash",Q44="Receivable Investments",Q44="Payable Investments"),0,IF(Q44="Investments",VLOOKUP(R44,LQA!E:Q,9,0),"Not Covered"))</f>
        <v>3.9110000000000004E-3</v>
      </c>
      <c r="X44" s="13" t="str">
        <f>IF(OR(H44=0,T44="Comdty"),"High",IF(V44&lt;='Liquidity Bucket'!$A$4,'Liquidity Bucket'!$I$4,IF(V44&lt;='Liquidity Bucket'!$A$5,'Liquidity Bucket'!$I$5,IF(V44&lt;='Liquidity Bucket'!$A$6,'Liquidity Bucket'!$I$6,IF(V44='Liquidity Bucket'!$A$8,'Liquidity Bucket'!$I$8,'Liquidity Bucket'!$I$7)))))</f>
        <v>High</v>
      </c>
      <c r="Y44" s="153">
        <f>IF(OR(Q44="Cash",Q44="Receivable Investments",Q44="Payable Investments"),0,IF(Q44="Investments",VLOOKUP(R44,'LQA Stress'!E:Q,12,0),"Not Covered"))</f>
        <v>0.5</v>
      </c>
      <c r="Z44" s="75">
        <f>IF(OR(Q44="Cash",Q44="Receivable Investments",Q44="Payable Investments"),0,IF(Q44="Investments",VLOOKUP(R44,'LQA Stress'!E:Q,9,0),"Not Covered"))</f>
        <v>1.0526000000000001E-2</v>
      </c>
      <c r="AA44" s="13" t="str">
        <f>IF(T44="Comdty","High",IF(Y44&lt;='Liquidity Bucket'!$A$4,'Liquidity Bucket'!$I$4,IF(Y44&lt;='Liquidity Bucket'!$A$5,'Liquidity Bucket'!$I$5,IF(Y44&lt;='Liquidity Bucket'!$A$6,'Liquidity Bucket'!$I$6,IF(Y44='Liquidity Bucket'!$A$8,'Liquidity Bucket'!$I$8,'Liquidity Bucket'!$I$7)))))</f>
        <v>High</v>
      </c>
      <c r="AB44" s="14">
        <f>(N44+M44)/'FX Rates'!$C$5</f>
        <v>2249853.8003095975</v>
      </c>
      <c r="AC44" s="15" t="str">
        <f>IF(X44="Not Covered", (H44/_xll.BDP(R44&amp;" FIGI",$AC$1)),"")</f>
        <v/>
      </c>
      <c r="AD44" s="16" t="str">
        <f>IF(X44="Not Covered", _xll.BDP(R44&amp;" FIGI",$AD$1),"")</f>
        <v/>
      </c>
      <c r="AE44" s="16" t="str">
        <f>IF(OR(T44="Corp",T44="Govt"),IF(_xll.BDP(R44&amp;" FIGI",$AE$1)="#N/A N/A","",_xll.BDP(R44&amp;" FIGI",$AE$1)),"")</f>
        <v/>
      </c>
      <c r="AF44" s="1" t="str">
        <f>IF(OR(T44="Corp",T44="Govt"),IF(_xll.BDP(R44&amp;" FIGI",$AF$1)="#N/A N/A","",_xll.BDP(R44&amp;" FIGI",$AF$1)),"")</f>
        <v>B1</v>
      </c>
      <c r="AG44" s="16" t="str">
        <f>IF(OR(T44="Corp",T44="Govt"),IF(_xll.BDP(R44&amp;" FIGI",$AG$1)="#N/A N/A","",_xll.BDP(R44&amp;" FIGI",$AG$1)),"")</f>
        <v/>
      </c>
      <c r="AH44" s="125">
        <f>IF(OR(S44="Cash",S44="M-Mkt"),21,IF(AE44="",0,VLOOKUP(AE44,'Rating Scale'!A:B,2,0)))</f>
        <v>0</v>
      </c>
      <c r="AI44" s="125">
        <f>IF(OR(S44="Cash",S44="M-Mkt"),21,IF(AF44="",0,VLOOKUP(AF44,'Rating Scale'!D:E,2,0)))</f>
        <v>8</v>
      </c>
      <c r="AJ44" s="125">
        <f>IF(OR(S44="Cash",S44="M-Mkt"),21,IF(AG44="",0,VLOOKUP(AG44,'Rating Scale'!G:H,2,0)))</f>
        <v>0</v>
      </c>
      <c r="AK44">
        <f t="shared" ref="AK44:AK107" si="10">Rating(AH44,AI44,AJ44)</f>
        <v>8</v>
      </c>
      <c r="AL44" s="1" t="str">
        <f>IF(OR(U44="Cash",U44="Cash Adjustments"),_xll.BDP(G44&amp;" Curncy","Country"),IF(T44="Equity",_xll.BDP(R44&amp;" FIGI","CNTRY_ISSUE_ISO"),_xll.BDP(R44&amp;" FIGI",$AL$1)))</f>
        <v>CN</v>
      </c>
      <c r="AM44" s="126" t="str">
        <f>IF(OR(T44="Cash",T44="Cash Adjustments",T44="M-Mkt"), T44, IF(T44="Comdty",AS44, _xll.BDP(R44&amp;" FIGI", $AM$1)))</f>
        <v>Financial</v>
      </c>
      <c r="AN44" s="126" t="str">
        <f>IF(OR(T44="Cash",T44="Cash Adjustments",T44="M-Mkt"), T44,  IF(T44="Comdty",AS44,_xll.BDP(R44&amp;" FIGI", $AN$1)))</f>
        <v>Diversified Finan Serv</v>
      </c>
      <c r="AO44" s="126" t="str">
        <f>IF(OR(T44="Cash",T44="Cash Adjustments",T44="M-Mkt"), T44,  IF(T44="Comdty",AS44,_xll.BDP(R44&amp;" FIGI", $AO$1)))</f>
        <v>Invest Mgmnt/Advis Serv</v>
      </c>
      <c r="AP44" s="13" t="str">
        <f>IF(OR(T44="Cash",T44="Cash Adjustments"), T44, IF(_xll.BDP(R44&amp;" FIGI", $AP$1)="#N/A Field Not Applicable","N",_xll.BDP(R44&amp;" FIGI", $AP$1)))</f>
        <v>N</v>
      </c>
      <c r="AQ44" s="1" t="str">
        <f>IF(OR(T44="Cash",T44="Cash Adjustments"), T44, IF(_xll.BDP(R44&amp;" FIGI", $AQ$1)="#N/A Field Not Applicable"," ",_xll.BDP(R44&amp;" FIGI", $AQ$1)))</f>
        <v xml:space="preserve"> </v>
      </c>
      <c r="AR44" s="1" t="str">
        <f>IF(OR(T44="Cash",T44="Cash Adjustments"), T44, IF(_xll.BDP(R44&amp;" FIGI", $AR$1)="#N/A Field Not Applicable"," ",_xll.BDP(R44&amp;" FIGI", $AR$1)))</f>
        <v>ACTV</v>
      </c>
      <c r="AS44" s="1" t="str">
        <f>VLOOKUP(T44,'SFC Classifcation'!$F$2:$H$7,3,0)</f>
        <v>Corporate</v>
      </c>
      <c r="AT44" s="22" t="str">
        <f t="shared" si="0"/>
        <v>Financial</v>
      </c>
      <c r="AU44" s="1" t="str">
        <f t="shared" si="4"/>
        <v>Non-Investment Grade</v>
      </c>
      <c r="AV44" s="1" t="str">
        <f>IF(OR(T44="Cash",T44="Cash Adjustments"),T44,VLOOKUP(AL44,'SFC Classifcation'!$A:$C,3,0))</f>
        <v>China</v>
      </c>
      <c r="AW44" s="22" t="str">
        <f t="shared" si="5"/>
        <v>High</v>
      </c>
      <c r="AX44" s="22" t="str">
        <f t="shared" si="6"/>
        <v>High</v>
      </c>
      <c r="AY44" s="45" t="str">
        <f>IF(OR(T44="Cash",T44="Cash Adjustments"), T44, _xll.BDP(R44&amp;" FIGI", $AY$1))</f>
        <v>Financials</v>
      </c>
      <c r="AZ44" s="45" t="str">
        <f>IF(OR(T44="Cash",T44="Cash Adjustments"), T44, _xll.BDP(R44&amp;" FIGI", $AZ$1))</f>
        <v>FINANCIAL</v>
      </c>
      <c r="BA44" s="45" t="str">
        <f>IF(OR(T44="Cash",T44="Cash Adjustments"), T44, _xll.BDP(R44&amp;" FIGI", $BA$1))</f>
        <v>#N/A Field Not Applicable</v>
      </c>
      <c r="BB44" s="16">
        <f>IF(OR(AS44="Government",AS44="Corporate"),(AK44*AB44/'SFC Report'!$C$20),"")</f>
        <v>3.2699557537946206E-2</v>
      </c>
      <c r="BC44" s="174" t="str">
        <f>IF(OR(T44="Cash",T44="Cash Adjustments", T44="FX Forward", T44="Repo", T44="Equity", T44="M-Mkt"), "", _xll.BDP(R44&amp;" FIGI", $BC$1))</f>
        <v>9/30/2168</v>
      </c>
      <c r="BD44" s="125">
        <f ca="1">IF(OR(T44="Cash",T44="Cash Adjustments",T44="FX Forward",T44="Repo", T44="Equity", T44="M-Mkt"),"",(BC44-'SFC Report'!$B$13)/365)</f>
        <v>148.51780821917808</v>
      </c>
      <c r="BE44" s="82" t="str">
        <f t="shared" ca="1" si="9"/>
        <v>10 yrs or Above</v>
      </c>
      <c r="BF44" s="5">
        <f ca="1">IF(BC44="","",BD44*AB44/'SFC Report'!$C$20)</f>
        <v>0.60705832690908412</v>
      </c>
      <c r="BG44" s="14" cm="1">
        <f t="array" ref="BG44">IF(OR(AS44="Corporate",AS44="Government"),_xll.BDP(G44&amp;" ISIN", $BG$1),"")</f>
        <v>1.2425351745192212</v>
      </c>
      <c r="BH44" s="140">
        <f>IF(OR(AS44="Corporate",AS44="Government"),BG44*BN44/'SFC Report'!$C$20,"")</f>
        <v>5.0787938040141624E-3</v>
      </c>
      <c r="BI44" s="140">
        <f>IF(OR(AS44="Corporate",AS44="Government"),_xll.BDP(G44&amp;" ISIN", $BI$1),"")</f>
        <v>3.6736148434338536</v>
      </c>
      <c r="BJ44" s="140">
        <f>IF(OR(AS44="Corporate",AS44="Government"),BI44*AB44/'SFC Report'!$C$20,"")</f>
        <v>1.5015697493139815E-2</v>
      </c>
      <c r="BK44" s="153" t="str">
        <f>IF(OR(T44="Cash",T44="Cash Adjustments"),"-",_xll.BDP(R44&amp;" FIGI",$BK$1))</f>
        <v>XS1496760239</v>
      </c>
      <c r="BL44" s="11" t="str">
        <f>IF(OR(AS44="Cash", AS44="Cash Adjustments"),"-",IF(ISNA(VLOOKUP(BK44,'BBG - VaR Data (Sample, Indus )'!C:N,5,0)),"-",VLOOKUP(BK44,'BBG - VaR Data (Sample, Indus )'!C:N,5,0)))</f>
        <v>-</v>
      </c>
      <c r="BM44" s="11">
        <f>IF(OR(AS44="Cash", AS44="Cash Adjustments"),"-",IF(ISNA(VLOOKUP(BK44,'BBG - Scenarios (Sample View)'!C:Z,14,0)),"-",VLOOKUP(BK44,'BBG - Scenarios (Sample View)'!C:Z,14,0)))</f>
        <v>-4.82</v>
      </c>
      <c r="BN44" s="14">
        <f t="shared" si="7"/>
        <v>2249853.8003095975</v>
      </c>
      <c r="BO44" s="1">
        <f t="shared" si="8"/>
        <v>4.4134231706191573E-3</v>
      </c>
      <c r="BP44" t="str">
        <f>IF(BC44&lt;&gt;0,MaturityBucket(BG44),"")</f>
        <v>1 - 2 yrs</v>
      </c>
      <c r="BQ44" s="11" t="str">
        <f>IF(OR(T44="Cash",T44="Cash Adjustments"),T44,VLOOKUP(AL44,'SFC Classifcation'!$A:$C,2,0))</f>
        <v>China</v>
      </c>
      <c r="BR44" s="1" t="str">
        <f>IF(S44="Bond",BH44/'SFC Report'!$B$7,"")</f>
        <v/>
      </c>
      <c r="BS44" t="str">
        <f>IF(OR(T44="Cash",T44="Cash Adjustments"),"-",_xll.BDP(R44&amp;" FIGI",$BS$1))</f>
        <v>#N/A N/A</v>
      </c>
      <c r="BT44" t="str">
        <f>IF(OR(T44="Cash",T44="Cash Adjustments"),"-",_xll.BDP(R44&amp;" FIGI",$BT$1))</f>
        <v>9/22/2016</v>
      </c>
      <c r="BU44" t="str">
        <f>IF(OR(T44="Cash",T44="Cash Adjustments"),"-",_xll.BDP(R44&amp;" FIGI",$BU$1))</f>
        <v>#N/A N/A</v>
      </c>
    </row>
    <row r="45" spans="1:73">
      <c r="A45" s="254" t="s">
        <v>15</v>
      </c>
      <c r="B45" s="254" t="s">
        <v>25</v>
      </c>
      <c r="C45" s="254" t="s">
        <v>46</v>
      </c>
      <c r="D45" s="254" t="s">
        <v>22</v>
      </c>
      <c r="E45" s="254"/>
      <c r="F45" s="254" t="s">
        <v>54</v>
      </c>
      <c r="G45" s="254" t="s">
        <v>55</v>
      </c>
      <c r="H45" s="270">
        <v>5000000</v>
      </c>
      <c r="I45" s="270">
        <v>21.5</v>
      </c>
      <c r="J45" s="270">
        <v>4224220</v>
      </c>
      <c r="K45" s="270">
        <v>32809956.59</v>
      </c>
      <c r="L45" s="270">
        <v>-24478491.59</v>
      </c>
      <c r="M45" s="270">
        <v>95585.8</v>
      </c>
      <c r="N45" s="270">
        <v>8331465</v>
      </c>
      <c r="O45" s="255">
        <v>1.8E-3</v>
      </c>
      <c r="P45" s="1"/>
      <c r="Q45" s="1" t="str">
        <f t="shared" si="2"/>
        <v>Investments</v>
      </c>
      <c r="R45" s="1" t="str">
        <f>_xll.BDP(G45&amp;" ISIN",$R$1)</f>
        <v>BBG00CNK44T9</v>
      </c>
      <c r="S45" s="1" t="str">
        <f>IF(Q45="Cash",Q45,IF(OR(Q45="Receivable Investments",Q45="Payable Investments"),"Cash Adjustments",_xll.BDP(R45&amp;" FIGI",$S$1)))</f>
        <v>BOND</v>
      </c>
      <c r="T45" s="1" t="str">
        <f>IF(Q45="Cash",Q45,IF(OR(Q45="Receivable Investments",Q45="Payable Investments"),"Cash Adjustments",VLOOKUP(R45,LQA!E:S,3,0)))</f>
        <v>Corp</v>
      </c>
      <c r="U45" s="1" t="str">
        <f>IF(Q45="Cash",Q45,IF(OR(Q45="Receivable Investments",Q45="Payable Investments"),"Cash Adjustments",_xll.BDP(R45&amp;" FIGI",$U$1)))</f>
        <v>#N/A Field Not Applicable</v>
      </c>
      <c r="V45" s="10">
        <f>IF(OR(Q45="Cash",Q45="Receivable Investments",Q45="Payable Investments"),0,IF(Q45="Investments",VLOOKUP(R45,LQA!E:Q,12,0),"Not Covered"))</f>
        <v>45</v>
      </c>
      <c r="W45" s="76">
        <f>IF(OR(Q45="Cash",Q45="Receivable Investments",Q45="Payable Investments"),0,IF(Q45="Investments",VLOOKUP(R45,LQA!E:Q,9,0),"Not Covered"))</f>
        <v>0.356265</v>
      </c>
      <c r="X45" s="13" t="str">
        <f>IF(OR(H45=0,T45="Comdty"),"High",IF(V45&lt;='Liquidity Bucket'!$A$4,'Liquidity Bucket'!$I$4,IF(V45&lt;='Liquidity Bucket'!$A$5,'Liquidity Bucket'!$I$5,IF(V45&lt;='Liquidity Bucket'!$A$6,'Liquidity Bucket'!$I$6,IF(V45='Liquidity Bucket'!$A$8,'Liquidity Bucket'!$I$8,'Liquidity Bucket'!$I$7)))))</f>
        <v>Illiquid</v>
      </c>
      <c r="Y45" s="153">
        <f>IF(OR(Q45="Cash",Q45="Receivable Investments",Q45="Payable Investments"),0,IF(Q45="Investments",VLOOKUP(R45,'LQA Stress'!E:Q,12,0),"Not Covered"))</f>
        <v>75.099999999999994</v>
      </c>
      <c r="Z45" s="75">
        <f>IF(OR(Q45="Cash",Q45="Receivable Investments",Q45="Payable Investments"),0,IF(Q45="Investments",VLOOKUP(R45,'LQA Stress'!E:Q,9,0),"Not Covered"))</f>
        <v>1.607064</v>
      </c>
      <c r="AA45" s="13" t="str">
        <f>IF(T45="Comdty","High",IF(Y45&lt;='Liquidity Bucket'!$A$4,'Liquidity Bucket'!$I$4,IF(Y45&lt;='Liquidity Bucket'!$A$5,'Liquidity Bucket'!$I$5,IF(Y45&lt;='Liquidity Bucket'!$A$6,'Liquidity Bucket'!$I$6,IF(Y45='Liquidity Bucket'!$A$8,'Liquidity Bucket'!$I$8,'Liquidity Bucket'!$I$7)))))</f>
        <v>Illiquid</v>
      </c>
      <c r="AB45" s="14">
        <f>(N45+M45)/'FX Rates'!$C$5</f>
        <v>1087080.8565531478</v>
      </c>
      <c r="AC45" s="15" t="str">
        <f>IF(X45="Not Covered", (H45/_xll.BDP(R45&amp;" FIGI",$AC$1)),"")</f>
        <v/>
      </c>
      <c r="AD45" s="16" t="str">
        <f>IF(X45="Not Covered", _xll.BDP(R45&amp;" FIGI",$AD$1),"")</f>
        <v/>
      </c>
      <c r="AE45" s="16" t="str">
        <f>IF(OR(T45="Corp",T45="Govt"),IF(_xll.BDP(R45&amp;" FIGI",$AE$1)="#N/A N/A","",_xll.BDP(R45&amp;" FIGI",$AE$1)),"")</f>
        <v/>
      </c>
      <c r="AF45" s="1" t="str">
        <f>IF(OR(T45="Corp",T45="Govt"),IF(_xll.BDP(R45&amp;" FIGI",$AF$1)="#N/A N/A","",_xll.BDP(R45&amp;" FIGI",$AF$1)),"")</f>
        <v/>
      </c>
      <c r="AG45" s="16" t="str">
        <f>IF(OR(T45="Corp",T45="Govt"),IF(_xll.BDP(R45&amp;" FIGI",$AG$1)="#N/A N/A","",_xll.BDP(R45&amp;" FIGI",$AG$1)),"")</f>
        <v/>
      </c>
      <c r="AH45" s="125">
        <f>IF(OR(S45="Cash",S45="M-Mkt"),21,IF(AE45="",0,VLOOKUP(AE45,'Rating Scale'!A:B,2,0)))</f>
        <v>0</v>
      </c>
      <c r="AI45" s="125">
        <f>IF(OR(S45="Cash",S45="M-Mkt"),21,IF(AF45="",0,VLOOKUP(AF45,'Rating Scale'!D:E,2,0)))</f>
        <v>0</v>
      </c>
      <c r="AJ45" s="125">
        <f>IF(OR(S45="Cash",S45="M-Mkt"),21,IF(AG45="",0,VLOOKUP(AG45,'Rating Scale'!G:H,2,0)))</f>
        <v>0</v>
      </c>
      <c r="AK45">
        <f t="shared" si="10"/>
        <v>0</v>
      </c>
      <c r="AL45" s="1" t="str">
        <f>IF(OR(U45="Cash",U45="Cash Adjustments"),_xll.BDP(G45&amp;" Curncy","Country"),IF(T45="Equity",_xll.BDP(R45&amp;" FIGI","CNTRY_ISSUE_ISO"),_xll.BDP(R45&amp;" FIGI",$AL$1)))</f>
        <v>CN</v>
      </c>
      <c r="AM45" s="126" t="str">
        <f>IF(OR(T45="Cash",T45="Cash Adjustments",T45="M-Mkt"), T45, IF(T45="Comdty",AS45, _xll.BDP(R45&amp;" FIGI", $AM$1)))</f>
        <v>Energy</v>
      </c>
      <c r="AN45" s="126" t="str">
        <f>IF(OR(T45="Cash",T45="Cash Adjustments",T45="M-Mkt"), T45,  IF(T45="Comdty",AS45,_xll.BDP(R45&amp;" FIGI", $AN$1)))</f>
        <v>Energy-Alternate Sources</v>
      </c>
      <c r="AO45" s="126" t="str">
        <f>IF(OR(T45="Cash",T45="Cash Adjustments",T45="M-Mkt"), T45,  IF(T45="Comdty",AS45,_xll.BDP(R45&amp;" FIGI", $AO$1)))</f>
        <v>Energy-Alternate Sources</v>
      </c>
      <c r="AP45" s="13" t="str">
        <f>IF(OR(T45="Cash",T45="Cash Adjustments"), T45, IF(_xll.BDP(R45&amp;" FIGI", $AP$1)="#N/A Field Not Applicable","N",_xll.BDP(R45&amp;" FIGI", $AP$1)))</f>
        <v>N</v>
      </c>
      <c r="AQ45" s="1" t="str">
        <f>IF(OR(T45="Cash",T45="Cash Adjustments"), T45, IF(_xll.BDP(R45&amp;" FIGI", $AQ$1)="#N/A Field Not Applicable"," ",_xll.BDP(R45&amp;" FIGI", $AQ$1)))</f>
        <v xml:space="preserve"> </v>
      </c>
      <c r="AR45" s="1" t="str">
        <f>IF(OR(T45="Cash",T45="Cash Adjustments"), T45, IF(_xll.BDP(R45&amp;" FIGI", $AR$1)="#N/A Field Not Applicable"," ",_xll.BDP(R45&amp;" FIGI", $AR$1)))</f>
        <v>ACTV</v>
      </c>
      <c r="AS45" s="1" t="str">
        <f>VLOOKUP(T45,'SFC Classifcation'!$F$2:$H$7,3,0)</f>
        <v>Corporate</v>
      </c>
      <c r="AT45" s="22" t="str">
        <f t="shared" si="0"/>
        <v>Non-Financial</v>
      </c>
      <c r="AU45" s="1" t="str">
        <f t="shared" si="4"/>
        <v>Non-Investment Grade</v>
      </c>
      <c r="AV45" s="1" t="str">
        <f>IF(OR(T45="Cash",T45="Cash Adjustments"),T45,VLOOKUP(AL45,'SFC Classifcation'!$A:$C,3,0))</f>
        <v>China</v>
      </c>
      <c r="AW45" s="22" t="str">
        <f t="shared" si="5"/>
        <v>Illiquid</v>
      </c>
      <c r="AX45" s="22" t="str">
        <f t="shared" si="6"/>
        <v>Illiquid</v>
      </c>
      <c r="AY45" s="45" t="str">
        <f>IF(OR(T45="Cash",T45="Cash Adjustments"), T45, _xll.BDP(R45&amp;" FIGI", $AY$1))</f>
        <v>#N/A Field Not Applicable</v>
      </c>
      <c r="AZ45" s="45" t="str">
        <f>IF(OR(T45="Cash",T45="Cash Adjustments"), T45, _xll.BDP(R45&amp;" FIGI", $AZ$1))</f>
        <v>SPECIAL PURPOSE</v>
      </c>
      <c r="BA45" s="45" t="str">
        <f>IF(OR(T45="Cash",T45="Cash Adjustments"), T45, _xll.BDP(R45&amp;" FIGI", $BA$1))</f>
        <v>#N/A Field Not Applicable</v>
      </c>
      <c r="BB45" s="16">
        <f>IF(OR(AS45="Government",AS45="Corporate"),(AK45*AB45/'SFC Report'!$C$20),"")</f>
        <v>0</v>
      </c>
      <c r="BC45" s="174" t="str">
        <f>IF(OR(T45="Cash",T45="Cash Adjustments", T45="FX Forward", T45="Repo", T45="Equity", T45="M-Mkt"), "", _xll.BDP(R45&amp;" FIGI", $BC$1))</f>
        <v>4/14/2021</v>
      </c>
      <c r="BD45" s="125">
        <f ca="1">IF(OR(T45="Cash",T45="Cash Adjustments",T45="FX Forward",T45="Repo", T45="Equity", T45="M-Mkt"),"",(BC45-'SFC Report'!$B$13)/365)</f>
        <v>0.95616438356164379</v>
      </c>
      <c r="BE45" s="82" t="str">
        <f t="shared" ca="1" si="9"/>
        <v>0 - 1 yr</v>
      </c>
      <c r="BF45" s="5">
        <f ca="1">IF(BC45="","",BD45*AB45/'SFC Report'!$C$20)</f>
        <v>1.8883913475093194E-3</v>
      </c>
      <c r="BG45" s="14" cm="1">
        <f t="array" ref="BG45">IF(OR(AS45="Corporate",AS45="Government"),_xll.BDP(G45&amp;" ISIN", $BG$1),"")</f>
        <v>0.39953768231686837</v>
      </c>
      <c r="BH45" s="140">
        <f>IF(OR(AS45="Corporate",AS45="Government"),BG45*BN45/'SFC Report'!$C$20,"")</f>
        <v>7.8907300382880245E-4</v>
      </c>
      <c r="BI45" s="140">
        <f>IF(OR(AS45="Corporate",AS45="Government"),_xll.BDP(G45&amp;" ISIN", $BI$1),"")</f>
        <v>240.78723750553311</v>
      </c>
      <c r="BJ45" s="140">
        <f>IF(OR(AS45="Corporate",AS45="Government"),BI45*AB45/'SFC Report'!$C$20,"")</f>
        <v>0.47554640573663004</v>
      </c>
      <c r="BK45" s="153" t="str">
        <f>IF(OR(T45="Cash",T45="Cash Adjustments"),"-",_xll.BDP(R45&amp;" FIGI",$BK$1))</f>
        <v>XS1376566714</v>
      </c>
      <c r="BL45" s="11" t="str">
        <f>IF(OR(AS45="Cash", AS45="Cash Adjustments"),"-",IF(ISNA(VLOOKUP(BK45,'BBG - VaR Data (Sample, Indus )'!C:N,5,0)),"-",VLOOKUP(BK45,'BBG - VaR Data (Sample, Indus )'!C:N,5,0)))</f>
        <v>-</v>
      </c>
      <c r="BM45" s="11">
        <f>IF(OR(AS45="Cash", AS45="Cash Adjustments"),"-",IF(ISNA(VLOOKUP(BK45,'BBG - Scenarios (Sample View)'!C:Z,14,0)),"-",VLOOKUP(BK45,'BBG - Scenarios (Sample View)'!C:Z,14,0)))</f>
        <v>0</v>
      </c>
      <c r="BN45" s="14">
        <f t="shared" si="7"/>
        <v>1087080.8565531478</v>
      </c>
      <c r="BO45" s="1">
        <f t="shared" si="8"/>
        <v>2.1324709365506214E-3</v>
      </c>
      <c r="BP45" t="str">
        <f>IF(BC45&lt;&gt;0,MaturityBucket(BG45),"")</f>
        <v>0 - 1 yr</v>
      </c>
      <c r="BQ45" s="11" t="str">
        <f>IF(OR(T45="Cash",T45="Cash Adjustments"),T45,VLOOKUP(AL45,'SFC Classifcation'!$A:$C,2,0))</f>
        <v>China</v>
      </c>
      <c r="BR45" s="1" t="e">
        <f>IF(S45="Bond",BH45/'SFC Report'!$B$7,"")</f>
        <v>#VALUE!</v>
      </c>
      <c r="BS45" t="str">
        <f>IF(OR(T45="Cash",T45="Cash Adjustments"),"-",_xll.BDP(R45&amp;" FIGI",$BS$1))</f>
        <v>#N/A N/A</v>
      </c>
      <c r="BT45" t="str">
        <f>IF(OR(T45="Cash",T45="Cash Adjustments"),"-",_xll.BDP(R45&amp;" FIGI",$BT$1))</f>
        <v>#N/A N/A</v>
      </c>
      <c r="BU45" t="str">
        <f>IF(OR(T45="Cash",T45="Cash Adjustments"),"-",_xll.BDP(R45&amp;" FIGI",$BU$1))</f>
        <v>#N/A N/A</v>
      </c>
    </row>
    <row r="46" spans="1:73">
      <c r="A46" s="254" t="s">
        <v>15</v>
      </c>
      <c r="B46" s="254" t="s">
        <v>25</v>
      </c>
      <c r="C46" s="254" t="s">
        <v>46</v>
      </c>
      <c r="D46" s="254" t="s">
        <v>22</v>
      </c>
      <c r="E46" s="254"/>
      <c r="F46" s="254" t="s">
        <v>1067</v>
      </c>
      <c r="G46" s="254" t="s">
        <v>1068</v>
      </c>
      <c r="H46" s="270">
        <v>11000000</v>
      </c>
      <c r="I46" s="270">
        <v>97.554000000000002</v>
      </c>
      <c r="J46" s="270">
        <v>10850000</v>
      </c>
      <c r="K46" s="270">
        <v>84863794.989999995</v>
      </c>
      <c r="L46" s="270">
        <v>-1696863.79</v>
      </c>
      <c r="M46" s="270">
        <v>1882652.75</v>
      </c>
      <c r="N46" s="270">
        <v>83166931.200000003</v>
      </c>
      <c r="O46" s="255">
        <v>1.83E-2</v>
      </c>
      <c r="P46" s="1"/>
      <c r="Q46" s="1" t="str">
        <f t="shared" si="2"/>
        <v>Investments</v>
      </c>
      <c r="R46" s="1" t="str">
        <f>_xll.BDP(G46&amp;" ISIN",$R$1)</f>
        <v>BBG00QT8QWY7</v>
      </c>
      <c r="S46" s="1" t="str">
        <f>IF(Q46="Cash",Q46,IF(OR(Q46="Receivable Investments",Q46="Payable Investments"),"Cash Adjustments",_xll.BDP(R46&amp;" FIGI",$S$1)))</f>
        <v>BOND</v>
      </c>
      <c r="T46" s="1" t="str">
        <f>IF(Q46="Cash",Q46,IF(OR(Q46="Receivable Investments",Q46="Payable Investments"),"Cash Adjustments",VLOOKUP(R46,LQA!E:S,3,0)))</f>
        <v>Corp</v>
      </c>
      <c r="U46" s="1" t="str">
        <f>IF(Q46="Cash",Q46,IF(OR(Q46="Receivable Investments",Q46="Payable Investments"),"Cash Adjustments",_xll.BDP(R46&amp;" FIGI",$U$1)))</f>
        <v>#N/A Field Not Applicable</v>
      </c>
      <c r="V46" s="10">
        <f>IF(OR(Q46="Cash",Q46="Receivable Investments",Q46="Payable Investments"),0,IF(Q46="Investments",VLOOKUP(R46,LQA!E:Q,12,0),"Not Covered"))</f>
        <v>1.4</v>
      </c>
      <c r="W46" s="76">
        <f>IF(OR(Q46="Cash",Q46="Receivable Investments",Q46="Payable Investments"),0,IF(Q46="Investments",VLOOKUP(R46,LQA!E:Q,9,0),"Not Covered"))</f>
        <v>1.7413000000000001E-2</v>
      </c>
      <c r="X46" s="13" t="str">
        <f>IF(OR(H46=0,T46="Comdty"),"High",IF(V46&lt;='Liquidity Bucket'!$A$4,'Liquidity Bucket'!$I$4,IF(V46&lt;='Liquidity Bucket'!$A$5,'Liquidity Bucket'!$I$5,IF(V46&lt;='Liquidity Bucket'!$A$6,'Liquidity Bucket'!$I$6,IF(V46='Liquidity Bucket'!$A$8,'Liquidity Bucket'!$I$8,'Liquidity Bucket'!$I$7)))))</f>
        <v>High</v>
      </c>
      <c r="Y46" s="153">
        <f>IF(OR(Q46="Cash",Q46="Receivable Investments",Q46="Payable Investments"),0,IF(Q46="Investments",VLOOKUP(R46,'LQA Stress'!E:Q,12,0),"Not Covered"))</f>
        <v>6.5</v>
      </c>
      <c r="Z46" s="75">
        <f>IF(OR(Q46="Cash",Q46="Receivable Investments",Q46="Payable Investments"),0,IF(Q46="Investments",VLOOKUP(R46,'LQA Stress'!E:Q,9,0),"Not Covered"))</f>
        <v>4.3389999999999998E-2</v>
      </c>
      <c r="AA46" s="13" t="str">
        <f>IF(T46="Comdty","High",IF(Y46&lt;='Liquidity Bucket'!$A$4,'Liquidity Bucket'!$I$4,IF(Y46&lt;='Liquidity Bucket'!$A$5,'Liquidity Bucket'!$I$5,IF(Y46&lt;='Liquidity Bucket'!$A$6,'Liquidity Bucket'!$I$6,IF(Y46='Liquidity Bucket'!$A$8,'Liquidity Bucket'!$I$8,'Liquidity Bucket'!$I$7)))))</f>
        <v>Medium</v>
      </c>
      <c r="AB46" s="14">
        <f>(N46+M46)/'FX Rates'!$C$5</f>
        <v>10971308.559081528</v>
      </c>
      <c r="AC46" s="15" t="str">
        <f>IF(X46="Not Covered", (H46/_xll.BDP(R46&amp;" FIGI",$AC$1)),"")</f>
        <v/>
      </c>
      <c r="AD46" s="16" t="str">
        <f>IF(X46="Not Covered", _xll.BDP(R46&amp;" FIGI",$AD$1),"")</f>
        <v/>
      </c>
      <c r="AE46" s="16" t="str">
        <f>IF(OR(T46="Corp",T46="Govt"),IF(_xll.BDP(R46&amp;" FIGI",$AE$1)="#N/A N/A","",_xll.BDP(R46&amp;" FIGI",$AE$1)),"")</f>
        <v>BB-</v>
      </c>
      <c r="AF46" s="1" t="str">
        <f>IF(OR(T46="Corp",T46="Govt"),IF(_xll.BDP(R46&amp;" FIGI",$AF$1)="#N/A N/A","",_xll.BDP(R46&amp;" FIGI",$AF$1)),"")</f>
        <v/>
      </c>
      <c r="AG46" s="16" t="str">
        <f>IF(OR(T46="Corp",T46="Govt"),IF(_xll.BDP(R46&amp;" FIGI",$AG$1)="#N/A N/A","",_xll.BDP(R46&amp;" FIGI",$AG$1)),"")</f>
        <v/>
      </c>
      <c r="AH46" s="125">
        <f>IF(OR(S46="Cash",S46="M-Mkt"),21,IF(AE46="",0,VLOOKUP(AE46,'Rating Scale'!A:B,2,0)))</f>
        <v>9</v>
      </c>
      <c r="AI46" s="125">
        <f>IF(OR(S46="Cash",S46="M-Mkt"),21,IF(AF46="",0,VLOOKUP(AF46,'Rating Scale'!D:E,2,0)))</f>
        <v>0</v>
      </c>
      <c r="AJ46" s="125">
        <f>IF(OR(S46="Cash",S46="M-Mkt"),21,IF(AG46="",0,VLOOKUP(AG46,'Rating Scale'!G:H,2,0)))</f>
        <v>0</v>
      </c>
      <c r="AK46">
        <f t="shared" si="10"/>
        <v>9</v>
      </c>
      <c r="AL46" s="1" t="str">
        <f>IF(OR(U46="Cash",U46="Cash Adjustments"),_xll.BDP(G46&amp;" Curncy","Country"),IF(T46="Equity",_xll.BDP(R46&amp;" FIGI","CNTRY_ISSUE_ISO"),_xll.BDP(R46&amp;" FIGI",$AL$1)))</f>
        <v>CN</v>
      </c>
      <c r="AM46" s="126" t="str">
        <f>IF(OR(T46="Cash",T46="Cash Adjustments",T46="M-Mkt"), T46, IF(T46="Comdty",AS46, _xll.BDP(R46&amp;" FIGI", $AM$1)))</f>
        <v>Industrial</v>
      </c>
      <c r="AN46" s="126" t="str">
        <f>IF(OR(T46="Cash",T46="Cash Adjustments",T46="M-Mkt"), T46,  IF(T46="Comdty",AS46,_xll.BDP(R46&amp;" FIGI", $AN$1)))</f>
        <v>Engineering&amp;Construction</v>
      </c>
      <c r="AO46" s="126" t="str">
        <f>IF(OR(T46="Cash",T46="Cash Adjustments",T46="M-Mkt"), T46,  IF(T46="Comdty",AS46,_xll.BDP(R46&amp;" FIGI", $AO$1)))</f>
        <v>Engineering/R&amp;D Services</v>
      </c>
      <c r="AP46" s="13" t="str">
        <f>IF(OR(T46="Cash",T46="Cash Adjustments"), T46, IF(_xll.BDP(R46&amp;" FIGI", $AP$1)="#N/A Field Not Applicable","N",_xll.BDP(R46&amp;" FIGI", $AP$1)))</f>
        <v>N</v>
      </c>
      <c r="AQ46" s="1" t="str">
        <f>IF(OR(T46="Cash",T46="Cash Adjustments"), T46, IF(_xll.BDP(R46&amp;" FIGI", $AQ$1)="#N/A Field Not Applicable"," ",_xll.BDP(R46&amp;" FIGI", $AQ$1)))</f>
        <v xml:space="preserve"> </v>
      </c>
      <c r="AR46" s="1" t="str">
        <f>IF(OR(T46="Cash",T46="Cash Adjustments"), T46, IF(_xll.BDP(R46&amp;" FIGI", $AR$1)="#N/A Field Not Applicable"," ",_xll.BDP(R46&amp;" FIGI", $AR$1)))</f>
        <v>ACTV</v>
      </c>
      <c r="AS46" s="1" t="str">
        <f>VLOOKUP(T46,'SFC Classifcation'!$F$2:$H$7,3,0)</f>
        <v>Corporate</v>
      </c>
      <c r="AT46" s="22" t="str">
        <f t="shared" si="0"/>
        <v>Non-Financial</v>
      </c>
      <c r="AU46" s="1" t="str">
        <f t="shared" si="4"/>
        <v>Non-Investment Grade</v>
      </c>
      <c r="AV46" s="1" t="str">
        <f>IF(OR(T46="Cash",T46="Cash Adjustments"),T46,VLOOKUP(AL46,'SFC Classifcation'!$A:$C,3,0))</f>
        <v>China</v>
      </c>
      <c r="AW46" s="22" t="str">
        <f t="shared" si="5"/>
        <v>High</v>
      </c>
      <c r="AX46" s="22" t="str">
        <f t="shared" si="6"/>
        <v>Medium</v>
      </c>
      <c r="AY46" s="45" t="str">
        <f>IF(OR(T46="Cash",T46="Cash Adjustments"), T46, _xll.BDP(R46&amp;" FIGI", $AY$1))</f>
        <v>#N/A Field Not Applicable</v>
      </c>
      <c r="AZ46" s="45" t="str">
        <f>IF(OR(T46="Cash",T46="Cash Adjustments"), T46, _xll.BDP(R46&amp;" FIGI", $AZ$1))</f>
        <v>INDUSTRIAL</v>
      </c>
      <c r="BA46" s="45" t="str">
        <f>IF(OR(T46="Cash",T46="Cash Adjustments"), T46, _xll.BDP(R46&amp;" FIGI", $BA$1))</f>
        <v>#N/A Field Not Applicable</v>
      </c>
      <c r="BB46" s="16">
        <f>IF(OR(AS46="Government",AS46="Corporate"),(AK46*AB46/'SFC Report'!$C$20),"")</f>
        <v>0.17939012409405908</v>
      </c>
      <c r="BC46" s="174" t="str">
        <f>IF(OR(T46="Cash",T46="Cash Adjustments", T46="FX Forward", T46="Repo", T46="Equity", T46="M-Mkt"), "", _xll.BDP(R46&amp;" FIGI", $BC$1))</f>
        <v>5/21/2169</v>
      </c>
      <c r="BD46" s="125">
        <f ca="1">IF(OR(T46="Cash",T46="Cash Adjustments",T46="FX Forward",T46="Repo", T46="Equity", T46="M-Mkt"),"",(BC46-'SFC Report'!$B$13)/365)</f>
        <v>149.15616438356165</v>
      </c>
      <c r="BE46" s="82" t="str">
        <f t="shared" ca="1" si="9"/>
        <v>10 yrs or Above</v>
      </c>
      <c r="BF46" s="5">
        <f ca="1">IF(BC46="","",BD46*AB46/'SFC Report'!$C$20)</f>
        <v>2.9730158709067775</v>
      </c>
      <c r="BG46" s="14" cm="1">
        <f t="array" ref="BG46">IF(OR(AS46="Corporate",AS46="Government"),_xll.BDP(G46&amp;" ISIN", $BG$1),"")</f>
        <v>2.729427661353963</v>
      </c>
      <c r="BH46" s="140">
        <f>IF(OR(AS46="Corporate",AS46="Government"),BG46*BN46/'SFC Report'!$C$20,"")</f>
        <v>5.4403596319560543E-2</v>
      </c>
      <c r="BI46" s="140">
        <f>IF(OR(AS46="Corporate",AS46="Government"),_xll.BDP(G46&amp;" ISIN", $BI$1),"")</f>
        <v>6.4075368438492024</v>
      </c>
      <c r="BJ46" s="140">
        <f>IF(OR(AS46="Corporate",AS46="Government"),BI46*AB46/'SFC Report'!$C$20,"")</f>
        <v>0.12771653661726268</v>
      </c>
      <c r="BK46" s="153" t="str">
        <f>IF(OR(T46="Cash",T46="Cash Adjustments"),"-",_xll.BDP(R46&amp;" FIGI",$BK$1))</f>
        <v>XS2079799024</v>
      </c>
      <c r="BL46" s="11" t="str">
        <f>IF(OR(AS46="Cash", AS46="Cash Adjustments"),"-",IF(ISNA(VLOOKUP(BK46,'BBG - VaR Data (Sample, Indus )'!C:N,5,0)),"-",VLOOKUP(BK46,'BBG - VaR Data (Sample, Indus )'!C:N,5,0)))</f>
        <v>-</v>
      </c>
      <c r="BM46" s="11">
        <f>IF(OR(AS46="Cash", AS46="Cash Adjustments"),"-",IF(ISNA(VLOOKUP(BK46,'BBG - Scenarios (Sample View)'!C:Z,14,0)),"-",VLOOKUP(BK46,'BBG - Scenarios (Sample View)'!C:Z,14,0)))</f>
        <v>-3.45</v>
      </c>
      <c r="BN46" s="14">
        <f t="shared" si="7"/>
        <v>10971308.559081528</v>
      </c>
      <c r="BO46" s="1">
        <f t="shared" si="8"/>
        <v>2.1521855064537784E-2</v>
      </c>
      <c r="BP46" t="str">
        <f>IF(BC46&lt;&gt;0,MaturityBucket(BG46),"")</f>
        <v>2 - 3 yrs</v>
      </c>
      <c r="BQ46" s="11" t="str">
        <f>IF(OR(T46="Cash",T46="Cash Adjustments"),T46,VLOOKUP(AL46,'SFC Classifcation'!$A:$C,2,0))</f>
        <v>China</v>
      </c>
      <c r="BR46" s="1" t="e">
        <f>IF(S46="Bond",BH46/'SFC Report'!$B$7,"")</f>
        <v>#VALUE!</v>
      </c>
      <c r="BS46" t="str">
        <f>IF(OR(T46="Cash",T46="Cash Adjustments"),"-",_xll.BDP(R46&amp;" FIGI",$BS$1))</f>
        <v>4/28/2020</v>
      </c>
      <c r="BT46" t="str">
        <f>IF(OR(T46="Cash",T46="Cash Adjustments"),"-",_xll.BDP(R46&amp;" FIGI",$BT$1))</f>
        <v>#N/A N/A</v>
      </c>
      <c r="BU46" t="str">
        <f>IF(OR(T46="Cash",T46="Cash Adjustments"),"-",_xll.BDP(R46&amp;" FIGI",$BU$1))</f>
        <v>#N/A N/A</v>
      </c>
    </row>
    <row r="47" spans="1:73">
      <c r="A47" s="254" t="s">
        <v>15</v>
      </c>
      <c r="B47" s="254" t="s">
        <v>25</v>
      </c>
      <c r="C47" s="254" t="s">
        <v>46</v>
      </c>
      <c r="D47" s="254" t="s">
        <v>22</v>
      </c>
      <c r="E47" s="254"/>
      <c r="F47" s="254" t="s">
        <v>1297</v>
      </c>
      <c r="G47" s="254" t="s">
        <v>1298</v>
      </c>
      <c r="H47" s="270">
        <v>3350000</v>
      </c>
      <c r="I47" s="270">
        <v>98.643000000000001</v>
      </c>
      <c r="J47" s="270">
        <v>3336747.5</v>
      </c>
      <c r="K47" s="270">
        <v>25934869.940000001</v>
      </c>
      <c r="L47" s="270">
        <v>-324020.15999999997</v>
      </c>
      <c r="M47" s="270">
        <v>170437.4</v>
      </c>
      <c r="N47" s="270">
        <v>25610849.780000001</v>
      </c>
      <c r="O47" s="255">
        <v>5.5999999999999999E-3</v>
      </c>
      <c r="P47" s="1"/>
      <c r="Q47" s="1" t="str">
        <f t="shared" si="2"/>
        <v>Investments</v>
      </c>
      <c r="R47" s="1" t="str">
        <f>_xll.BDP(G47&amp;" ISIN",$R$1)</f>
        <v>BBG00RPNYQB5</v>
      </c>
      <c r="S47" s="1" t="str">
        <f>IF(Q47="Cash",Q47,IF(OR(Q47="Receivable Investments",Q47="Payable Investments"),"Cash Adjustments",_xll.BDP(R47&amp;" FIGI",$S$1)))</f>
        <v>BOND</v>
      </c>
      <c r="T47" s="1" t="str">
        <f>IF(Q47="Cash",Q47,IF(OR(Q47="Receivable Investments",Q47="Payable Investments"),"Cash Adjustments",VLOOKUP(R47,LQA!E:S,3,0)))</f>
        <v>Corp</v>
      </c>
      <c r="U47" s="1" t="str">
        <f>IF(Q47="Cash",Q47,IF(OR(Q47="Receivable Investments",Q47="Payable Investments"),"Cash Adjustments",_xll.BDP(R47&amp;" FIGI",$U$1)))</f>
        <v>#N/A Field Not Applicable</v>
      </c>
      <c r="V47" s="10">
        <f>IF(OR(Q47="Cash",Q47="Receivable Investments",Q47="Payable Investments"),0,IF(Q47="Investments",VLOOKUP(R47,LQA!E:Q,12,0),"Not Covered"))</f>
        <v>0.3</v>
      </c>
      <c r="W47" s="76">
        <f>IF(OR(Q47="Cash",Q47="Receivable Investments",Q47="Payable Investments"),0,IF(Q47="Investments",VLOOKUP(R47,LQA!E:Q,9,0),"Not Covered"))</f>
        <v>6.3020000000000003E-3</v>
      </c>
      <c r="X47" s="13" t="str">
        <f>IF(OR(H47=0,T47="Comdty"),"High",IF(V47&lt;='Liquidity Bucket'!$A$4,'Liquidity Bucket'!$I$4,IF(V47&lt;='Liquidity Bucket'!$A$5,'Liquidity Bucket'!$I$5,IF(V47&lt;='Liquidity Bucket'!$A$6,'Liquidity Bucket'!$I$6,IF(V47='Liquidity Bucket'!$A$8,'Liquidity Bucket'!$I$8,'Liquidity Bucket'!$I$7)))))</f>
        <v>High</v>
      </c>
      <c r="Y47" s="153">
        <f>IF(OR(Q47="Cash",Q47="Receivable Investments",Q47="Payable Investments"),0,IF(Q47="Investments",VLOOKUP(R47,'LQA Stress'!E:Q,12,0),"Not Covered"))</f>
        <v>0.8</v>
      </c>
      <c r="Z47" s="75">
        <f>IF(OR(Q47="Cash",Q47="Receivable Investments",Q47="Payable Investments"),0,IF(Q47="Investments",VLOOKUP(R47,'LQA Stress'!E:Q,9,0),"Not Covered"))</f>
        <v>1.6910999999999999E-2</v>
      </c>
      <c r="AA47" s="13" t="str">
        <f>IF(T47="Comdty","High",IF(Y47&lt;='Liquidity Bucket'!$A$4,'Liquidity Bucket'!$I$4,IF(Y47&lt;='Liquidity Bucket'!$A$5,'Liquidity Bucket'!$I$5,IF(Y47&lt;='Liquidity Bucket'!$A$6,'Liquidity Bucket'!$I$6,IF(Y47='Liquidity Bucket'!$A$8,'Liquidity Bucket'!$I$8,'Liquidity Bucket'!$I$7)))))</f>
        <v>High</v>
      </c>
      <c r="AB47" s="14">
        <f>(N47+M47)/'FX Rates'!$C$5</f>
        <v>3325759.4401444788</v>
      </c>
      <c r="AC47" s="15" t="str">
        <f>IF(X47="Not Covered", (H47/_xll.BDP(R47&amp;" FIGI",$AC$1)),"")</f>
        <v/>
      </c>
      <c r="AD47" s="16" t="str">
        <f>IF(X47="Not Covered", _xll.BDP(R47&amp;" FIGI",$AD$1),"")</f>
        <v/>
      </c>
      <c r="AE47" s="16" t="str">
        <f>IF(OR(T47="Corp",T47="Govt"),IF(_xll.BDP(R47&amp;" FIGI",$AE$1)="#N/A N/A","",_xll.BDP(R47&amp;" FIGI",$AE$1)),"")</f>
        <v/>
      </c>
      <c r="AF47" s="1" t="str">
        <f>IF(OR(T47="Corp",T47="Govt"),IF(_xll.BDP(R47&amp;" FIGI",$AF$1)="#N/A N/A","",_xll.BDP(R47&amp;" FIGI",$AF$1)),"")</f>
        <v>Baa1</v>
      </c>
      <c r="AG47" s="16" t="str">
        <f>IF(OR(T47="Corp",T47="Govt"),IF(_xll.BDP(R47&amp;" FIGI",$AG$1)="#N/A N/A","",_xll.BDP(R47&amp;" FIGI",$AG$1)),"")</f>
        <v/>
      </c>
      <c r="AH47" s="125">
        <f>IF(OR(S47="Cash",S47="M-Mkt"),21,IF(AE47="",0,VLOOKUP(AE47,'Rating Scale'!A:B,2,0)))</f>
        <v>0</v>
      </c>
      <c r="AI47" s="125">
        <f>IF(OR(S47="Cash",S47="M-Mkt"),21,IF(AF47="",0,VLOOKUP(AF47,'Rating Scale'!D:E,2,0)))</f>
        <v>14</v>
      </c>
      <c r="AJ47" s="125">
        <f>IF(OR(S47="Cash",S47="M-Mkt"),21,IF(AG47="",0,VLOOKUP(AG47,'Rating Scale'!G:H,2,0)))</f>
        <v>0</v>
      </c>
      <c r="AK47">
        <f t="shared" si="10"/>
        <v>14</v>
      </c>
      <c r="AL47" s="1" t="str">
        <f>IF(OR(U47="Cash",U47="Cash Adjustments"),_xll.BDP(G47&amp;" Curncy","Country"),IF(T47="Equity",_xll.BDP(R47&amp;" FIGI","CNTRY_ISSUE_ISO"),_xll.BDP(R47&amp;" FIGI",$AL$1)))</f>
        <v>CN</v>
      </c>
      <c r="AM47" s="126" t="str">
        <f>IF(OR(T47="Cash",T47="Cash Adjustments",T47="M-Mkt"), T47, IF(T47="Comdty",AS47, _xll.BDP(R47&amp;" FIGI", $AM$1)))</f>
        <v>Industrial</v>
      </c>
      <c r="AN47" s="126" t="str">
        <f>IF(OR(T47="Cash",T47="Cash Adjustments",T47="M-Mkt"), T47,  IF(T47="Comdty",AS47,_xll.BDP(R47&amp;" FIGI", $AN$1)))</f>
        <v>Engineering&amp;Construction</v>
      </c>
      <c r="AO47" s="126" t="str">
        <f>IF(OR(T47="Cash",T47="Cash Adjustments",T47="M-Mkt"), T47,  IF(T47="Comdty",AS47,_xll.BDP(R47&amp;" FIGI", $AO$1)))</f>
        <v>Building-Heavy Construct</v>
      </c>
      <c r="AP47" s="13" t="str">
        <f>IF(OR(T47="Cash",T47="Cash Adjustments"), T47, IF(_xll.BDP(R47&amp;" FIGI", $AP$1)="#N/A Field Not Applicable","N",_xll.BDP(R47&amp;" FIGI", $AP$1)))</f>
        <v>N</v>
      </c>
      <c r="AQ47" s="1" t="str">
        <f>IF(OR(T47="Cash",T47="Cash Adjustments"), T47, IF(_xll.BDP(R47&amp;" FIGI", $AQ$1)="#N/A Field Not Applicable"," ",_xll.BDP(R47&amp;" FIGI", $AQ$1)))</f>
        <v xml:space="preserve"> </v>
      </c>
      <c r="AR47" s="1" t="str">
        <f>IF(OR(T47="Cash",T47="Cash Adjustments"), T47, IF(_xll.BDP(R47&amp;" FIGI", $AR$1)="#N/A Field Not Applicable"," ",_xll.BDP(R47&amp;" FIGI", $AR$1)))</f>
        <v>ACTV</v>
      </c>
      <c r="AS47" s="1" t="str">
        <f>VLOOKUP(T47,'SFC Classifcation'!$F$2:$H$7,3,0)</f>
        <v>Corporate</v>
      </c>
      <c r="AT47" s="22" t="str">
        <f t="shared" si="0"/>
        <v>Non-Financial</v>
      </c>
      <c r="AU47" s="1" t="str">
        <f t="shared" si="4"/>
        <v>Investment Grade</v>
      </c>
      <c r="AV47" s="1" t="str">
        <f>IF(OR(T47="Cash",T47="Cash Adjustments"),T47,VLOOKUP(AL47,'SFC Classifcation'!$A:$C,3,0))</f>
        <v>China</v>
      </c>
      <c r="AW47" s="22" t="str">
        <f>LQBucket(X47,AK47,AD47,AC47)</f>
        <v>High</v>
      </c>
      <c r="AX47" s="22" t="str">
        <f>LQBucket(AA47,AK47,AD47,AC47)</f>
        <v>High</v>
      </c>
      <c r="AY47" s="45" t="str">
        <f>IF(OR(T47="Cash",T47="Cash Adjustments"), T47, _xll.BDP(R47&amp;" FIGI", $AY$1))</f>
        <v>#N/A Field Not Applicable</v>
      </c>
      <c r="AZ47" s="45" t="str">
        <f>IF(OR(T47="Cash",T47="Cash Adjustments"), T47, _xll.BDP(R47&amp;" FIGI", $AZ$1))</f>
        <v>SPECIAL PURPOSE</v>
      </c>
      <c r="BA47" s="45" t="str">
        <f>IF(OR(T47="Cash",T47="Cash Adjustments"), T47, _xll.BDP(R47&amp;" FIGI", $BA$1))</f>
        <v>#N/A Field Not Applicable</v>
      </c>
      <c r="BB47" s="16">
        <f>IF(OR(AS47="Government",AS47="Corporate"),(AK47*AB47/'SFC Report'!$C$20),"")</f>
        <v>8.4589500336405207E-2</v>
      </c>
      <c r="BC47" s="174" t="str">
        <f>IF(OR(T47="Cash",T47="Cash Adjustments", T47="FX Forward", T47="Repo", T47="Equity", T47="M-Mkt"), "", _xll.BDP(R47&amp;" FIGI", $BC$1))</f>
        <v>8/21/2168</v>
      </c>
      <c r="BD47" s="125">
        <f ca="1">IF(OR(T47="Cash",T47="Cash Adjustments",T47="FX Forward",T47="Repo", T47="Equity", T47="M-Mkt"),"",(BC47-'SFC Report'!$B$13)/365)</f>
        <v>148.40821917808219</v>
      </c>
      <c r="BE47" s="82" t="str">
        <f t="shared" ca="1" si="9"/>
        <v>10 yrs or Above</v>
      </c>
      <c r="BF47" s="5">
        <f ca="1">IF(BC47="","",BD47*AB47/'SFC Report'!$C$20)</f>
        <v>0.89669836472069153</v>
      </c>
      <c r="BG47" s="14" cm="1">
        <f t="array" ref="BG47">IF(OR(AS47="Corporate",AS47="Government"),_xll.BDP(G47&amp;" ISIN", $BG$1),"")</f>
        <v>4.2932649702485595</v>
      </c>
      <c r="BH47" s="140">
        <f>IF(OR(AS47="Corporate",AS47="Government"),BG47*BN47/'SFC Report'!$C$20,"")</f>
        <v>2.5940367046079802E-2</v>
      </c>
      <c r="BI47" s="140">
        <f>IF(OR(AS47="Corporate",AS47="Government"),_xll.BDP(G47&amp;" ISIN", $BI$1),"")</f>
        <v>4.9698152521959393</v>
      </c>
      <c r="BJ47" s="140">
        <f>IF(OR(AS47="Corporate",AS47="Government"),BI47*AB47/'SFC Report'!$C$20,"")</f>
        <v>3.0028156353392867E-2</v>
      </c>
      <c r="BK47" s="153" t="str">
        <f>IF(OR(T47="Cash",T47="Cash Adjustments"),"-",_xll.BDP(R47&amp;" FIGI",$BK$1))</f>
        <v>XS2102904864</v>
      </c>
      <c r="BL47" s="11" t="str">
        <f>IF(OR(AS47="Cash", AS47="Cash Adjustments"),"-",IF(ISNA(VLOOKUP(BK47,'BBG - VaR Data (Sample, Indus )'!C:N,5,0)),"-",VLOOKUP(BK47,'BBG - VaR Data (Sample, Indus )'!C:N,5,0)))</f>
        <v>-</v>
      </c>
      <c r="BM47" s="11">
        <f>IF(OR(AS47="Cash", AS47="Cash Adjustments"),"-",IF(ISNA(VLOOKUP(BK47,'BBG - Scenarios (Sample View)'!C:Z,14,0)),"-",VLOOKUP(BK47,'BBG - Scenarios (Sample View)'!C:Z,14,0)))</f>
        <v>-2.86</v>
      </c>
      <c r="BN47" s="14">
        <f t="shared" si="7"/>
        <v>3325759.4401444788</v>
      </c>
      <c r="BO47" s="1">
        <f t="shared" si="8"/>
        <v>6.5239722558946859E-3</v>
      </c>
      <c r="BP47" t="str">
        <f>IF(BC47&lt;&gt;0,MaturityBucket(BG47),"")</f>
        <v>3 - 5 yrs</v>
      </c>
      <c r="BQ47" s="11" t="str">
        <f>IF(OR(T47="Cash",T47="Cash Adjustments"),T47,VLOOKUP(AL47,'SFC Classifcation'!$A:$C,2,0))</f>
        <v>China</v>
      </c>
      <c r="BR47" s="1" t="e">
        <f>IF(S47="Bond",BH47/'SFC Report'!$B$7,"")</f>
        <v>#VALUE!</v>
      </c>
      <c r="BS47" t="str">
        <f>IF(OR(T47="Cash",T47="Cash Adjustments"),"-",_xll.BDP(R47&amp;" FIGI",$BS$1))</f>
        <v>#N/A N/A</v>
      </c>
      <c r="BT47" t="str">
        <f>IF(OR(T47="Cash",T47="Cash Adjustments"),"-",_xll.BDP(R47&amp;" FIGI",$BT$1))</f>
        <v>2/11/2020</v>
      </c>
      <c r="BU47" t="str">
        <f>IF(OR(T47="Cash",T47="Cash Adjustments"),"-",_xll.BDP(R47&amp;" FIGI",$BU$1))</f>
        <v>#N/A N/A</v>
      </c>
    </row>
    <row r="48" spans="1:73">
      <c r="A48" s="254" t="s">
        <v>15</v>
      </c>
      <c r="B48" s="254" t="s">
        <v>25</v>
      </c>
      <c r="C48" s="254" t="s">
        <v>46</v>
      </c>
      <c r="D48" s="254" t="s">
        <v>22</v>
      </c>
      <c r="E48" s="254"/>
      <c r="F48" s="254" t="s">
        <v>1299</v>
      </c>
      <c r="G48" s="254" t="s">
        <v>1300</v>
      </c>
      <c r="H48" s="270">
        <v>2970000</v>
      </c>
      <c r="I48" s="270">
        <v>85.561999999999998</v>
      </c>
      <c r="J48" s="270">
        <v>2925620</v>
      </c>
      <c r="K48" s="270">
        <v>22739381.460000001</v>
      </c>
      <c r="L48" s="270">
        <v>-3044639.88</v>
      </c>
      <c r="M48" s="270">
        <v>550739.86</v>
      </c>
      <c r="N48" s="270">
        <v>19694741.579999998</v>
      </c>
      <c r="O48" s="255">
        <v>4.3E-3</v>
      </c>
      <c r="P48" s="1"/>
      <c r="Q48" s="1" t="str">
        <f t="shared" si="2"/>
        <v>Investments</v>
      </c>
      <c r="R48" s="1" t="str">
        <f>_xll.BDP(G48&amp;" ISIN",$R$1)</f>
        <v>BBG00RB35JZ6</v>
      </c>
      <c r="S48" s="1" t="str">
        <f>IF(Q48="Cash",Q48,IF(OR(Q48="Receivable Investments",Q48="Payable Investments"),"Cash Adjustments",_xll.BDP(R48&amp;" FIGI",$S$1)))</f>
        <v>BOND</v>
      </c>
      <c r="T48" s="1" t="str">
        <f>IF(Q48="Cash",Q48,IF(OR(Q48="Receivable Investments",Q48="Payable Investments"),"Cash Adjustments",VLOOKUP(R48,LQA!E:S,3,0)))</f>
        <v>Corp</v>
      </c>
      <c r="U48" s="1" t="str">
        <f>IF(Q48="Cash",Q48,IF(OR(Q48="Receivable Investments",Q48="Payable Investments"),"Cash Adjustments",_xll.BDP(R48&amp;" FIGI",$U$1)))</f>
        <v>#N/A Field Not Applicable</v>
      </c>
      <c r="V48" s="10">
        <f>IF(OR(Q48="Cash",Q48="Receivable Investments",Q48="Payable Investments"),0,IF(Q48="Investments",VLOOKUP(R48,LQA!E:Q,12,0),"Not Covered"))</f>
        <v>0.3</v>
      </c>
      <c r="W48" s="76">
        <f>IF(OR(Q48="Cash",Q48="Receivable Investments",Q48="Payable Investments"),0,IF(Q48="Investments",VLOOKUP(R48,LQA!E:Q,9,0),"Not Covered"))</f>
        <v>1.9768999999999998E-2</v>
      </c>
      <c r="X48" s="13" t="str">
        <f>IF(OR(H48=0,T48="Comdty"),"High",IF(V48&lt;='Liquidity Bucket'!$A$4,'Liquidity Bucket'!$I$4,IF(V48&lt;='Liquidity Bucket'!$A$5,'Liquidity Bucket'!$I$5,IF(V48&lt;='Liquidity Bucket'!$A$6,'Liquidity Bucket'!$I$6,IF(V48='Liquidity Bucket'!$A$8,'Liquidity Bucket'!$I$8,'Liquidity Bucket'!$I$7)))))</f>
        <v>High</v>
      </c>
      <c r="Y48" s="153">
        <f>IF(OR(Q48="Cash",Q48="Receivable Investments",Q48="Payable Investments"),0,IF(Q48="Investments",VLOOKUP(R48,'LQA Stress'!E:Q,12,0),"Not Covered"))</f>
        <v>1</v>
      </c>
      <c r="Z48" s="75">
        <f>IF(OR(Q48="Cash",Q48="Receivable Investments",Q48="Payable Investments"),0,IF(Q48="Investments",VLOOKUP(R48,'LQA Stress'!E:Q,9,0),"Not Covered"))</f>
        <v>5.3263999999999999E-2</v>
      </c>
      <c r="AA48" s="13" t="str">
        <f>IF(T48="Comdty","High",IF(Y48&lt;='Liquidity Bucket'!$A$4,'Liquidity Bucket'!$I$4,IF(Y48&lt;='Liquidity Bucket'!$A$5,'Liquidity Bucket'!$I$5,IF(Y48&lt;='Liquidity Bucket'!$A$6,'Liquidity Bucket'!$I$6,IF(Y48='Liquidity Bucket'!$A$8,'Liquidity Bucket'!$I$8,'Liquidity Bucket'!$I$7)))))</f>
        <v>High</v>
      </c>
      <c r="AB48" s="14">
        <f>(N48+M48)/'FX Rates'!$C$5</f>
        <v>2611646.2125902991</v>
      </c>
      <c r="AC48" s="15" t="str">
        <f>IF(X48="Not Covered", (H48/_xll.BDP(R48&amp;" FIGI",$AC$1)),"")</f>
        <v/>
      </c>
      <c r="AD48" s="16" t="str">
        <f>IF(X48="Not Covered", _xll.BDP(R48&amp;" FIGI",$AD$1),"")</f>
        <v/>
      </c>
      <c r="AE48" s="16" t="str">
        <f>IF(OR(T48="Corp",T48="Govt"),IF(_xll.BDP(R48&amp;" FIGI",$AE$1)="#N/A N/A","",_xll.BDP(R48&amp;" FIGI",$AE$1)),"")</f>
        <v/>
      </c>
      <c r="AF48" s="1" t="str">
        <f>IF(OR(T48="Corp",T48="Govt"),IF(_xll.BDP(R48&amp;" FIGI",$AF$1)="#N/A N/A","",_xll.BDP(R48&amp;" FIGI",$AF$1)),"")</f>
        <v>Ba3</v>
      </c>
      <c r="AG48" s="16" t="str">
        <f>IF(OR(T48="Corp",T48="Govt"),IF(_xll.BDP(R48&amp;" FIGI",$AG$1)="#N/A N/A","",_xll.BDP(R48&amp;" FIGI",$AG$1)),"")</f>
        <v/>
      </c>
      <c r="AH48" s="125">
        <f>IF(OR(S48="Cash",S48="M-Mkt"),21,IF(AE48="",0,VLOOKUP(AE48,'Rating Scale'!A:B,2,0)))</f>
        <v>0</v>
      </c>
      <c r="AI48" s="125">
        <f>IF(OR(S48="Cash",S48="M-Mkt"),21,IF(AF48="",0,VLOOKUP(AF48,'Rating Scale'!D:E,2,0)))</f>
        <v>9</v>
      </c>
      <c r="AJ48" s="125">
        <f>IF(OR(S48="Cash",S48="M-Mkt"),21,IF(AG48="",0,VLOOKUP(AG48,'Rating Scale'!G:H,2,0)))</f>
        <v>0</v>
      </c>
      <c r="AK48">
        <f t="shared" si="10"/>
        <v>9</v>
      </c>
      <c r="AL48" s="1" t="str">
        <f>IF(OR(U48="Cash",U48="Cash Adjustments"),_xll.BDP(G48&amp;" Curncy","Country"),IF(T48="Equity",_xll.BDP(R48&amp;" FIGI","CNTRY_ISSUE_ISO"),_xll.BDP(R48&amp;" FIGI",$AL$1)))</f>
        <v>CN</v>
      </c>
      <c r="AM48" s="126" t="str">
        <f>IF(OR(T48="Cash",T48="Cash Adjustments",T48="M-Mkt"), T48, IF(T48="Comdty",AS48, _xll.BDP(R48&amp;" FIGI", $AM$1)))</f>
        <v>Financial</v>
      </c>
      <c r="AN48" s="126" t="str">
        <f>IF(OR(T48="Cash",T48="Cash Adjustments",T48="M-Mkt"), T48,  IF(T48="Comdty",AS48,_xll.BDP(R48&amp;" FIGI", $AN$1)))</f>
        <v>Real Estate</v>
      </c>
      <c r="AO48" s="126" t="str">
        <f>IF(OR(T48="Cash",T48="Cash Adjustments",T48="M-Mkt"), T48,  IF(T48="Comdty",AS48,_xll.BDP(R48&amp;" FIGI", $AO$1)))</f>
        <v>Real Estate Oper/Develop</v>
      </c>
      <c r="AP48" s="13" t="str">
        <f>IF(OR(T48="Cash",T48="Cash Adjustments"), T48, IF(_xll.BDP(R48&amp;" FIGI", $AP$1)="#N/A Field Not Applicable","N",_xll.BDP(R48&amp;" FIGI", $AP$1)))</f>
        <v>N</v>
      </c>
      <c r="AQ48" s="1" t="str">
        <f>IF(OR(T48="Cash",T48="Cash Adjustments"), T48, IF(_xll.BDP(R48&amp;" FIGI", $AQ$1)="#N/A Field Not Applicable"," ",_xll.BDP(R48&amp;" FIGI", $AQ$1)))</f>
        <v xml:space="preserve"> </v>
      </c>
      <c r="AR48" s="1" t="str">
        <f>IF(OR(T48="Cash",T48="Cash Adjustments"), T48, IF(_xll.BDP(R48&amp;" FIGI", $AR$1)="#N/A Field Not Applicable"," ",_xll.BDP(R48&amp;" FIGI", $AR$1)))</f>
        <v>ACTV</v>
      </c>
      <c r="AS48" s="1" t="str">
        <f>VLOOKUP(T48,'SFC Classifcation'!$F$2:$H$7,3,0)</f>
        <v>Corporate</v>
      </c>
      <c r="AT48" s="22" t="str">
        <f t="shared" si="0"/>
        <v>Financial</v>
      </c>
      <c r="AU48" s="1" t="str">
        <f t="shared" si="4"/>
        <v>Non-Investment Grade</v>
      </c>
      <c r="AV48" s="1" t="str">
        <f>IF(OR(T48="Cash",T48="Cash Adjustments"),T48,VLOOKUP(AL48,'SFC Classifcation'!$A:$C,3,0))</f>
        <v>China</v>
      </c>
      <c r="AW48" s="22" t="str">
        <f t="shared" si="5"/>
        <v>High</v>
      </c>
      <c r="AX48" s="22" t="str">
        <f t="shared" si="6"/>
        <v>High</v>
      </c>
      <c r="AY48" s="45" t="str">
        <f>IF(OR(T48="Cash",T48="Cash Adjustments"), T48, _xll.BDP(R48&amp;" FIGI", $AY$1))</f>
        <v>#N/A Field Not Applicable</v>
      </c>
      <c r="AZ48" s="45" t="str">
        <f>IF(OR(T48="Cash",T48="Cash Adjustments"), T48, _xll.BDP(R48&amp;" FIGI", $AZ$1))</f>
        <v>SPECIAL PURPOSE</v>
      </c>
      <c r="BA48" s="45" t="str">
        <f>IF(OR(T48="Cash",T48="Cash Adjustments"), T48, _xll.BDP(R48&amp;" FIGI", $BA$1))</f>
        <v>#N/A Field Not Applicable</v>
      </c>
      <c r="BB48" s="16">
        <f>IF(OR(AS48="Government",AS48="Corporate"),(AK48*AB48/'SFC Report'!$C$20),"")</f>
        <v>4.2702612513668498E-2</v>
      </c>
      <c r="BC48" s="174" t="str">
        <f>IF(OR(T48="Cash",T48="Cash Adjustments", T48="FX Forward", T48="Repo", T48="Equity", T48="M-Mkt"), "", _xll.BDP(R48&amp;" FIGI", $BC$1))</f>
        <v>1/13/2025</v>
      </c>
      <c r="BD48" s="125">
        <f ca="1">IF(OR(T48="Cash",T48="Cash Adjustments",T48="FX Forward",T48="Repo", T48="Equity", T48="M-Mkt"),"",(BC48-'SFC Report'!$B$13)/365)</f>
        <v>4.7095890410958905</v>
      </c>
      <c r="BE48" s="82" t="str">
        <f t="shared" ca="1" si="9"/>
        <v>3 - 5 yrs</v>
      </c>
      <c r="BF48" s="5">
        <f ca="1">IF(BC48="","",BD48*AB48/'SFC Report'!$C$20)</f>
        <v>2.2345750657837487E-2</v>
      </c>
      <c r="BG48" s="14" cm="1">
        <f t="array" ref="BG48">IF(OR(AS48="Corporate",AS48="Government"),_xll.BDP(G48&amp;" ISIN", $BG$1),"")</f>
        <v>3.5989173135316737</v>
      </c>
      <c r="BH48" s="140">
        <f>IF(OR(AS48="Corporate",AS48="Government"),BG48*BN48/'SFC Report'!$C$20,"")</f>
        <v>1.7075907945386205E-2</v>
      </c>
      <c r="BI48" s="140">
        <f>IF(OR(AS48="Corporate",AS48="Government"),_xll.BDP(G48&amp;" ISIN", $BI$1),"")</f>
        <v>10.677027571826596</v>
      </c>
      <c r="BJ48" s="140">
        <f>IF(OR(AS48="Corporate",AS48="Government"),BI48*AB48/'SFC Report'!$C$20,"")</f>
        <v>5.0659663466385105E-2</v>
      </c>
      <c r="BK48" s="153" t="str">
        <f>IF(OR(T48="Cash",T48="Cash Adjustments"),"-",_xll.BDP(R48&amp;" FIGI",$BK$1))</f>
        <v>XS2100597330</v>
      </c>
      <c r="BL48" s="11" t="str">
        <f>IF(OR(AS48="Cash", AS48="Cash Adjustments"),"-",IF(ISNA(VLOOKUP(BK48,'BBG - VaR Data (Sample, Indus )'!C:N,5,0)),"-",VLOOKUP(BK48,'BBG - VaR Data (Sample, Indus )'!C:N,5,0)))</f>
        <v>-</v>
      </c>
      <c r="BM48" s="11">
        <f>IF(OR(AS48="Cash", AS48="Cash Adjustments"),"-",IF(ISNA(VLOOKUP(BK48,'BBG - Scenarios (Sample View)'!C:Z,14,0)),"-",VLOOKUP(BK48,'BBG - Scenarios (Sample View)'!C:Z,14,0)))</f>
        <v>-9.6300000000000008</v>
      </c>
      <c r="BN48" s="14">
        <f t="shared" si="7"/>
        <v>2611646.2125902991</v>
      </c>
      <c r="BO48" s="1">
        <f t="shared" si="8"/>
        <v>5.1231328482409305E-3</v>
      </c>
      <c r="BP48" t="str">
        <f>IF(BC48&lt;&gt;0,MaturityBucket(BG48),"")</f>
        <v>3 - 5 yrs</v>
      </c>
      <c r="BQ48" s="11" t="str">
        <f>IF(OR(T48="Cash",T48="Cash Adjustments"),T48,VLOOKUP(AL48,'SFC Classifcation'!$A:$C,2,0))</f>
        <v>China</v>
      </c>
      <c r="BR48" s="1" t="e">
        <f>IF(S48="Bond",BH48/'SFC Report'!$B$7,"")</f>
        <v>#VALUE!</v>
      </c>
      <c r="BS48" t="str">
        <f>IF(OR(T48="Cash",T48="Cash Adjustments"),"-",_xll.BDP(R48&amp;" FIGI",$BS$1))</f>
        <v>#N/A N/A</v>
      </c>
      <c r="BT48" t="str">
        <f>IF(OR(T48="Cash",T48="Cash Adjustments"),"-",_xll.BDP(R48&amp;" FIGI",$BT$1))</f>
        <v>1/10/2020</v>
      </c>
      <c r="BU48" t="str">
        <f>IF(OR(T48="Cash",T48="Cash Adjustments"),"-",_xll.BDP(R48&amp;" FIGI",$BU$1))</f>
        <v>#N/A N/A</v>
      </c>
    </row>
    <row r="49" spans="1:73">
      <c r="A49" s="254" t="s">
        <v>15</v>
      </c>
      <c r="B49" s="254" t="s">
        <v>25</v>
      </c>
      <c r="C49" s="254" t="s">
        <v>46</v>
      </c>
      <c r="D49" s="254" t="s">
        <v>22</v>
      </c>
      <c r="E49" s="254"/>
      <c r="F49" s="254" t="s">
        <v>961</v>
      </c>
      <c r="G49" s="254" t="s">
        <v>962</v>
      </c>
      <c r="H49" s="270">
        <v>4000000</v>
      </c>
      <c r="I49" s="270">
        <v>100.01</v>
      </c>
      <c r="J49" s="270">
        <v>4070800</v>
      </c>
      <c r="K49" s="270">
        <v>31919388.199999999</v>
      </c>
      <c r="L49" s="270">
        <v>-915488.12</v>
      </c>
      <c r="M49" s="270">
        <v>83400.77</v>
      </c>
      <c r="N49" s="270">
        <v>31003900.079999998</v>
      </c>
      <c r="O49" s="255">
        <v>6.7999999999999996E-3</v>
      </c>
      <c r="P49" s="1"/>
      <c r="Q49" s="1" t="str">
        <f t="shared" si="2"/>
        <v>Investments</v>
      </c>
      <c r="R49" s="1" t="str">
        <f>_xll.BDP(G49&amp;" ISIN",$R$1)</f>
        <v>BBG00KDP8LC7</v>
      </c>
      <c r="S49" s="1" t="str">
        <f>IF(Q49="Cash",Q49,IF(OR(Q49="Receivable Investments",Q49="Payable Investments"),"Cash Adjustments",_xll.BDP(R49&amp;" FIGI",$S$1)))</f>
        <v>BOND</v>
      </c>
      <c r="T49" s="1" t="str">
        <f>IF(Q49="Cash",Q49,IF(OR(Q49="Receivable Investments",Q49="Payable Investments"),"Cash Adjustments",VLOOKUP(R49,LQA!E:S,3,0)))</f>
        <v>Corp</v>
      </c>
      <c r="U49" s="1" t="str">
        <f>IF(Q49="Cash",Q49,IF(OR(Q49="Receivable Investments",Q49="Payable Investments"),"Cash Adjustments",_xll.BDP(R49&amp;" FIGI",$U$1)))</f>
        <v>#N/A Field Not Applicable</v>
      </c>
      <c r="V49" s="10">
        <f>IF(OR(Q49="Cash",Q49="Receivable Investments",Q49="Payable Investments"),0,IF(Q49="Investments",VLOOKUP(R49,LQA!E:Q,12,0),"Not Covered"))</f>
        <v>0.3</v>
      </c>
      <c r="W49" s="76">
        <f>IF(OR(Q49="Cash",Q49="Receivable Investments",Q49="Payable Investments"),0,IF(Q49="Investments",VLOOKUP(R49,LQA!E:Q,9,0),"Not Covered"))</f>
        <v>7.1440000000000002E-3</v>
      </c>
      <c r="X49" s="13" t="str">
        <f>IF(OR(H49=0,T49="Comdty"),"High",IF(V49&lt;='Liquidity Bucket'!$A$4,'Liquidity Bucket'!$I$4,IF(V49&lt;='Liquidity Bucket'!$A$5,'Liquidity Bucket'!$I$5,IF(V49&lt;='Liquidity Bucket'!$A$6,'Liquidity Bucket'!$I$6,IF(V49='Liquidity Bucket'!$A$8,'Liquidity Bucket'!$I$8,'Liquidity Bucket'!$I$7)))))</f>
        <v>High</v>
      </c>
      <c r="Y49" s="153">
        <f>IF(OR(Q49="Cash",Q49="Receivable Investments",Q49="Payable Investments"),0,IF(Q49="Investments",VLOOKUP(R49,'LQA Stress'!E:Q,12,0),"Not Covered"))</f>
        <v>0.9</v>
      </c>
      <c r="Z49" s="75">
        <f>IF(OR(Q49="Cash",Q49="Receivable Investments",Q49="Payable Investments"),0,IF(Q49="Investments",VLOOKUP(R49,'LQA Stress'!E:Q,9,0),"Not Covered"))</f>
        <v>1.9226E-2</v>
      </c>
      <c r="AA49" s="13" t="str">
        <f>IF(T49="Comdty","High",IF(Y49&lt;='Liquidity Bucket'!$A$4,'Liquidity Bucket'!$I$4,IF(Y49&lt;='Liquidity Bucket'!$A$5,'Liquidity Bucket'!$I$5,IF(Y49&lt;='Liquidity Bucket'!$A$6,'Liquidity Bucket'!$I$6,IF(Y49='Liquidity Bucket'!$A$8,'Liquidity Bucket'!$I$8,'Liquidity Bucket'!$I$7)))))</f>
        <v>High</v>
      </c>
      <c r="AB49" s="14">
        <f>(N49+M49)/'FX Rates'!$C$5</f>
        <v>4010229.7278121775</v>
      </c>
      <c r="AC49" s="15" t="str">
        <f>IF(X49="Not Covered", (H49/_xll.BDP(R49&amp;" FIGI",$AC$1)),"")</f>
        <v/>
      </c>
      <c r="AD49" s="16" t="str">
        <f>IF(X49="Not Covered", _xll.BDP(R49&amp;" FIGI",$AD$1),"")</f>
        <v/>
      </c>
      <c r="AE49" s="16" t="str">
        <f>IF(OR(T49="Corp",T49="Govt"),IF(_xll.BDP(R49&amp;" FIGI",$AE$1)="#N/A N/A","",_xll.BDP(R49&amp;" FIGI",$AE$1)),"")</f>
        <v>B</v>
      </c>
      <c r="AF49" s="1" t="str">
        <f>IF(OR(T49="Corp",T49="Govt"),IF(_xll.BDP(R49&amp;" FIGI",$AF$1)="#N/A N/A","",_xll.BDP(R49&amp;" FIGI",$AF$1)),"")</f>
        <v>B2</v>
      </c>
      <c r="AG49" s="16" t="str">
        <f>IF(OR(T49="Corp",T49="Govt"),IF(_xll.BDP(R49&amp;" FIGI",$AG$1)="#N/A N/A","",_xll.BDP(R49&amp;" FIGI",$AG$1)),"")</f>
        <v/>
      </c>
      <c r="AH49" s="125">
        <f>IF(OR(S49="Cash",S49="M-Mkt"),21,IF(AE49="",0,VLOOKUP(AE49,'Rating Scale'!A:B,2,0)))</f>
        <v>7</v>
      </c>
      <c r="AI49" s="125">
        <f>IF(OR(S49="Cash",S49="M-Mkt"),21,IF(AF49="",0,VLOOKUP(AF49,'Rating Scale'!D:E,2,0)))</f>
        <v>7</v>
      </c>
      <c r="AJ49" s="125">
        <f>IF(OR(S49="Cash",S49="M-Mkt"),21,IF(AG49="",0,VLOOKUP(AG49,'Rating Scale'!G:H,2,0)))</f>
        <v>0</v>
      </c>
      <c r="AK49">
        <f t="shared" si="10"/>
        <v>7</v>
      </c>
      <c r="AL49" s="1" t="str">
        <f>IF(OR(U49="Cash",U49="Cash Adjustments"),_xll.BDP(G49&amp;" Curncy","Country"),IF(T49="Equity",_xll.BDP(R49&amp;" FIGI","CNTRY_ISSUE_ISO"),_xll.BDP(R49&amp;" FIGI",$AL$1)))</f>
        <v>CN</v>
      </c>
      <c r="AM49" s="126" t="str">
        <f>IF(OR(T49="Cash",T49="Cash Adjustments",T49="M-Mkt"), T49, IF(T49="Comdty",AS49, _xll.BDP(R49&amp;" FIGI", $AM$1)))</f>
        <v>Financial</v>
      </c>
      <c r="AN49" s="126" t="str">
        <f>IF(OR(T49="Cash",T49="Cash Adjustments",T49="M-Mkt"), T49,  IF(T49="Comdty",AS49,_xll.BDP(R49&amp;" FIGI", $AN$1)))</f>
        <v>Real Estate</v>
      </c>
      <c r="AO49" s="126" t="str">
        <f>IF(OR(T49="Cash",T49="Cash Adjustments",T49="M-Mkt"), T49,  IF(T49="Comdty",AS49,_xll.BDP(R49&amp;" FIGI", $AO$1)))</f>
        <v>Real Estate Oper/Develop</v>
      </c>
      <c r="AP49" s="13" t="str">
        <f>IF(OR(T49="Cash",T49="Cash Adjustments"), T49, IF(_xll.BDP(R49&amp;" FIGI", $AP$1)="#N/A Field Not Applicable","N",_xll.BDP(R49&amp;" FIGI", $AP$1)))</f>
        <v>N</v>
      </c>
      <c r="AQ49" s="1" t="str">
        <f>IF(OR(T49="Cash",T49="Cash Adjustments"), T49, IF(_xll.BDP(R49&amp;" FIGI", $AQ$1)="#N/A Field Not Applicable"," ",_xll.BDP(R49&amp;" FIGI", $AQ$1)))</f>
        <v xml:space="preserve"> </v>
      </c>
      <c r="AR49" s="1" t="str">
        <f>IF(OR(T49="Cash",T49="Cash Adjustments"), T49, IF(_xll.BDP(R49&amp;" FIGI", $AR$1)="#N/A Field Not Applicable"," ",_xll.BDP(R49&amp;" FIGI", $AR$1)))</f>
        <v>ACTV</v>
      </c>
      <c r="AS49" s="1" t="str">
        <f>VLOOKUP(T49,'SFC Classifcation'!$F$2:$H$7,3,0)</f>
        <v>Corporate</v>
      </c>
      <c r="AT49" s="22" t="str">
        <f t="shared" si="0"/>
        <v>Financial</v>
      </c>
      <c r="AU49" s="1" t="str">
        <f t="shared" si="4"/>
        <v>Non-Investment Grade</v>
      </c>
      <c r="AV49" s="1" t="str">
        <f>IF(OR(T49="Cash",T49="Cash Adjustments"),T49,VLOOKUP(AL49,'SFC Classifcation'!$A:$C,3,0))</f>
        <v>China</v>
      </c>
      <c r="AW49" s="22" t="str">
        <f t="shared" si="5"/>
        <v>High</v>
      </c>
      <c r="AX49" s="22" t="str">
        <f t="shared" si="6"/>
        <v>High</v>
      </c>
      <c r="AY49" s="45" t="str">
        <f>IF(OR(T49="Cash",T49="Cash Adjustments"), T49, _xll.BDP(R49&amp;" FIGI", $AY$1))</f>
        <v>Real Estate</v>
      </c>
      <c r="AZ49" s="45" t="str">
        <f>IF(OR(T49="Cash",T49="Cash Adjustments"), T49, _xll.BDP(R49&amp;" FIGI", $AZ$1))</f>
        <v>FINANCIAL</v>
      </c>
      <c r="BA49" s="45" t="str">
        <f>IF(OR(T49="Cash",T49="Cash Adjustments"), T49, _xll.BDP(R49&amp;" FIGI", $BA$1))</f>
        <v>#N/A Field Not Applicable</v>
      </c>
      <c r="BB49" s="16">
        <f>IF(OR(AS49="Government",AS49="Corporate"),(AK49*AB49/'SFC Report'!$C$20),"")</f>
        <v>5.099937849008912E-2</v>
      </c>
      <c r="BC49" s="174" t="str">
        <f>IF(OR(T49="Cash",T49="Cash Adjustments", T49="FX Forward", T49="Repo", T49="Equity", T49="M-Mkt"), "", _xll.BDP(R49&amp;" FIGI", $BC$1))</f>
        <v>4/17/2021</v>
      </c>
      <c r="BD49" s="125">
        <f ca="1">IF(OR(T49="Cash",T49="Cash Adjustments",T49="FX Forward",T49="Repo", T49="Equity", T49="M-Mkt"),"",(BC49-'SFC Report'!$B$13)/365)</f>
        <v>0.96438356164383565</v>
      </c>
      <c r="BE49" s="82" t="str">
        <f t="shared" ca="1" si="9"/>
        <v>0 - 1 yr</v>
      </c>
      <c r="BF49" s="5">
        <f ca="1">IF(BC49="","",BD49*AB49/'SFC Report'!$C$20)</f>
        <v>7.0261374671277384E-3</v>
      </c>
      <c r="BG49" s="14" cm="1">
        <f t="array" ref="BG49">IF(OR(AS49="Corporate",AS49="Government"),_xll.BDP(G49&amp;" ISIN", $BG$1),"")</f>
        <v>0.84425316047480015</v>
      </c>
      <c r="BH49" s="140">
        <f>IF(OR(AS49="Corporate",AS49="Government"),BG49*BN49/'SFC Report'!$C$20,"")</f>
        <v>6.1509123532154696E-3</v>
      </c>
      <c r="BI49" s="140">
        <f>IF(OR(AS49="Corporate",AS49="Government"),_xll.BDP(G49&amp;" ISIN", $BI$1),"")</f>
        <v>6.3421877838324079</v>
      </c>
      <c r="BJ49" s="140">
        <f>IF(OR(AS49="Corporate",AS49="Government"),BI49*AB49/'SFC Report'!$C$20,"")</f>
        <v>4.6206805034698359E-2</v>
      </c>
      <c r="BK49" s="153" t="str">
        <f>IF(OR(T49="Cash",T49="Cash Adjustments"),"-",_xll.BDP(R49&amp;" FIGI",$BK$1))</f>
        <v>XS1795479291</v>
      </c>
      <c r="BL49" s="11" t="str">
        <f>IF(OR(AS49="Cash", AS49="Cash Adjustments"),"-",IF(ISNA(VLOOKUP(BK49,'BBG - VaR Data (Sample, Indus )'!C:N,5,0)),"-",VLOOKUP(BK49,'BBG - VaR Data (Sample, Indus )'!C:N,5,0)))</f>
        <v>-</v>
      </c>
      <c r="BM49" s="11">
        <f>IF(OR(AS49="Cash", AS49="Cash Adjustments"),"-",IF(ISNA(VLOOKUP(BK49,'BBG - Scenarios (Sample View)'!C:Z,14,0)),"-",VLOOKUP(BK49,'BBG - Scenarios (Sample View)'!C:Z,14,0)))</f>
        <v>-1.62</v>
      </c>
      <c r="BN49" s="14">
        <f t="shared" si="7"/>
        <v>4010229.7278121775</v>
      </c>
      <c r="BO49" s="1">
        <f t="shared" si="8"/>
        <v>7.8666626239431731E-3</v>
      </c>
      <c r="BP49" t="str">
        <f>IF(BC49&lt;&gt;0,MaturityBucket(BG49),"")</f>
        <v>0 - 1 yr</v>
      </c>
      <c r="BQ49" s="11" t="str">
        <f>IF(OR(T49="Cash",T49="Cash Adjustments"),T49,VLOOKUP(AL49,'SFC Classifcation'!$A:$C,2,0))</f>
        <v>China</v>
      </c>
      <c r="BR49" s="1" t="e">
        <f>IF(S49="Bond",BH49/'SFC Report'!$B$7,"")</f>
        <v>#VALUE!</v>
      </c>
      <c r="BS49" t="str">
        <f>IF(OR(T49="Cash",T49="Cash Adjustments"),"-",_xll.BDP(R49&amp;" FIGI",$BS$1))</f>
        <v>4/9/2018</v>
      </c>
      <c r="BT49" t="str">
        <f>IF(OR(T49="Cash",T49="Cash Adjustments"),"-",_xll.BDP(R49&amp;" FIGI",$BT$1))</f>
        <v>4/10/2018</v>
      </c>
      <c r="BU49" t="str">
        <f>IF(OR(T49="Cash",T49="Cash Adjustments"),"-",_xll.BDP(R49&amp;" FIGI",$BU$1))</f>
        <v>#N/A N/A</v>
      </c>
    </row>
    <row r="50" spans="1:73">
      <c r="A50" s="254" t="s">
        <v>15</v>
      </c>
      <c r="B50" s="254" t="s">
        <v>25</v>
      </c>
      <c r="C50" s="254" t="s">
        <v>46</v>
      </c>
      <c r="D50" s="254" t="s">
        <v>22</v>
      </c>
      <c r="E50" s="254"/>
      <c r="F50" s="254" t="s">
        <v>56</v>
      </c>
      <c r="G50" s="254" t="s">
        <v>57</v>
      </c>
      <c r="H50" s="270">
        <v>6000000</v>
      </c>
      <c r="I50" s="270">
        <v>100.852</v>
      </c>
      <c r="J50" s="270">
        <v>6011750.0199999996</v>
      </c>
      <c r="K50" s="270">
        <v>47123886.640000001</v>
      </c>
      <c r="L50" s="270">
        <v>-226496.58</v>
      </c>
      <c r="M50" s="270">
        <v>1186749.3899999999</v>
      </c>
      <c r="N50" s="270">
        <v>46897390.060000002</v>
      </c>
      <c r="O50" s="255">
        <v>1.03E-2</v>
      </c>
      <c r="P50" s="1"/>
      <c r="Q50" s="1" t="str">
        <f t="shared" si="2"/>
        <v>Investments</v>
      </c>
      <c r="R50" s="1" t="str">
        <f>_xll.BDP(G50&amp;" ISIN",$R$1)</f>
        <v>BBG00N0Q0RS1</v>
      </c>
      <c r="S50" s="1" t="str">
        <f>IF(Q50="Cash",Q50,IF(OR(Q50="Receivable Investments",Q50="Payable Investments"),"Cash Adjustments",_xll.BDP(R50&amp;" FIGI",$S$1)))</f>
        <v>BOND</v>
      </c>
      <c r="T50" s="1" t="str">
        <f>IF(Q50="Cash",Q50,IF(OR(Q50="Receivable Investments",Q50="Payable Investments"),"Cash Adjustments",VLOOKUP(R50,LQA!E:S,3,0)))</f>
        <v>Corp</v>
      </c>
      <c r="U50" s="1" t="str">
        <f>IF(Q50="Cash",Q50,IF(OR(Q50="Receivable Investments",Q50="Payable Investments"),"Cash Adjustments",_xll.BDP(R50&amp;" FIGI",$U$1)))</f>
        <v>#N/A Field Not Applicable</v>
      </c>
      <c r="V50" s="10">
        <f>IF(OR(Q50="Cash",Q50="Receivable Investments",Q50="Payable Investments"),0,IF(Q50="Investments",VLOOKUP(R50,LQA!E:Q,12,0),"Not Covered"))</f>
        <v>0.3</v>
      </c>
      <c r="W50" s="76">
        <f>IF(OR(Q50="Cash",Q50="Receivable Investments",Q50="Payable Investments"),0,IF(Q50="Investments",VLOOKUP(R50,LQA!E:Q,9,0),"Not Covered"))</f>
        <v>4.6299999999999996E-3</v>
      </c>
      <c r="X50" s="13" t="str">
        <f>IF(OR(H50=0,T50="Comdty"),"High",IF(V50&lt;='Liquidity Bucket'!$A$4,'Liquidity Bucket'!$I$4,IF(V50&lt;='Liquidity Bucket'!$A$5,'Liquidity Bucket'!$I$5,IF(V50&lt;='Liquidity Bucket'!$A$6,'Liquidity Bucket'!$I$6,IF(V50='Liquidity Bucket'!$A$8,'Liquidity Bucket'!$I$8,'Liquidity Bucket'!$I$7)))))</f>
        <v>High</v>
      </c>
      <c r="Y50" s="153">
        <f>IF(OR(Q50="Cash",Q50="Receivable Investments",Q50="Payable Investments"),0,IF(Q50="Investments",VLOOKUP(R50,'LQA Stress'!E:Q,12,0),"Not Covered"))</f>
        <v>1</v>
      </c>
      <c r="Z50" s="75">
        <f>IF(OR(Q50="Cash",Q50="Receivable Investments",Q50="Payable Investments"),0,IF(Q50="Investments",VLOOKUP(R50,'LQA Stress'!E:Q,9,0),"Not Covered"))</f>
        <v>1.2041E-2</v>
      </c>
      <c r="AA50" s="13" t="str">
        <f>IF(T50="Comdty","High",IF(Y50&lt;='Liquidity Bucket'!$A$4,'Liquidity Bucket'!$I$4,IF(Y50&lt;='Liquidity Bucket'!$A$5,'Liquidity Bucket'!$I$5,IF(Y50&lt;='Liquidity Bucket'!$A$6,'Liquidity Bucket'!$I$6,IF(Y50='Liquidity Bucket'!$A$8,'Liquidity Bucket'!$I$8,'Liquidity Bucket'!$I$7)))))</f>
        <v>High</v>
      </c>
      <c r="AB50" s="14">
        <f>(N50+M50)/'FX Rates'!$C$5</f>
        <v>6202804.3666150672</v>
      </c>
      <c r="AC50" s="15" t="str">
        <f>IF(X50="Not Covered", (H50/_xll.BDP(R50&amp;" FIGI",$AC$1)),"")</f>
        <v/>
      </c>
      <c r="AD50" s="16" t="str">
        <f>IF(X50="Not Covered", _xll.BDP(R50&amp;" FIGI",$AD$1),"")</f>
        <v/>
      </c>
      <c r="AE50" s="16" t="str">
        <f>IF(OR(T50="Corp",T50="Govt"),IF(_xll.BDP(R50&amp;" FIGI",$AE$1)="#N/A N/A","",_xll.BDP(R50&amp;" FIGI",$AE$1)),"")</f>
        <v>B</v>
      </c>
      <c r="AF50" s="1" t="str">
        <f>IF(OR(T50="Corp",T50="Govt"),IF(_xll.BDP(R50&amp;" FIGI",$AF$1)="#N/A N/A","",_xll.BDP(R50&amp;" FIGI",$AF$1)),"")</f>
        <v>B2</v>
      </c>
      <c r="AG50" s="16" t="str">
        <f>IF(OR(T50="Corp",T50="Govt"),IF(_xll.BDP(R50&amp;" FIGI",$AG$1)="#N/A N/A","",_xll.BDP(R50&amp;" FIGI",$AG$1)),"")</f>
        <v/>
      </c>
      <c r="AH50" s="125">
        <f>IF(OR(S50="Cash",S50="M-Mkt"),21,IF(AE50="",0,VLOOKUP(AE50,'Rating Scale'!A:B,2,0)))</f>
        <v>7</v>
      </c>
      <c r="AI50" s="125">
        <f>IF(OR(S50="Cash",S50="M-Mkt"),21,IF(AF50="",0,VLOOKUP(AF50,'Rating Scale'!D:E,2,0)))</f>
        <v>7</v>
      </c>
      <c r="AJ50" s="125">
        <f>IF(OR(S50="Cash",S50="M-Mkt"),21,IF(AG50="",0,VLOOKUP(AG50,'Rating Scale'!G:H,2,0)))</f>
        <v>0</v>
      </c>
      <c r="AK50">
        <f>Rating(AH50,AI50,AJ50)</f>
        <v>7</v>
      </c>
      <c r="AL50" s="1" t="str">
        <f>IF(OR(U50="Cash",U50="Cash Adjustments"),_xll.BDP(G50&amp;" Curncy","Country"),IF(T50="Equity",_xll.BDP(R50&amp;" FIGI","CNTRY_ISSUE_ISO"),_xll.BDP(R50&amp;" FIGI",$AL$1)))</f>
        <v>CN</v>
      </c>
      <c r="AM50" s="126" t="str">
        <f>IF(OR(T50="Cash",T50="Cash Adjustments",T50="M-Mkt"), T50, IF(T50="Comdty",AS50, _xll.BDP(R50&amp;" FIGI", $AM$1)))</f>
        <v>Financial</v>
      </c>
      <c r="AN50" s="126" t="str">
        <f>IF(OR(T50="Cash",T50="Cash Adjustments",T50="M-Mkt"), T50,  IF(T50="Comdty",AS50,_xll.BDP(R50&amp;" FIGI", $AN$1)))</f>
        <v>Real Estate</v>
      </c>
      <c r="AO50" s="126" t="str">
        <f>IF(OR(T50="Cash",T50="Cash Adjustments",T50="M-Mkt"), T50,  IF(T50="Comdty",AS50,_xll.BDP(R50&amp;" FIGI", $AO$1)))</f>
        <v>Real Estate Oper/Develop</v>
      </c>
      <c r="AP50" s="13" t="str">
        <f>IF(OR(T50="Cash",T50="Cash Adjustments"), T50, IF(_xll.BDP(R50&amp;" FIGI", $AP$1)="#N/A Field Not Applicable","N",_xll.BDP(R50&amp;" FIGI", $AP$1)))</f>
        <v>N</v>
      </c>
      <c r="AQ50" s="1" t="str">
        <f>IF(OR(T50="Cash",T50="Cash Adjustments"), T50, IF(_xll.BDP(R50&amp;" FIGI", $AQ$1)="#N/A Field Not Applicable"," ",_xll.BDP(R50&amp;" FIGI", $AQ$1)))</f>
        <v xml:space="preserve"> </v>
      </c>
      <c r="AR50" s="1" t="str">
        <f>IF(OR(T50="Cash",T50="Cash Adjustments"), T50, IF(_xll.BDP(R50&amp;" FIGI", $AR$1)="#N/A Field Not Applicable"," ",_xll.BDP(R50&amp;" FIGI", $AR$1)))</f>
        <v>ACTV</v>
      </c>
      <c r="AS50" s="1" t="str">
        <f>VLOOKUP(T50,'SFC Classifcation'!$F$2:$H$7,3,0)</f>
        <v>Corporate</v>
      </c>
      <c r="AT50" s="22" t="str">
        <f t="shared" si="0"/>
        <v>Financial</v>
      </c>
      <c r="AU50" s="1" t="str">
        <f t="shared" si="4"/>
        <v>Non-Investment Grade</v>
      </c>
      <c r="AV50" s="1" t="str">
        <f>IF(OR(T50="Cash",T50="Cash Adjustments"),T50,VLOOKUP(AL50,'SFC Classifcation'!$A:$C,3,0))</f>
        <v>China</v>
      </c>
      <c r="AW50" s="22" t="str">
        <f t="shared" si="5"/>
        <v>High</v>
      </c>
      <c r="AX50" s="22" t="str">
        <f t="shared" si="6"/>
        <v>High</v>
      </c>
      <c r="AY50" s="45" t="str">
        <f>IF(OR(T50="Cash",T50="Cash Adjustments"), T50, _xll.BDP(R50&amp;" FIGI", $AY$1))</f>
        <v>Real Estate</v>
      </c>
      <c r="AZ50" s="45" t="str">
        <f>IF(OR(T50="Cash",T50="Cash Adjustments"), T50, _xll.BDP(R50&amp;" FIGI", $AZ$1))</f>
        <v>FINANCIAL</v>
      </c>
      <c r="BA50" s="45" t="str">
        <f>IF(OR(T50="Cash",T50="Cash Adjustments"), T50, _xll.BDP(R50&amp;" FIGI", $BA$1))</f>
        <v>#N/A Field Not Applicable</v>
      </c>
      <c r="BB50" s="16">
        <f>IF(OR(AS50="Government",AS50="Corporate"),(AK50*AB50/'SFC Report'!$C$20),"")</f>
        <v>7.8883053855760402E-2</v>
      </c>
      <c r="BC50" s="174" t="str">
        <f>IF(OR(T50="Cash",T50="Cash Adjustments", T50="FX Forward", T50="Repo", T50="Equity", T50="M-Mkt"), "", _xll.BDP(R50&amp;" FIGI", $BC$1))</f>
        <v>1/15/2021</v>
      </c>
      <c r="BD50" s="125">
        <f ca="1">IF(OR(T50="Cash",T50="Cash Adjustments",T50="FX Forward",T50="Repo", T50="Equity", T50="M-Mkt"),"",(BC50-'SFC Report'!$B$13)/365)</f>
        <v>0.71232876712328763</v>
      </c>
      <c r="BE50" s="82" t="str">
        <f t="shared" ca="1" si="9"/>
        <v>0 - 1 yr</v>
      </c>
      <c r="BF50" s="5">
        <f ca="1">IF(BC50="","",BD50*AB50/'SFC Report'!$C$20)</f>
        <v>8.0272383571419591E-3</v>
      </c>
      <c r="BG50" s="14" cm="1">
        <f t="array" ref="BG50">IF(OR(AS50="Corporate",AS50="Government"),_xll.BDP(G50&amp;" ISIN", $BG$1),"")</f>
        <v>0.5930792703915716</v>
      </c>
      <c r="BH50" s="140">
        <f>IF(OR(AS50="Corporate",AS50="Government"),BG50*BN50/'SFC Report'!$C$20,"")</f>
        <v>6.6834148610047748E-3</v>
      </c>
      <c r="BI50" s="140">
        <f>IF(OR(AS50="Corporate",AS50="Government"),_xll.BDP(G50&amp;" ISIN", $BI$1),"")</f>
        <v>6.5775488963156938</v>
      </c>
      <c r="BJ50" s="140">
        <f>IF(OR(AS50="Corporate",AS50="Government"),BI50*AB50/'SFC Report'!$C$20,"")</f>
        <v>7.4122449118138312E-2</v>
      </c>
      <c r="BK50" s="153" t="str">
        <f>IF(OR(T50="Cash",T50="Cash Adjustments"),"-",_xll.BDP(R50&amp;" FIGI",$BK$1))</f>
        <v>XS1893648904</v>
      </c>
      <c r="BL50" s="11" t="str">
        <f>IF(OR(AS50="Cash", AS50="Cash Adjustments"),"-",IF(ISNA(VLOOKUP(BK50,'BBG - VaR Data (Sample, Indus )'!C:N,5,0)),"-",VLOOKUP(BK50,'BBG - VaR Data (Sample, Indus )'!C:N,5,0)))</f>
        <v>-</v>
      </c>
      <c r="BM50" s="11">
        <f>IF(OR(AS50="Cash", AS50="Cash Adjustments"),"-",IF(ISNA(VLOOKUP(BK50,'BBG - Scenarios (Sample View)'!C:Z,14,0)),"-",VLOOKUP(BK50,'BBG - Scenarios (Sample View)'!C:Z,14,0)))</f>
        <v>-1.19</v>
      </c>
      <c r="BN50" s="14">
        <f t="shared" si="7"/>
        <v>6202804.3666150672</v>
      </c>
      <c r="BO50" s="1">
        <f t="shared" si="8"/>
        <v>1.2167724191976174E-2</v>
      </c>
      <c r="BP50" t="str">
        <f>IF(BC50&lt;&gt;0,MaturityBucket(BG50),"")</f>
        <v>0 - 1 yr</v>
      </c>
      <c r="BQ50" s="11" t="str">
        <f>IF(OR(T50="Cash",T50="Cash Adjustments"),T50,VLOOKUP(AL50,'SFC Classifcation'!$A:$C,2,0))</f>
        <v>China</v>
      </c>
      <c r="BR50" s="1" t="e">
        <f>IF(S50="Bond",BH50/'SFC Report'!$B$7,"")</f>
        <v>#VALUE!</v>
      </c>
      <c r="BS50" t="str">
        <f>IF(OR(T50="Cash",T50="Cash Adjustments"),"-",_xll.BDP(R50&amp;" FIGI",$BS$1))</f>
        <v>1/7/2019</v>
      </c>
      <c r="BT50" t="str">
        <f>IF(OR(T50="Cash",T50="Cash Adjustments"),"-",_xll.BDP(R50&amp;" FIGI",$BT$1))</f>
        <v>1/8/2019</v>
      </c>
      <c r="BU50" t="str">
        <f>IF(OR(T50="Cash",T50="Cash Adjustments"),"-",_xll.BDP(R50&amp;" FIGI",$BU$1))</f>
        <v>#N/A N/A</v>
      </c>
    </row>
    <row r="51" spans="1:73">
      <c r="A51" s="254" t="s">
        <v>15</v>
      </c>
      <c r="B51" s="254" t="s">
        <v>25</v>
      </c>
      <c r="C51" s="254" t="s">
        <v>46</v>
      </c>
      <c r="D51" s="254" t="s">
        <v>22</v>
      </c>
      <c r="E51" s="254"/>
      <c r="F51" s="254" t="s">
        <v>1205</v>
      </c>
      <c r="G51" s="254" t="s">
        <v>1206</v>
      </c>
      <c r="H51" s="270">
        <v>2500000</v>
      </c>
      <c r="I51" s="270">
        <v>100.081</v>
      </c>
      <c r="J51" s="270">
        <v>2496425</v>
      </c>
      <c r="K51" s="270">
        <v>19454889.670000002</v>
      </c>
      <c r="L51" s="270">
        <v>-63695.519999999997</v>
      </c>
      <c r="M51" s="270">
        <v>97550.26</v>
      </c>
      <c r="N51" s="270">
        <v>19391194.149999999</v>
      </c>
      <c r="O51" s="255">
        <v>4.3E-3</v>
      </c>
      <c r="P51" s="1"/>
      <c r="Q51" s="1" t="str">
        <f t="shared" si="2"/>
        <v>Investments</v>
      </c>
      <c r="R51" s="1" t="str">
        <f>_xll.BDP(G51&amp;" ISIN",$R$1)</f>
        <v>BBG00RYGHZS1</v>
      </c>
      <c r="S51" s="1" t="str">
        <f>IF(Q51="Cash",Q51,IF(OR(Q51="Receivable Investments",Q51="Payable Investments"),"Cash Adjustments",_xll.BDP(R51&amp;" FIGI",$S$1)))</f>
        <v>BOND</v>
      </c>
      <c r="T51" s="1" t="str">
        <f>IF(Q51="Cash",Q51,IF(OR(Q51="Receivable Investments",Q51="Payable Investments"),"Cash Adjustments",VLOOKUP(R51,LQA!E:S,3,0)))</f>
        <v>Corp</v>
      </c>
      <c r="U51" s="1" t="str">
        <f>IF(Q51="Cash",Q51,IF(OR(Q51="Receivable Investments",Q51="Payable Investments"),"Cash Adjustments",_xll.BDP(R51&amp;" FIGI",$U$1)))</f>
        <v>#N/A Field Not Applicable</v>
      </c>
      <c r="V51" s="10">
        <f>IF(OR(Q51="Cash",Q51="Receivable Investments",Q51="Payable Investments"),0,IF(Q51="Investments",VLOOKUP(R51,LQA!E:Q,12,0),"Not Covered"))</f>
        <v>0.3</v>
      </c>
      <c r="W51" s="76">
        <f>IF(OR(Q51="Cash",Q51="Receivable Investments",Q51="Payable Investments"),0,IF(Q51="Investments",VLOOKUP(R51,LQA!E:Q,9,0),"Not Covered"))</f>
        <v>1.1516E-2</v>
      </c>
      <c r="X51" s="13" t="str">
        <f>IF(OR(H51=0,T51="Comdty"),"High",IF(V51&lt;='Liquidity Bucket'!$A$4,'Liquidity Bucket'!$I$4,IF(V51&lt;='Liquidity Bucket'!$A$5,'Liquidity Bucket'!$I$5,IF(V51&lt;='Liquidity Bucket'!$A$6,'Liquidity Bucket'!$I$6,IF(V51='Liquidity Bucket'!$A$8,'Liquidity Bucket'!$I$8,'Liquidity Bucket'!$I$7)))))</f>
        <v>High</v>
      </c>
      <c r="Y51" s="153">
        <f>IF(OR(Q51="Cash",Q51="Receivable Investments",Q51="Payable Investments"),0,IF(Q51="Investments",VLOOKUP(R51,'LQA Stress'!E:Q,12,0),"Not Covered"))</f>
        <v>1</v>
      </c>
      <c r="Z51" s="75">
        <f>IF(OR(Q51="Cash",Q51="Receivable Investments",Q51="Payable Investments"),0,IF(Q51="Investments",VLOOKUP(R51,'LQA Stress'!E:Q,9,0),"Not Covered"))</f>
        <v>3.0734000000000001E-2</v>
      </c>
      <c r="AA51" s="13" t="str">
        <f>IF(T51="Comdty","High",IF(Y51&lt;='Liquidity Bucket'!$A$4,'Liquidity Bucket'!$I$4,IF(Y51&lt;='Liquidity Bucket'!$A$5,'Liquidity Bucket'!$I$5,IF(Y51&lt;='Liquidity Bucket'!$A$6,'Liquidity Bucket'!$I$6,IF(Y51='Liquidity Bucket'!$A$8,'Liquidity Bucket'!$I$8,'Liquidity Bucket'!$I$7)))))</f>
        <v>High</v>
      </c>
      <c r="AB51" s="14">
        <f>(N51+M51)/'FX Rates'!$C$5</f>
        <v>2514027.916666667</v>
      </c>
      <c r="AC51" s="15" t="str">
        <f>IF(X51="Not Covered", (H51/_xll.BDP(R51&amp;" FIGI",$AC$1)),"")</f>
        <v/>
      </c>
      <c r="AD51" s="16" t="str">
        <f>IF(X51="Not Covered", _xll.BDP(R51&amp;" FIGI",$AD$1),"")</f>
        <v/>
      </c>
      <c r="AE51" s="16" t="str">
        <f>IF(OR(T51="Corp",T51="Govt"),IF(_xll.BDP(R51&amp;" FIGI",$AE$1)="#N/A N/A","",_xll.BDP(R51&amp;" FIGI",$AE$1)),"")</f>
        <v/>
      </c>
      <c r="AF51" s="1" t="str">
        <f>IF(OR(T51="Corp",T51="Govt"),IF(_xll.BDP(R51&amp;" FIGI",$AF$1)="#N/A N/A","",_xll.BDP(R51&amp;" FIGI",$AF$1)),"")</f>
        <v>Baa1</v>
      </c>
      <c r="AG51" s="16" t="str">
        <f>IF(OR(T51="Corp",T51="Govt"),IF(_xll.BDP(R51&amp;" FIGI",$AG$1)="#N/A N/A","",_xll.BDP(R51&amp;" FIGI",$AG$1)),"")</f>
        <v>A-</v>
      </c>
      <c r="AH51" s="125">
        <f>IF(OR(S51="Cash",S51="M-Mkt"),21,IF(AE51="",0,VLOOKUP(AE51,'Rating Scale'!A:B,2,0)))</f>
        <v>0</v>
      </c>
      <c r="AI51" s="125">
        <f>IF(OR(S51="Cash",S51="M-Mkt"),21,IF(AF51="",0,VLOOKUP(AF51,'Rating Scale'!D:E,2,0)))</f>
        <v>14</v>
      </c>
      <c r="AJ51" s="125">
        <f>IF(OR(S51="Cash",S51="M-Mkt"),21,IF(AG51="",0,VLOOKUP(AG51,'Rating Scale'!G:H,2,0)))</f>
        <v>15</v>
      </c>
      <c r="AK51">
        <f>Rating(AH51,AI51,AJ51)</f>
        <v>14</v>
      </c>
      <c r="AL51" s="1" t="str">
        <f>IF(OR(U51="Cash",U51="Cash Adjustments"),_xll.BDP(G51&amp;" Curncy","Country"),IF(T51="Equity",_xll.BDP(R51&amp;" FIGI","CNTRY_ISSUE_ISO"),_xll.BDP(R51&amp;" FIGI",$AL$1)))</f>
        <v>CN</v>
      </c>
      <c r="AM51" s="126" t="str">
        <f>IF(OR(T51="Cash",T51="Cash Adjustments",T51="M-Mkt"), T51, IF(T51="Comdty",AS51, _xll.BDP(R51&amp;" FIGI", $AM$1)))</f>
        <v>Financial</v>
      </c>
      <c r="AN51" s="126" t="str">
        <f>IF(OR(T51="Cash",T51="Cash Adjustments",T51="M-Mkt"), T51,  IF(T51="Comdty",AS51,_xll.BDP(R51&amp;" FIGI", $AN$1)))</f>
        <v>Real Estate</v>
      </c>
      <c r="AO51" s="126" t="str">
        <f>IF(OR(T51="Cash",T51="Cash Adjustments",T51="M-Mkt"), T51,  IF(T51="Comdty",AS51,_xll.BDP(R51&amp;" FIGI", $AO$1)))</f>
        <v>Real Estate Oper/Develop</v>
      </c>
      <c r="AP51" s="13" t="str">
        <f>IF(OR(T51="Cash",T51="Cash Adjustments"), T51, IF(_xll.BDP(R51&amp;" FIGI", $AP$1)="#N/A Field Not Applicable","N",_xll.BDP(R51&amp;" FIGI", $AP$1)))</f>
        <v>N</v>
      </c>
      <c r="AQ51" s="1" t="str">
        <f>IF(OR(T51="Cash",T51="Cash Adjustments"), T51, IF(_xll.BDP(R51&amp;" FIGI", $AQ$1)="#N/A Field Not Applicable"," ",_xll.BDP(R51&amp;" FIGI", $AQ$1)))</f>
        <v xml:space="preserve"> </v>
      </c>
      <c r="AR51" s="1" t="str">
        <f>IF(OR(T51="Cash",T51="Cash Adjustments"), T51, IF(_xll.BDP(R51&amp;" FIGI", $AR$1)="#N/A Field Not Applicable"," ",_xll.BDP(R51&amp;" FIGI", $AR$1)))</f>
        <v>ACTV</v>
      </c>
      <c r="AS51" s="1" t="str">
        <f>VLOOKUP(T51,'SFC Classifcation'!$F$2:$H$7,3,0)</f>
        <v>Corporate</v>
      </c>
      <c r="AT51" s="22" t="str">
        <f t="shared" si="0"/>
        <v>Financial</v>
      </c>
      <c r="AU51" s="1" t="str">
        <f t="shared" si="4"/>
        <v>Investment Grade</v>
      </c>
      <c r="AV51" s="1" t="str">
        <f>IF(OR(T51="Cash",T51="Cash Adjustments"),T51,VLOOKUP(AL51,'SFC Classifcation'!$A:$C,3,0))</f>
        <v>China</v>
      </c>
      <c r="AW51" s="22" t="str">
        <f t="shared" si="5"/>
        <v>High</v>
      </c>
      <c r="AX51" s="22" t="str">
        <f t="shared" si="6"/>
        <v>High</v>
      </c>
      <c r="AY51" s="45" t="str">
        <f>IF(OR(T51="Cash",T51="Cash Adjustments"), T51, _xll.BDP(R51&amp;" FIGI", $AY$1))</f>
        <v>#N/A Field Not Applicable</v>
      </c>
      <c r="AZ51" s="45" t="str">
        <f>IF(OR(T51="Cash",T51="Cash Adjustments"), T51, _xll.BDP(R51&amp;" FIGI", $AZ$1))</f>
        <v>SPECIAL PURPOSE</v>
      </c>
      <c r="BA51" s="45" t="str">
        <f>IF(OR(T51="Cash",T51="Cash Adjustments"), T51, _xll.BDP(R51&amp;" FIGI", $BA$1))</f>
        <v>#N/A Field Not Applicable</v>
      </c>
      <c r="BB51" s="16">
        <f>IF(OR(AS51="Government",AS51="Corporate"),(AK51*AB51/'SFC Report'!$C$20),"")</f>
        <v>6.394339973469898E-2</v>
      </c>
      <c r="BC51" s="174" t="str">
        <f>IF(OR(T51="Cash",T51="Cash Adjustments", T51="FX Forward", T51="Repo", T51="Equity", T51="M-Mkt"), "", _xll.BDP(R51&amp;" FIGI", $BC$1))</f>
        <v>3/2/2035</v>
      </c>
      <c r="BD51" s="125">
        <f ca="1">IF(OR(T51="Cash",T51="Cash Adjustments",T51="FX Forward",T51="Repo", T51="Equity", T51="M-Mkt"),"",(BC51-'SFC Report'!$B$13)/365)</f>
        <v>14.846575342465753</v>
      </c>
      <c r="BE51" s="82" t="str">
        <f t="shared" ca="1" si="9"/>
        <v>10 yrs or Above</v>
      </c>
      <c r="BF51" s="5">
        <f ca="1">IF(BC51="","",BD51*AB51/'SFC Report'!$C$20)</f>
        <v>6.781003584390094E-2</v>
      </c>
      <c r="BG51" s="14" cm="1">
        <f t="array" ref="BG51">IF(OR(AS51="Corporate",AS51="Government"),_xll.BDP(G51&amp;" ISIN", $BG$1),"")</f>
        <v>11.68301741250262</v>
      </c>
      <c r="BH51" s="140">
        <f>IF(OR(AS51="Corporate",AS51="Government"),BG51*BN51/'SFC Report'!$C$20,"")</f>
        <v>5.3360846608221692E-2</v>
      </c>
      <c r="BI51" s="140">
        <f>IF(OR(AS51="Corporate",AS51="Government"),_xll.BDP(G51&amp;" ISIN", $BI$1),"")</f>
        <v>3.07443457997134</v>
      </c>
      <c r="BJ51" s="140">
        <f>IF(OR(AS51="Corporate",AS51="Government"),BI51*AB51/'SFC Report'!$C$20,"")</f>
        <v>1.404212852180634E-2</v>
      </c>
      <c r="BK51" s="153" t="str">
        <f>IF(OR(T51="Cash",T51="Cash Adjustments"),"-",_xll.BDP(R51&amp;" FIGI",$BK$1))</f>
        <v>XS2125715800</v>
      </c>
      <c r="BL51" s="11" t="str">
        <f>IF(OR(AS51="Cash", AS51="Cash Adjustments"),"-",IF(ISNA(VLOOKUP(BK51,'BBG - VaR Data (Sample, Indus )'!C:N,5,0)),"-",VLOOKUP(BK51,'BBG - VaR Data (Sample, Indus )'!C:N,5,0)))</f>
        <v>-</v>
      </c>
      <c r="BM51" s="11">
        <f>IF(OR(AS51="Cash", AS51="Cash Adjustments"),"-",IF(ISNA(VLOOKUP(BK51,'BBG - Scenarios (Sample View)'!C:Z,14,0)),"-",VLOOKUP(BK51,'BBG - Scenarios (Sample View)'!C:Z,14,0)))</f>
        <v>-8.6199999999999992</v>
      </c>
      <c r="BN51" s="14">
        <f t="shared" si="7"/>
        <v>2514027.916666667</v>
      </c>
      <c r="BO51" s="1">
        <f t="shared" si="8"/>
        <v>4.9316400281090491E-3</v>
      </c>
      <c r="BP51" t="str">
        <f>IF(BC51&lt;&gt;0,MaturityBucket(BG51),"")</f>
        <v>10 yrs or Above</v>
      </c>
      <c r="BQ51" s="11" t="str">
        <f>IF(OR(T51="Cash",T51="Cash Adjustments"),T51,VLOOKUP(AL51,'SFC Classifcation'!$A:$C,2,0))</f>
        <v>China</v>
      </c>
      <c r="BR51" s="1" t="e">
        <f>IF(S51="Bond",BH51/'SFC Report'!$B$7,"")</f>
        <v>#VALUE!</v>
      </c>
      <c r="BS51" t="str">
        <f>IF(OR(T51="Cash",T51="Cash Adjustments"),"-",_xll.BDP(R51&amp;" FIGI",$BS$1))</f>
        <v>#N/A N/A</v>
      </c>
      <c r="BT51" t="str">
        <f>IF(OR(T51="Cash",T51="Cash Adjustments"),"-",_xll.BDP(R51&amp;" FIGI",$BT$1))</f>
        <v>2/24/2020</v>
      </c>
      <c r="BU51" t="str">
        <f>IF(OR(T51="Cash",T51="Cash Adjustments"),"-",_xll.BDP(R51&amp;" FIGI",$BU$1))</f>
        <v>2/24/2020</v>
      </c>
    </row>
    <row r="52" spans="1:73">
      <c r="A52" s="254" t="s">
        <v>15</v>
      </c>
      <c r="B52" s="254" t="s">
        <v>25</v>
      </c>
      <c r="C52" s="254" t="s">
        <v>46</v>
      </c>
      <c r="D52" s="254" t="s">
        <v>22</v>
      </c>
      <c r="E52" s="254"/>
      <c r="F52" s="254" t="s">
        <v>932</v>
      </c>
      <c r="G52" s="254" t="s">
        <v>933</v>
      </c>
      <c r="H52" s="270">
        <v>6000000</v>
      </c>
      <c r="I52" s="270">
        <v>91.802000000000007</v>
      </c>
      <c r="J52" s="270">
        <v>6000000</v>
      </c>
      <c r="K52" s="270">
        <v>46795800</v>
      </c>
      <c r="L52" s="270">
        <v>-4106768.38</v>
      </c>
      <c r="M52" s="270">
        <v>773082.45</v>
      </c>
      <c r="N52" s="270">
        <v>42689031.619999997</v>
      </c>
      <c r="O52" s="255">
        <v>9.4000000000000004E-3</v>
      </c>
      <c r="P52" s="1"/>
      <c r="Q52" s="1" t="str">
        <f t="shared" si="2"/>
        <v>Investments</v>
      </c>
      <c r="R52" s="1" t="str">
        <f>_xll.BDP(G52&amp;" ISIN",$R$1)</f>
        <v>BBG00PMFP1T5</v>
      </c>
      <c r="S52" s="1" t="str">
        <f>IF(Q52="Cash",Q52,IF(OR(Q52="Receivable Investments",Q52="Payable Investments"),"Cash Adjustments",_xll.BDP(R52&amp;" FIGI",$S$1)))</f>
        <v>BOND</v>
      </c>
      <c r="T52" s="1" t="str">
        <f>IF(Q52="Cash",Q52,IF(OR(Q52="Receivable Investments",Q52="Payable Investments"),"Cash Adjustments",VLOOKUP(R52,LQA!E:S,3,0)))</f>
        <v>Corp</v>
      </c>
      <c r="U52" s="1" t="str">
        <f>IF(Q52="Cash",Q52,IF(OR(Q52="Receivable Investments",Q52="Payable Investments"),"Cash Adjustments",_xll.BDP(R52&amp;" FIGI",$U$1)))</f>
        <v>#N/A Field Not Applicable</v>
      </c>
      <c r="V52" s="10">
        <f>IF(OR(Q52="Cash",Q52="Receivable Investments",Q52="Payable Investments"),0,IF(Q52="Investments",VLOOKUP(R52,LQA!E:Q,12,0),"Not Covered"))</f>
        <v>1.5</v>
      </c>
      <c r="W52" s="76">
        <f>IF(OR(Q52="Cash",Q52="Receivable Investments",Q52="Payable Investments"),0,IF(Q52="Investments",VLOOKUP(R52,LQA!E:Q,9,0),"Not Covered"))</f>
        <v>3.9120000000000002E-2</v>
      </c>
      <c r="X52" s="13" t="str">
        <f>IF(OR(H52=0,T52="Comdty"),"High",IF(V52&lt;='Liquidity Bucket'!$A$4,'Liquidity Bucket'!$I$4,IF(V52&lt;='Liquidity Bucket'!$A$5,'Liquidity Bucket'!$I$5,IF(V52&lt;='Liquidity Bucket'!$A$6,'Liquidity Bucket'!$I$6,IF(V52='Liquidity Bucket'!$A$8,'Liquidity Bucket'!$I$8,'Liquidity Bucket'!$I$7)))))</f>
        <v>High</v>
      </c>
      <c r="Y52" s="153">
        <f>IF(OR(Q52="Cash",Q52="Receivable Investments",Q52="Payable Investments"),0,IF(Q52="Investments",VLOOKUP(R52,'LQA Stress'!E:Q,12,0),"Not Covered"))</f>
        <v>2</v>
      </c>
      <c r="Z52" s="75">
        <f>IF(OR(Q52="Cash",Q52="Receivable Investments",Q52="Payable Investments"),0,IF(Q52="Investments",VLOOKUP(R52,'LQA Stress'!E:Q,9,0),"Not Covered"))</f>
        <v>9.3880000000000005E-2</v>
      </c>
      <c r="AA52" s="13" t="str">
        <f>IF(T52="Comdty","High",IF(Y52&lt;='Liquidity Bucket'!$A$4,'Liquidity Bucket'!$I$4,IF(Y52&lt;='Liquidity Bucket'!$A$5,'Liquidity Bucket'!$I$5,IF(Y52&lt;='Liquidity Bucket'!$A$6,'Liquidity Bucket'!$I$6,IF(Y52='Liquidity Bucket'!$A$8,'Liquidity Bucket'!$I$8,'Liquidity Bucket'!$I$7)))))</f>
        <v>High</v>
      </c>
      <c r="AB52" s="14">
        <f>(N52+M52)/'FX Rates'!$C$5</f>
        <v>5606567.8624871001</v>
      </c>
      <c r="AC52" s="15" t="str">
        <f>IF(X52="Not Covered", (H52/_xll.BDP(R52&amp;" FIGI",$AC$1)),"")</f>
        <v/>
      </c>
      <c r="AD52" s="16" t="str">
        <f>IF(X52="Not Covered", _xll.BDP(R52&amp;" FIGI",$AD$1),"")</f>
        <v/>
      </c>
      <c r="AE52" s="16" t="str">
        <f>IF(OR(T52="Corp",T52="Govt"),IF(_xll.BDP(R52&amp;" FIGI",$AE$1)="#N/A N/A","",_xll.BDP(R52&amp;" FIGI",$AE$1)),"")</f>
        <v/>
      </c>
      <c r="AF52" s="1" t="str">
        <f>IF(OR(T52="Corp",T52="Govt"),IF(_xll.BDP(R52&amp;" FIGI",$AF$1)="#N/A N/A","",_xll.BDP(R52&amp;" FIGI",$AF$1)),"")</f>
        <v>Ba2</v>
      </c>
      <c r="AG52" s="16" t="str">
        <f>IF(OR(T52="Corp",T52="Govt"),IF(_xll.BDP(R52&amp;" FIGI",$AG$1)="#N/A N/A","",_xll.BDP(R52&amp;" FIGI",$AG$1)),"")</f>
        <v/>
      </c>
      <c r="AH52" s="125">
        <f>IF(OR(S52="Cash",S52="M-Mkt"),21,IF(AE52="",0,VLOOKUP(AE52,'Rating Scale'!A:B,2,0)))</f>
        <v>0</v>
      </c>
      <c r="AI52" s="125">
        <f>IF(OR(S52="Cash",S52="M-Mkt"),21,IF(AF52="",0,VLOOKUP(AF52,'Rating Scale'!D:E,2,0)))</f>
        <v>10</v>
      </c>
      <c r="AJ52" s="125">
        <f>IF(OR(S52="Cash",S52="M-Mkt"),21,IF(AG52="",0,VLOOKUP(AG52,'Rating Scale'!G:H,2,0)))</f>
        <v>0</v>
      </c>
      <c r="AK52">
        <f t="shared" si="10"/>
        <v>10</v>
      </c>
      <c r="AL52" s="1" t="str">
        <f>IF(OR(U52="Cash",U52="Cash Adjustments"),_xll.BDP(G52&amp;" Curncy","Country"),IF(T52="Equity",_xll.BDP(R52&amp;" FIGI","CNTRY_ISSUE_ISO"),_xll.BDP(R52&amp;" FIGI",$AL$1)))</f>
        <v>CN</v>
      </c>
      <c r="AM52" s="126" t="str">
        <f>IF(OR(T52="Cash",T52="Cash Adjustments",T52="M-Mkt"), T52, IF(T52="Comdty",AS52, _xll.BDP(R52&amp;" FIGI", $AM$1)))</f>
        <v>Financial</v>
      </c>
      <c r="AN52" s="126" t="str">
        <f>IF(OR(T52="Cash",T52="Cash Adjustments",T52="M-Mkt"), T52,  IF(T52="Comdty",AS52,_xll.BDP(R52&amp;" FIGI", $AN$1)))</f>
        <v>Banks</v>
      </c>
      <c r="AO52" s="126" t="str">
        <f>IF(OR(T52="Cash",T52="Cash Adjustments",T52="M-Mkt"), T52,  IF(T52="Comdty",AS52,_xll.BDP(R52&amp;" FIGI", $AO$1)))</f>
        <v>Commer Banks Non-US</v>
      </c>
      <c r="AP52" s="13" t="str">
        <f>IF(OR(T52="Cash",T52="Cash Adjustments"), T52, IF(_xll.BDP(R52&amp;" FIGI", $AP$1)="#N/A Field Not Applicable","N",_xll.BDP(R52&amp;" FIGI", $AP$1)))</f>
        <v>N</v>
      </c>
      <c r="AQ52" s="1" t="str">
        <f>IF(OR(T52="Cash",T52="Cash Adjustments"), T52, IF(_xll.BDP(R52&amp;" FIGI", $AQ$1)="#N/A Field Not Applicable"," ",_xll.BDP(R52&amp;" FIGI", $AQ$1)))</f>
        <v xml:space="preserve"> </v>
      </c>
      <c r="AR52" s="1" t="str">
        <f>IF(OR(T52="Cash",T52="Cash Adjustments"), T52, IF(_xll.BDP(R52&amp;" FIGI", $AR$1)="#N/A Field Not Applicable"," ",_xll.BDP(R52&amp;" FIGI", $AR$1)))</f>
        <v>ACTV</v>
      </c>
      <c r="AS52" s="1" t="str">
        <f>VLOOKUP(T52,'SFC Classifcation'!$F$2:$H$7,3,0)</f>
        <v>Corporate</v>
      </c>
      <c r="AT52" s="22" t="str">
        <f t="shared" si="0"/>
        <v>Financial</v>
      </c>
      <c r="AU52" s="1" t="str">
        <f t="shared" si="4"/>
        <v>Non-Investment Grade</v>
      </c>
      <c r="AV52" s="1" t="str">
        <f>IF(OR(T52="Cash",T52="Cash Adjustments"),T52,VLOOKUP(AL52,'SFC Classifcation'!$A:$C,3,0))</f>
        <v>China</v>
      </c>
      <c r="AW52" s="22" t="str">
        <f t="shared" si="5"/>
        <v>High</v>
      </c>
      <c r="AX52" s="22" t="str">
        <f t="shared" si="6"/>
        <v>High</v>
      </c>
      <c r="AY52" s="45" t="str">
        <f>IF(OR(T52="Cash",T52="Cash Adjustments"), T52, _xll.BDP(R52&amp;" FIGI", $AY$1))</f>
        <v>Financials</v>
      </c>
      <c r="AZ52" s="45" t="str">
        <f>IF(OR(T52="Cash",T52="Cash Adjustments"), T52, _xll.BDP(R52&amp;" FIGI", $AZ$1))</f>
        <v>BANK</v>
      </c>
      <c r="BA52" s="45" t="str">
        <f>IF(OR(T52="Cash",T52="Cash Adjustments"), T52, _xll.BDP(R52&amp;" FIGI", $BA$1))</f>
        <v>#N/A Field Not Applicable</v>
      </c>
      <c r="BB52" s="16">
        <f>IF(OR(AS52="Government",AS52="Corporate"),(AK52*AB52/'SFC Report'!$C$20),"")</f>
        <v>0.10185788982409047</v>
      </c>
      <c r="BC52" s="174" t="str">
        <f>IF(OR(T52="Cash",T52="Cash Adjustments", T52="FX Forward", T52="Repo", T52="Equity", T52="M-Mkt"), "", _xll.BDP(R52&amp;" FIGI", $BC$1))</f>
        <v>1/15/2169</v>
      </c>
      <c r="BD52" s="125">
        <f ca="1">IF(OR(T52="Cash",T52="Cash Adjustments",T52="FX Forward",T52="Repo", T52="Equity", T52="M-Mkt"),"",(BC52-'SFC Report'!$B$13)/365)</f>
        <v>148.81095890410958</v>
      </c>
      <c r="BE52" s="82" t="str">
        <f t="shared" ca="1" si="9"/>
        <v>10 yrs or Above</v>
      </c>
      <c r="BF52" s="5">
        <f ca="1">IF(BC52="","",BD52*AB52/'SFC Report'!$C$20)</f>
        <v>1.5157570256672048</v>
      </c>
      <c r="BG52" s="14" cm="1">
        <f t="array" ref="BG52">IF(OR(AS52="Corporate",AS52="Government"),_xll.BDP(G52&amp;" ISIN", $BG$1),"")</f>
        <v>3.5034069726911445</v>
      </c>
      <c r="BH52" s="140">
        <f>IF(OR(AS52="Corporate",AS52="Government"),BG52*BN52/'SFC Report'!$C$20,"")</f>
        <v>3.5684964143332498E-2</v>
      </c>
      <c r="BI52" s="140">
        <f>IF(OR(AS52="Corporate",AS52="Government"),_xll.BDP(G52&amp;" ISIN", $BI$1),"")</f>
        <v>4.8308907376867216</v>
      </c>
      <c r="BJ52" s="140">
        <f>IF(OR(AS52="Corporate",AS52="Government"),BI52*AB52/'SFC Report'!$C$20,"")</f>
        <v>4.9206433651151321E-2</v>
      </c>
      <c r="BK52" s="153" t="str">
        <f>IF(OR(T52="Cash",T52="Cash Adjustments"),"-",_xll.BDP(R52&amp;" FIGI",$BK$1))</f>
        <v>XS2020061326</v>
      </c>
      <c r="BL52" s="11" t="str">
        <f>IF(OR(AS52="Cash", AS52="Cash Adjustments"),"-",IF(ISNA(VLOOKUP(BK52,'BBG - VaR Data (Sample, Indus )'!C:N,5,0)),"-",VLOOKUP(BK52,'BBG - VaR Data (Sample, Indus )'!C:N,5,0)))</f>
        <v>-</v>
      </c>
      <c r="BM52" s="11">
        <f>IF(OR(AS52="Cash", AS52="Cash Adjustments"),"-",IF(ISNA(VLOOKUP(BK52,'BBG - Scenarios (Sample View)'!C:Z,14,0)),"-",VLOOKUP(BK52,'BBG - Scenarios (Sample View)'!C:Z,14,0)))</f>
        <v>-10.9</v>
      </c>
      <c r="BN52" s="14">
        <f t="shared" si="7"/>
        <v>5606567.8624871001</v>
      </c>
      <c r="BO52" s="1">
        <f t="shared" si="8"/>
        <v>1.0998117525922927E-2</v>
      </c>
      <c r="BP52" t="str">
        <f>IF(BC52&lt;&gt;0,MaturityBucket(BG52),"")</f>
        <v>3 - 5 yrs</v>
      </c>
      <c r="BQ52" s="11" t="str">
        <f>IF(OR(T52="Cash",T52="Cash Adjustments"),T52,VLOOKUP(AL52,'SFC Classifcation'!$A:$C,2,0))</f>
        <v>China</v>
      </c>
      <c r="BR52" s="1" t="e">
        <f>IF(S52="Bond",BH52/'SFC Report'!$B$7,"")</f>
        <v>#VALUE!</v>
      </c>
      <c r="BS52" t="str">
        <f>IF(OR(T52="Cash",T52="Cash Adjustments"),"-",_xll.BDP(R52&amp;" FIGI",$BS$1))</f>
        <v>#N/A N/A</v>
      </c>
      <c r="BT52" t="str">
        <f>IF(OR(T52="Cash",T52="Cash Adjustments"),"-",_xll.BDP(R52&amp;" FIGI",$BT$1))</f>
        <v>7/2/2019</v>
      </c>
      <c r="BU52" t="str">
        <f>IF(OR(T52="Cash",T52="Cash Adjustments"),"-",_xll.BDP(R52&amp;" FIGI",$BU$1))</f>
        <v>#N/A N/A</v>
      </c>
    </row>
    <row r="53" spans="1:73">
      <c r="A53" s="254" t="s">
        <v>15</v>
      </c>
      <c r="B53" s="254" t="s">
        <v>25</v>
      </c>
      <c r="C53" s="254" t="s">
        <v>46</v>
      </c>
      <c r="D53" s="254" t="s">
        <v>22</v>
      </c>
      <c r="E53" s="254"/>
      <c r="F53" s="254" t="s">
        <v>902</v>
      </c>
      <c r="G53" s="254" t="s">
        <v>877</v>
      </c>
      <c r="H53" s="270">
        <v>4000000</v>
      </c>
      <c r="I53" s="270">
        <v>100.072</v>
      </c>
      <c r="J53" s="270">
        <v>4029622.22</v>
      </c>
      <c r="K53" s="270">
        <v>31532346.120000001</v>
      </c>
      <c r="L53" s="270">
        <v>-509225.54</v>
      </c>
      <c r="M53" s="270">
        <v>481373.54</v>
      </c>
      <c r="N53" s="270">
        <v>31023120.579999998</v>
      </c>
      <c r="O53" s="255">
        <v>6.7999999999999996E-3</v>
      </c>
      <c r="P53" s="1"/>
      <c r="Q53" s="1" t="str">
        <f t="shared" si="2"/>
        <v>Investments</v>
      </c>
      <c r="R53" s="1" t="str">
        <f>_xll.BDP(G53&amp;" ISIN",$R$1)</f>
        <v>BBG00PDL9DV1</v>
      </c>
      <c r="S53" s="1" t="str">
        <f>IF(Q53="Cash",Q53,IF(OR(Q53="Receivable Investments",Q53="Payable Investments"),"Cash Adjustments",_xll.BDP(R53&amp;" FIGI",$S$1)))</f>
        <v>BOND</v>
      </c>
      <c r="T53" s="1" t="str">
        <f>IF(Q53="Cash",Q53,IF(OR(Q53="Receivable Investments",Q53="Payable Investments"),"Cash Adjustments",VLOOKUP(R53,LQA!E:S,3,0)))</f>
        <v>Corp</v>
      </c>
      <c r="U53" s="1" t="str">
        <f>IF(Q53="Cash",Q53,IF(OR(Q53="Receivable Investments",Q53="Payable Investments"),"Cash Adjustments",_xll.BDP(R53&amp;" FIGI",$U$1)))</f>
        <v>#N/A Field Not Applicable</v>
      </c>
      <c r="V53" s="10">
        <f>IF(OR(Q53="Cash",Q53="Receivable Investments",Q53="Payable Investments"),0,IF(Q53="Investments",VLOOKUP(R53,LQA!E:Q,12,0),"Not Covered"))</f>
        <v>0.4</v>
      </c>
      <c r="W53" s="76">
        <f>IF(OR(Q53="Cash",Q53="Receivable Investments",Q53="Payable Investments"),0,IF(Q53="Investments",VLOOKUP(R53,LQA!E:Q,9,0),"Not Covered"))</f>
        <v>8.1130000000000004E-3</v>
      </c>
      <c r="X53" s="13" t="str">
        <f>IF(OR(H53=0,T53="Comdty"),"High",IF(V53&lt;='Liquidity Bucket'!$A$4,'Liquidity Bucket'!$I$4,IF(V53&lt;='Liquidity Bucket'!$A$5,'Liquidity Bucket'!$I$5,IF(V53&lt;='Liquidity Bucket'!$A$6,'Liquidity Bucket'!$I$6,IF(V53='Liquidity Bucket'!$A$8,'Liquidity Bucket'!$I$8,'Liquidity Bucket'!$I$7)))))</f>
        <v>High</v>
      </c>
      <c r="Y53" s="153">
        <f>IF(OR(Q53="Cash",Q53="Receivable Investments",Q53="Payable Investments"),0,IF(Q53="Investments",VLOOKUP(R53,'LQA Stress'!E:Q,12,0),"Not Covered"))</f>
        <v>1.1000000000000001</v>
      </c>
      <c r="Z53" s="75">
        <f>IF(OR(Q53="Cash",Q53="Receivable Investments",Q53="Payable Investments"),0,IF(Q53="Investments",VLOOKUP(R53,'LQA Stress'!E:Q,9,0),"Not Covered"))</f>
        <v>2.1579000000000001E-2</v>
      </c>
      <c r="AA53" s="13" t="str">
        <f>IF(T53="Comdty","High",IF(Y53&lt;='Liquidity Bucket'!$A$4,'Liquidity Bucket'!$I$4,IF(Y53&lt;='Liquidity Bucket'!$A$5,'Liquidity Bucket'!$I$5,IF(Y53&lt;='Liquidity Bucket'!$A$6,'Liquidity Bucket'!$I$6,IF(Y53='Liquidity Bucket'!$A$8,'Liquidity Bucket'!$I$8,'Liquidity Bucket'!$I$7)))))</f>
        <v>High</v>
      </c>
      <c r="AB53" s="14">
        <f>(N53+M53)/'FX Rates'!$C$5</f>
        <v>4064047.2291021668</v>
      </c>
      <c r="AC53" s="15" t="str">
        <f>IF(X53="Not Covered", (H53/_xll.BDP(R53&amp;" FIGI",$AC$1)),"")</f>
        <v/>
      </c>
      <c r="AD53" s="16" t="str">
        <f>IF(X53="Not Covered", _xll.BDP(R53&amp;" FIGI",$AD$1),"")</f>
        <v/>
      </c>
      <c r="AE53" s="16" t="str">
        <f>IF(OR(T53="Corp",T53="Govt"),IF(_xll.BDP(R53&amp;" FIGI",$AE$1)="#N/A N/A","",_xll.BDP(R53&amp;" FIGI",$AE$1)),"")</f>
        <v/>
      </c>
      <c r="AF53" s="1" t="str">
        <f>IF(OR(T53="Corp",T53="Govt"),IF(_xll.BDP(R53&amp;" FIGI",$AF$1)="#N/A N/A","",_xll.BDP(R53&amp;" FIGI",$AF$1)),"")</f>
        <v/>
      </c>
      <c r="AG53" s="16" t="str">
        <f>IF(OR(T53="Corp",T53="Govt"),IF(_xll.BDP(R53&amp;" FIGI",$AG$1)="#N/A N/A","",_xll.BDP(R53&amp;" FIGI",$AG$1)),"")</f>
        <v>BBB</v>
      </c>
      <c r="AH53" s="125">
        <f>IF(OR(S53="Cash",S53="M-Mkt"),21,IF(AE53="",0,VLOOKUP(AE53,'Rating Scale'!A:B,2,0)))</f>
        <v>0</v>
      </c>
      <c r="AI53" s="125">
        <f>IF(OR(S53="Cash",S53="M-Mkt"),21,IF(AF53="",0,VLOOKUP(AF53,'Rating Scale'!D:E,2,0)))</f>
        <v>0</v>
      </c>
      <c r="AJ53" s="125">
        <f>IF(OR(S53="Cash",S53="M-Mkt"),21,IF(AG53="",0,VLOOKUP(AG53,'Rating Scale'!G:H,2,0)))</f>
        <v>13</v>
      </c>
      <c r="AK53">
        <f t="shared" si="10"/>
        <v>13</v>
      </c>
      <c r="AL53" s="1" t="str">
        <f>IF(OR(U53="Cash",U53="Cash Adjustments"),_xll.BDP(G53&amp;" Curncy","Country"),IF(T53="Equity",_xll.BDP(R53&amp;" FIGI","CNTRY_ISSUE_ISO"),_xll.BDP(R53&amp;" FIGI",$AL$1)))</f>
        <v>CN</v>
      </c>
      <c r="AM53" s="126" t="str">
        <f>IF(OR(T53="Cash",T53="Cash Adjustments",T53="M-Mkt"), T53, IF(T53="Comdty",AS53, _xll.BDP(R53&amp;" FIGI", $AM$1)))</f>
        <v>Industrial</v>
      </c>
      <c r="AN53" s="126" t="str">
        <f>IF(OR(T53="Cash",T53="Cash Adjustments",T53="M-Mkt"), T53,  IF(T53="Comdty",AS53,_xll.BDP(R53&amp;" FIGI", $AN$1)))</f>
        <v>Engineering&amp;Construction</v>
      </c>
      <c r="AO53" s="126" t="str">
        <f>IF(OR(T53="Cash",T53="Cash Adjustments",T53="M-Mkt"), T53,  IF(T53="Comdty",AS53,_xll.BDP(R53&amp;" FIGI", $AO$1)))</f>
        <v>Building-Heavy Construct</v>
      </c>
      <c r="AP53" s="13" t="str">
        <f>IF(OR(T53="Cash",T53="Cash Adjustments"), T53, IF(_xll.BDP(R53&amp;" FIGI", $AP$1)="#N/A Field Not Applicable","N",_xll.BDP(R53&amp;" FIGI", $AP$1)))</f>
        <v>N</v>
      </c>
      <c r="AQ53" s="1" t="str">
        <f>IF(OR(T53="Cash",T53="Cash Adjustments"), T53, IF(_xll.BDP(R53&amp;" FIGI", $AQ$1)="#N/A Field Not Applicable"," ",_xll.BDP(R53&amp;" FIGI", $AQ$1)))</f>
        <v xml:space="preserve"> </v>
      </c>
      <c r="AR53" s="1" t="str">
        <f>IF(OR(T53="Cash",T53="Cash Adjustments"), T53, IF(_xll.BDP(R53&amp;" FIGI", $AR$1)="#N/A Field Not Applicable"," ",_xll.BDP(R53&amp;" FIGI", $AR$1)))</f>
        <v>ACTV</v>
      </c>
      <c r="AS53" s="1" t="str">
        <f>VLOOKUP(T53,'SFC Classifcation'!$F$2:$H$7,3,0)</f>
        <v>Corporate</v>
      </c>
      <c r="AT53" s="22" t="str">
        <f t="shared" si="0"/>
        <v>Non-Financial</v>
      </c>
      <c r="AU53" s="1" t="str">
        <f t="shared" si="4"/>
        <v>Investment Grade</v>
      </c>
      <c r="AV53" s="1" t="str">
        <f>IF(OR(T53="Cash",T53="Cash Adjustments"),T53,VLOOKUP(AL53,'SFC Classifcation'!$A:$C,3,0))</f>
        <v>China</v>
      </c>
      <c r="AW53" s="22" t="str">
        <f t="shared" si="5"/>
        <v>High</v>
      </c>
      <c r="AX53" s="22" t="str">
        <f t="shared" si="6"/>
        <v>High</v>
      </c>
      <c r="AY53" s="45" t="str">
        <f>IF(OR(T53="Cash",T53="Cash Adjustments"), T53, _xll.BDP(R53&amp;" FIGI", $AY$1))</f>
        <v>#N/A Field Not Applicable</v>
      </c>
      <c r="AZ53" s="45" t="str">
        <f>IF(OR(T53="Cash",T53="Cash Adjustments"), T53, _xll.BDP(R53&amp;" FIGI", $AZ$1))</f>
        <v>SPECIAL PURPOSE</v>
      </c>
      <c r="BA53" s="45" t="str">
        <f>IF(OR(T53="Cash",T53="Cash Adjustments"), T53, _xll.BDP(R53&amp;" FIGI", $BA$1))</f>
        <v>#N/A Field Not Applicable</v>
      </c>
      <c r="BB53" s="16">
        <f>IF(OR(AS53="Government",AS53="Corporate"),(AK53*AB53/'SFC Report'!$C$20),"")</f>
        <v>9.598418686287033E-2</v>
      </c>
      <c r="BC53" s="174" t="str">
        <f>IF(OR(T53="Cash",T53="Cash Adjustments", T53="FX Forward", T53="Repo", T53="Equity", T53="M-Mkt"), "", _xll.BDP(R53&amp;" FIGI", $BC$1))</f>
        <v>12/20/2168</v>
      </c>
      <c r="BD53" s="125">
        <f ca="1">IF(OR(T53="Cash",T53="Cash Adjustments",T53="FX Forward",T53="Repo", T53="Equity", T53="M-Mkt"),"",(BC53-'SFC Report'!$B$13)/365)</f>
        <v>148.73972602739727</v>
      </c>
      <c r="BE53" s="82" t="str">
        <f t="shared" ca="1" si="9"/>
        <v>10 yrs or Above</v>
      </c>
      <c r="BF53" s="5">
        <f ca="1">IF(BC53="","",BD53*AB53/'SFC Report'!$C$20)</f>
        <v>1.0982047428419874</v>
      </c>
      <c r="BG53" s="14" cm="1">
        <f t="array" ref="BG53">IF(OR(AS53="Corporate",AS53="Government"),_xll.BDP(G53&amp;" ISIN", $BG$1),"")</f>
        <v>3.6311355398827501</v>
      </c>
      <c r="BH53" s="140">
        <f>IF(OR(AS53="Corporate",AS53="Government"),BG53*BN53/'SFC Report'!$C$20,"")</f>
        <v>2.6810122475731956E-2</v>
      </c>
      <c r="BI53" s="140">
        <f>IF(OR(AS53="Corporate",AS53="Government"),_xll.BDP(G53&amp;" ISIN", $BI$1),"")</f>
        <v>5.4520881694727255</v>
      </c>
      <c r="BJ53" s="140">
        <f>IF(OR(AS53="Corporate",AS53="Government"),BI53*AB53/'SFC Report'!$C$20,"")</f>
        <v>4.0254942280885747E-2</v>
      </c>
      <c r="BK53" s="153" t="str">
        <f>IF(OR(T53="Cash",T53="Cash Adjustments"),"-",_xll.BDP(R53&amp;" FIGI",$BK$1))</f>
        <v>XS2008565116</v>
      </c>
      <c r="BL53" s="11" t="str">
        <f>IF(OR(AS53="Cash", AS53="Cash Adjustments"),"-",IF(ISNA(VLOOKUP(BK53,'BBG - VaR Data (Sample, Indus )'!C:N,5,0)),"-",VLOOKUP(BK53,'BBG - VaR Data (Sample, Indus )'!C:N,5,0)))</f>
        <v>-</v>
      </c>
      <c r="BM53" s="11">
        <f>IF(OR(AS53="Cash", AS53="Cash Adjustments"),"-",IF(ISNA(VLOOKUP(BK53,'BBG - Scenarios (Sample View)'!C:Z,14,0)),"-",VLOOKUP(BK53,'BBG - Scenarios (Sample View)'!C:Z,14,0)))</f>
        <v>-2.78</v>
      </c>
      <c r="BN53" s="14">
        <f t="shared" si="7"/>
        <v>4064047.2291021668</v>
      </c>
      <c r="BO53" s="1">
        <f t="shared" si="8"/>
        <v>7.9722336646683E-3</v>
      </c>
      <c r="BP53" t="str">
        <f>IF(BC53&lt;&gt;0,MaturityBucket(BG53),"")</f>
        <v>3 - 5 yrs</v>
      </c>
      <c r="BQ53" s="11" t="str">
        <f>IF(OR(T53="Cash",T53="Cash Adjustments"),T53,VLOOKUP(AL53,'SFC Classifcation'!$A:$C,2,0))</f>
        <v>China</v>
      </c>
      <c r="BR53" s="1" t="e">
        <f>IF(S53="Bond",BH53/'SFC Report'!$B$7,"")</f>
        <v>#VALUE!</v>
      </c>
      <c r="BS53" t="str">
        <f>IF(OR(T53="Cash",T53="Cash Adjustments"),"-",_xll.BDP(R53&amp;" FIGI",$BS$1))</f>
        <v>#N/A N/A</v>
      </c>
      <c r="BT53" t="str">
        <f>IF(OR(T53="Cash",T53="Cash Adjustments"),"-",_xll.BDP(R53&amp;" FIGI",$BT$1))</f>
        <v>#N/A N/A</v>
      </c>
      <c r="BU53" t="str">
        <f>IF(OR(T53="Cash",T53="Cash Adjustments"),"-",_xll.BDP(R53&amp;" FIGI",$BU$1))</f>
        <v>9/10/2019</v>
      </c>
    </row>
    <row r="54" spans="1:73">
      <c r="A54" s="254" t="s">
        <v>15</v>
      </c>
      <c r="B54" s="254" t="s">
        <v>25</v>
      </c>
      <c r="C54" s="254" t="s">
        <v>46</v>
      </c>
      <c r="D54" s="254" t="s">
        <v>22</v>
      </c>
      <c r="E54" s="254"/>
      <c r="F54" s="254" t="s">
        <v>58</v>
      </c>
      <c r="G54" s="254" t="s">
        <v>59</v>
      </c>
      <c r="H54" s="270">
        <v>1500000</v>
      </c>
      <c r="I54" s="270">
        <v>102.512</v>
      </c>
      <c r="J54" s="270">
        <v>1491411.43</v>
      </c>
      <c r="K54" s="270">
        <v>11668623.119999999</v>
      </c>
      <c r="L54" s="270">
        <v>248704.42</v>
      </c>
      <c r="M54" s="270">
        <v>284819.84999999998</v>
      </c>
      <c r="N54" s="270">
        <v>11917327.539999999</v>
      </c>
      <c r="O54" s="255">
        <v>2.5999999999999999E-3</v>
      </c>
      <c r="P54" s="1"/>
      <c r="Q54" s="1" t="str">
        <f t="shared" si="2"/>
        <v>Investments</v>
      </c>
      <c r="R54" s="1" t="str">
        <f>_xll.BDP(G54&amp;" ISIN",$R$1)</f>
        <v>BBG00MKJ4690</v>
      </c>
      <c r="S54" s="191" t="s">
        <v>519</v>
      </c>
      <c r="T54" s="1" t="str">
        <f>IF(Q54="Cash",Q54,IF(OR(Q54="Receivable Investments",Q54="Payable Investments"),"Cash Adjustments",VLOOKUP(R54,LQA!E:S,3,0)))</f>
        <v>Corp</v>
      </c>
      <c r="U54" s="1" t="str">
        <f>IF(Q54="Cash",Q54,IF(OR(Q54="Receivable Investments",Q54="Payable Investments"),"Cash Adjustments",_xll.BDP(R54&amp;" FIGI",$U$1)))</f>
        <v>#N/A Field Not Applicable</v>
      </c>
      <c r="V54" s="10">
        <f>IF(OR(Q54="Cash",Q54="Receivable Investments",Q54="Payable Investments"),0,IF(Q54="Investments",VLOOKUP(R54,LQA!E:Q,12,0),"Not Covered"))</f>
        <v>0.4</v>
      </c>
      <c r="W54" s="76">
        <f>IF(OR(Q54="Cash",Q54="Receivable Investments",Q54="Payable Investments"),0,IF(Q54="Investments",VLOOKUP(R54,LQA!E:Q,9,0),"Not Covered"))</f>
        <v>6.156E-3</v>
      </c>
      <c r="X54" s="13" t="str">
        <f>IF(OR(H54=0,T54="Comdty"),"High",IF(V54&lt;='Liquidity Bucket'!$A$4,'Liquidity Bucket'!$I$4,IF(V54&lt;='Liquidity Bucket'!$A$5,'Liquidity Bucket'!$I$5,IF(V54&lt;='Liquidity Bucket'!$A$6,'Liquidity Bucket'!$I$6,IF(V54='Liquidity Bucket'!$A$8,'Liquidity Bucket'!$I$8,'Liquidity Bucket'!$I$7)))))</f>
        <v>High</v>
      </c>
      <c r="Y54" s="153">
        <f>IF(OR(Q54="Cash",Q54="Receivable Investments",Q54="Payable Investments"),0,IF(Q54="Investments",VLOOKUP(R54,'LQA Stress'!E:Q,12,0),"Not Covered"))</f>
        <v>1.7</v>
      </c>
      <c r="Z54" s="75">
        <f>IF(OR(Q54="Cash",Q54="Receivable Investments",Q54="Payable Investments"),0,IF(Q54="Investments",VLOOKUP(R54,'LQA Stress'!E:Q,9,0),"Not Covered"))</f>
        <v>1.5810999999999999E-2</v>
      </c>
      <c r="AA54" s="13" t="str">
        <f>IF(T54="Comdty","High",IF(Y54&lt;='Liquidity Bucket'!$A$4,'Liquidity Bucket'!$I$4,IF(Y54&lt;='Liquidity Bucket'!$A$5,'Liquidity Bucket'!$I$5,IF(Y54&lt;='Liquidity Bucket'!$A$6,'Liquidity Bucket'!$I$6,IF(Y54='Liquidity Bucket'!$A$8,'Liquidity Bucket'!$I$8,'Liquidity Bucket'!$I$7)))))</f>
        <v>High</v>
      </c>
      <c r="AB54" s="14">
        <f>(N54+M54)/'FX Rates'!$C$5</f>
        <v>1574064.4207946334</v>
      </c>
      <c r="AC54" s="15" t="str">
        <f>IF(X54="Not Covered", (H54/_xll.BDP(R54&amp;" FIGI",$AC$1)),"")</f>
        <v/>
      </c>
      <c r="AD54" s="16" t="str">
        <f>IF(X54="Not Covered", _xll.BDP(R54&amp;" FIGI",$AD$1),"")</f>
        <v/>
      </c>
      <c r="AE54" s="16" t="str">
        <f>IF(OR(T54="Corp",T54="Govt"),IF(_xll.BDP(R54&amp;" FIGI",$AE$1)="#N/A N/A","",_xll.BDP(R54&amp;" FIGI",$AE$1)),"")</f>
        <v/>
      </c>
      <c r="AF54" s="1" t="str">
        <f>IF(OR(T54="Corp",T54="Govt"),IF(_xll.BDP(R54&amp;" FIGI",$AF$1)="#N/A N/A","",_xll.BDP(R54&amp;" FIGI",$AF$1)),"")</f>
        <v>Baa2</v>
      </c>
      <c r="AG54" s="16" t="str">
        <f>IF(OR(T54="Corp",T54="Govt"),IF(_xll.BDP(R54&amp;" FIGI",$AG$1)="#N/A N/A","",_xll.BDP(R54&amp;" FIGI",$AG$1)),"")</f>
        <v/>
      </c>
      <c r="AH54" s="125">
        <f>IF(OR(S54="Cash",S54="M-Mkt"),21,IF(AE54="",0,VLOOKUP(AE54,'Rating Scale'!A:B,2,0)))</f>
        <v>0</v>
      </c>
      <c r="AI54" s="125">
        <f>IF(OR(S54="Cash",S54="M-Mkt"),21,IF(AF54="",0,VLOOKUP(AF54,'Rating Scale'!D:E,2,0)))</f>
        <v>13</v>
      </c>
      <c r="AJ54" s="125">
        <f>IF(OR(S54="Cash",S54="M-Mkt"),21,IF(AG54="",0,VLOOKUP(AG54,'Rating Scale'!G:H,2,0)))</f>
        <v>0</v>
      </c>
      <c r="AK54">
        <f t="shared" si="10"/>
        <v>13</v>
      </c>
      <c r="AL54" s="1" t="str">
        <f>IF(OR(U54="Cash",U54="Cash Adjustments"),_xll.BDP(G54&amp;" Curncy","Country"),IF(T54="Equity",_xll.BDP(R54&amp;" FIGI","CNTRY_ISSUE_ISO"),_xll.BDP(R54&amp;" FIGI",$AL$1)))</f>
        <v>CN</v>
      </c>
      <c r="AM54" s="126" t="str">
        <f>IF(OR(T54="Cash",T54="Cash Adjustments",T54="M-Mkt"), T54, IF(T54="Comdty",AS54, _xll.BDP(R54&amp;" FIGI", $AM$1)))</f>
        <v>Industrial</v>
      </c>
      <c r="AN54" s="126" t="str">
        <f>IF(OR(T54="Cash",T54="Cash Adjustments",T54="M-Mkt"), T54,  IF(T54="Comdty",AS54,_xll.BDP(R54&amp;" FIGI", $AN$1)))</f>
        <v>Engineering&amp;Construction</v>
      </c>
      <c r="AO54" s="126" t="str">
        <f>IF(OR(T54="Cash",T54="Cash Adjustments",T54="M-Mkt"), T54,  IF(T54="Comdty",AS54,_xll.BDP(R54&amp;" FIGI", $AO$1)))</f>
        <v>Building&amp;Construct-Misc</v>
      </c>
      <c r="AP54" s="13" t="str">
        <f>IF(OR(T54="Cash",T54="Cash Adjustments"), T54, IF(_xll.BDP(R54&amp;" FIGI", $AP$1)="#N/A Field Not Applicable","N",_xll.BDP(R54&amp;" FIGI", $AP$1)))</f>
        <v>N</v>
      </c>
      <c r="AQ54" s="1" t="str">
        <f>IF(OR(T54="Cash",T54="Cash Adjustments"), T54, IF(_xll.BDP(R54&amp;" FIGI", $AQ$1)="#N/A Field Not Applicable"," ",_xll.BDP(R54&amp;" FIGI", $AQ$1)))</f>
        <v xml:space="preserve"> </v>
      </c>
      <c r="AR54" s="1" t="str">
        <f>IF(OR(T54="Cash",T54="Cash Adjustments"), T54, IF(_xll.BDP(R54&amp;" FIGI", $AR$1)="#N/A Field Not Applicable"," ",_xll.BDP(R54&amp;" FIGI", $AR$1)))</f>
        <v>ACTV</v>
      </c>
      <c r="AS54" s="1" t="str">
        <f>VLOOKUP(T54,'SFC Classifcation'!$F$2:$H$7,3,0)</f>
        <v>Corporate</v>
      </c>
      <c r="AT54" s="22" t="str">
        <f t="shared" si="0"/>
        <v>Non-Financial</v>
      </c>
      <c r="AU54" s="1" t="str">
        <f t="shared" si="4"/>
        <v>Investment Grade</v>
      </c>
      <c r="AV54" s="1" t="str">
        <f>IF(OR(T54="Cash",T54="Cash Adjustments"),T54,VLOOKUP(AL54,'SFC Classifcation'!$A:$C,3,0))</f>
        <v>China</v>
      </c>
      <c r="AW54" s="22" t="str">
        <f t="shared" si="5"/>
        <v>High</v>
      </c>
      <c r="AX54" s="22" t="str">
        <f t="shared" si="6"/>
        <v>High</v>
      </c>
      <c r="AY54" s="45" t="str">
        <f>IF(OR(T54="Cash",T54="Cash Adjustments"), T54, _xll.BDP(R54&amp;" FIGI", $AY$1))</f>
        <v>#N/A Field Not Applicable</v>
      </c>
      <c r="AZ54" s="45" t="str">
        <f>IF(OR(T54="Cash",T54="Cash Adjustments"), T54, _xll.BDP(R54&amp;" FIGI", $AZ$1))</f>
        <v>SPECIAL PURPOSE</v>
      </c>
      <c r="BA54" s="45" t="str">
        <f>IF(OR(T54="Cash",T54="Cash Adjustments"), T54, _xll.BDP(R54&amp;" FIGI", $BA$1))</f>
        <v>#N/A Field Not Applicable</v>
      </c>
      <c r="BB54" s="16">
        <f>IF(OR(AS54="Government",AS54="Corporate"),(AK54*AB54/'SFC Report'!$C$20),"")</f>
        <v>3.7176067349277767E-2</v>
      </c>
      <c r="BC54" s="174" t="str">
        <f>IF(OR(T54="Cash",T54="Cash Adjustments", T54="FX Forward", T54="Repo", T54="Equity", T54="M-Mkt"), "", _xll.BDP(R54&amp;" FIGI", $BC$1))</f>
        <v>6/3/2168</v>
      </c>
      <c r="BD54" s="125">
        <f ca="1">IF(OR(T54="Cash",T54="Cash Adjustments",T54="FX Forward",T54="Repo", T54="Equity", T54="M-Mkt"),"",(BC54-'SFC Report'!$B$13)/365)</f>
        <v>148.1917808219178</v>
      </c>
      <c r="BE54" s="82" t="str">
        <f t="shared" ca="1" si="9"/>
        <v>10 yrs or Above</v>
      </c>
      <c r="BF54" s="5">
        <f ca="1">IF(BC54="","",BD54*AB54/'SFC Report'!$C$20)</f>
        <v>0.42378366341884816</v>
      </c>
      <c r="BG54" s="14" cm="1">
        <f t="array" ref="BG54">IF(OR(AS54="Corporate",AS54="Government"),_xll.BDP(G54&amp;" ISIN", $BG$1),"")</f>
        <v>1.4059766664989095</v>
      </c>
      <c r="BH54" s="140">
        <f>IF(OR(AS54="Corporate",AS54="Government"),BG54*BN54/'SFC Report'!$C$20,"")</f>
        <v>4.0206679419443466E-3</v>
      </c>
      <c r="BI54" s="140">
        <f>IF(OR(AS54="Corporate",AS54="Government"),_xll.BDP(G54&amp;" ISIN", $BI$1),"")</f>
        <v>8.032669110259155</v>
      </c>
      <c r="BJ54" s="140">
        <f>IF(OR(AS54="Corporate",AS54="Government"),BI54*AB54/'SFC Report'!$C$20,"")</f>
        <v>2.2971003679804418E-2</v>
      </c>
      <c r="BK54" s="153" t="str">
        <f>IF(OR(T54="Cash",T54="Cash Adjustments"),"-",_xll.BDP(R54&amp;" FIGI",$BK$1))</f>
        <v>XS1912494538</v>
      </c>
      <c r="BL54" s="11" t="str">
        <f>IF(OR(AS54="Cash", AS54="Cash Adjustments"),"-",IF(ISNA(VLOOKUP(BK54,'BBG - VaR Data (Sample, Indus )'!C:N,5,0)),"-",VLOOKUP(BK54,'BBG - VaR Data (Sample, Indus )'!C:N,5,0)))</f>
        <v>-</v>
      </c>
      <c r="BM54" s="11">
        <f>IF(OR(AS54="Cash", AS54="Cash Adjustments"),"-",IF(ISNA(VLOOKUP(BK54,'BBG - Scenarios (Sample View)'!C:Z,14,0)),"-",VLOOKUP(BK54,'BBG - Scenarios (Sample View)'!C:Z,14,0)))</f>
        <v>-1.2</v>
      </c>
      <c r="BN54" s="14">
        <f t="shared" si="7"/>
        <v>1574064.4207946334</v>
      </c>
      <c r="BO54" s="1">
        <f t="shared" si="8"/>
        <v>3.0877616962605723E-3</v>
      </c>
      <c r="BP54" t="str">
        <f>IF(BC54&lt;&gt;0,MaturityBucket(BG54),"")</f>
        <v>1 - 2 yrs</v>
      </c>
      <c r="BQ54" s="11" t="str">
        <f>IF(OR(T54="Cash",T54="Cash Adjustments"),T54,VLOOKUP(AL54,'SFC Classifcation'!$A:$C,2,0))</f>
        <v>China</v>
      </c>
      <c r="BR54" s="1" t="e">
        <f>IF(S54="Bond",BH54/'SFC Report'!$B$7,"")</f>
        <v>#VALUE!</v>
      </c>
      <c r="BS54" t="str">
        <f>IF(OR(T54="Cash",T54="Cash Adjustments"),"-",_xll.BDP(R54&amp;" FIGI",$BS$1))</f>
        <v>#N/A N/A</v>
      </c>
      <c r="BT54" t="str">
        <f>IF(OR(T54="Cash",T54="Cash Adjustments"),"-",_xll.BDP(R54&amp;" FIGI",$BT$1))</f>
        <v>11/16/2018</v>
      </c>
      <c r="BU54" t="str">
        <f>IF(OR(T54="Cash",T54="Cash Adjustments"),"-",_xll.BDP(R54&amp;" FIGI",$BU$1))</f>
        <v>#N/A N/A</v>
      </c>
    </row>
    <row r="55" spans="1:73">
      <c r="A55" s="254" t="s">
        <v>15</v>
      </c>
      <c r="B55" s="254" t="s">
        <v>25</v>
      </c>
      <c r="C55" s="254" t="s">
        <v>46</v>
      </c>
      <c r="D55" s="254" t="s">
        <v>22</v>
      </c>
      <c r="E55" s="254"/>
      <c r="F55" s="254" t="s">
        <v>60</v>
      </c>
      <c r="G55" s="254" t="s">
        <v>61</v>
      </c>
      <c r="H55" s="270">
        <v>1500000</v>
      </c>
      <c r="I55" s="270">
        <v>100.746</v>
      </c>
      <c r="J55" s="270">
        <v>1489886.64</v>
      </c>
      <c r="K55" s="270">
        <v>11683525.57</v>
      </c>
      <c r="L55" s="270">
        <v>28499.16</v>
      </c>
      <c r="M55" s="270">
        <v>50779.95</v>
      </c>
      <c r="N55" s="270">
        <v>11712024.73</v>
      </c>
      <c r="O55" s="255">
        <v>2.5999999999999999E-3</v>
      </c>
      <c r="P55" s="1"/>
      <c r="Q55" s="1" t="str">
        <f t="shared" si="2"/>
        <v>Investments</v>
      </c>
      <c r="R55" s="1" t="str">
        <f>_xll.BDP(G55&amp;" ISIN",$R$1)</f>
        <v>BBG00M0MD1Z7</v>
      </c>
      <c r="S55" s="1" t="str">
        <f>IF(Q55="Cash",Q55,IF(OR(Q55="Receivable Investments",Q55="Payable Investments"),"Cash Adjustments",_xll.BDP(R55&amp;" FIGI",$S$1)))</f>
        <v>BOND</v>
      </c>
      <c r="T55" s="1" t="str">
        <f>IF(Q55="Cash",Q55,IF(OR(Q55="Receivable Investments",Q55="Payable Investments"),"Cash Adjustments",VLOOKUP(R55,LQA!E:S,3,0)))</f>
        <v>Corp</v>
      </c>
      <c r="U55" s="1" t="str">
        <f>IF(Q55="Cash",Q55,IF(OR(Q55="Receivable Investments",Q55="Payable Investments"),"Cash Adjustments",_xll.BDP(R55&amp;" FIGI",$U$1)))</f>
        <v>#N/A Field Not Applicable</v>
      </c>
      <c r="V55" s="10">
        <f>IF(OR(Q55="Cash",Q55="Receivable Investments",Q55="Payable Investments"),0,IF(Q55="Investments",VLOOKUP(R55,LQA!E:Q,12,0),"Not Covered"))</f>
        <v>1</v>
      </c>
      <c r="W55" s="76">
        <f>IF(OR(Q55="Cash",Q55="Receivable Investments",Q55="Payable Investments"),0,IF(Q55="Investments",VLOOKUP(R55,LQA!E:Q,9,0),"Not Covered"))</f>
        <v>1.4751E-2</v>
      </c>
      <c r="X55" s="13" t="str">
        <f>IF(OR(H55=0,T55="Comdty"),"High",IF(V55&lt;='Liquidity Bucket'!$A$4,'Liquidity Bucket'!$I$4,IF(V55&lt;='Liquidity Bucket'!$A$5,'Liquidity Bucket'!$I$5,IF(V55&lt;='Liquidity Bucket'!$A$6,'Liquidity Bucket'!$I$6,IF(V55='Liquidity Bucket'!$A$8,'Liquidity Bucket'!$I$8,'Liquidity Bucket'!$I$7)))))</f>
        <v>High</v>
      </c>
      <c r="Y55" s="153">
        <f>IF(OR(Q55="Cash",Q55="Receivable Investments",Q55="Payable Investments"),0,IF(Q55="Investments",VLOOKUP(R55,'LQA Stress'!E:Q,12,0),"Not Covered"))</f>
        <v>1.9</v>
      </c>
      <c r="Z55" s="75">
        <f>IF(OR(Q55="Cash",Q55="Receivable Investments",Q55="Payable Investments"),0,IF(Q55="Investments",VLOOKUP(R55,'LQA Stress'!E:Q,9,0),"Not Covered"))</f>
        <v>3.5358000000000001E-2</v>
      </c>
      <c r="AA55" s="13" t="str">
        <f>IF(T55="Comdty","High",IF(Y55&lt;='Liquidity Bucket'!$A$4,'Liquidity Bucket'!$I$4,IF(Y55&lt;='Liquidity Bucket'!$A$5,'Liquidity Bucket'!$I$5,IF(Y55&lt;='Liquidity Bucket'!$A$6,'Liquidity Bucket'!$I$6,IF(Y55='Liquidity Bucket'!$A$8,'Liquidity Bucket'!$I$8,'Liquidity Bucket'!$I$7)))))</f>
        <v>High</v>
      </c>
      <c r="AB55" s="14">
        <f>(N55+M55)/'FX Rates'!$C$5</f>
        <v>1517389.6646026832</v>
      </c>
      <c r="AC55" s="15" t="str">
        <f>IF(X55="Not Covered", (H55/_xll.BDP(R55&amp;" FIGI",$AC$1)),"")</f>
        <v/>
      </c>
      <c r="AD55" s="16" t="str">
        <f>IF(X55="Not Covered", _xll.BDP(R55&amp;" FIGI",$AD$1),"")</f>
        <v/>
      </c>
      <c r="AE55" s="16" t="str">
        <f>IF(OR(T55="Corp",T55="Govt"),IF(_xll.BDP(R55&amp;" FIGI",$AE$1)="#N/A N/A","",_xll.BDP(R55&amp;" FIGI",$AE$1)),"")</f>
        <v/>
      </c>
      <c r="AF55" s="1" t="str">
        <f>IF(OR(T55="Corp",T55="Govt"),IF(_xll.BDP(R55&amp;" FIGI",$AF$1)="#N/A N/A","",_xll.BDP(R55&amp;" FIGI",$AF$1)),"")</f>
        <v>Baa1</v>
      </c>
      <c r="AG55" s="16" t="str">
        <f>IF(OR(T55="Corp",T55="Govt"),IF(_xll.BDP(R55&amp;" FIGI",$AG$1)="#N/A N/A","",_xll.BDP(R55&amp;" FIGI",$AG$1)),"")</f>
        <v>A-</v>
      </c>
      <c r="AH55" s="125">
        <f>IF(OR(S55="Cash",S55="M-Mkt"),21,IF(AE55="",0,VLOOKUP(AE55,'Rating Scale'!A:B,2,0)))</f>
        <v>0</v>
      </c>
      <c r="AI55" s="125">
        <f>IF(OR(S55="Cash",S55="M-Mkt"),21,IF(AF55="",0,VLOOKUP(AF55,'Rating Scale'!D:E,2,0)))</f>
        <v>14</v>
      </c>
      <c r="AJ55" s="125">
        <f>IF(OR(S55="Cash",S55="M-Mkt"),21,IF(AG55="",0,VLOOKUP(AG55,'Rating Scale'!G:H,2,0)))</f>
        <v>15</v>
      </c>
      <c r="AK55">
        <f t="shared" si="10"/>
        <v>14</v>
      </c>
      <c r="AL55" s="1" t="str">
        <f>IF(OR(U55="Cash",U55="Cash Adjustments"),_xll.BDP(G55&amp;" Curncy","Country"),IF(T55="Equity",_xll.BDP(R55&amp;" FIGI","CNTRY_ISSUE_ISO"),_xll.BDP(R55&amp;" FIGI",$AL$1)))</f>
        <v>CN</v>
      </c>
      <c r="AM55" s="126" t="str">
        <f>IF(OR(T55="Cash",T55="Cash Adjustments",T55="M-Mkt"), T55, IF(T55="Comdty",AS55, _xll.BDP(R55&amp;" FIGI", $AM$1)))</f>
        <v>Financial</v>
      </c>
      <c r="AN55" s="126" t="str">
        <f>IF(OR(T55="Cash",T55="Cash Adjustments",T55="M-Mkt"), T55,  IF(T55="Comdty",AS55,_xll.BDP(R55&amp;" FIGI", $AN$1)))</f>
        <v>Diversified Finan Serv</v>
      </c>
      <c r="AO55" s="126" t="str">
        <f>IF(OR(T55="Cash",T55="Cash Adjustments",T55="M-Mkt"), T55,  IF(T55="Comdty",AS55,_xll.BDP(R55&amp;" FIGI", $AO$1)))</f>
        <v>Finance-Other Services</v>
      </c>
      <c r="AP55" s="13" t="str">
        <f>IF(OR(T55="Cash",T55="Cash Adjustments"), T55, IF(_xll.BDP(R55&amp;" FIGI", $AP$1)="#N/A Field Not Applicable","N",_xll.BDP(R55&amp;" FIGI", $AP$1)))</f>
        <v>N</v>
      </c>
      <c r="AQ55" s="1" t="str">
        <f>IF(OR(T55="Cash",T55="Cash Adjustments"), T55, IF(_xll.BDP(R55&amp;" FIGI", $AQ$1)="#N/A Field Not Applicable"," ",_xll.BDP(R55&amp;" FIGI", $AQ$1)))</f>
        <v xml:space="preserve"> </v>
      </c>
      <c r="AR55" s="1" t="str">
        <f>IF(OR(T55="Cash",T55="Cash Adjustments"), T55, IF(_xll.BDP(R55&amp;" FIGI", $AR$1)="#N/A Field Not Applicable"," ",_xll.BDP(R55&amp;" FIGI", $AR$1)))</f>
        <v>ACTV</v>
      </c>
      <c r="AS55" s="1" t="str">
        <f>VLOOKUP(T55,'SFC Classifcation'!$F$2:$H$7,3,0)</f>
        <v>Corporate</v>
      </c>
      <c r="AT55" s="22" t="str">
        <f t="shared" si="0"/>
        <v>Financial</v>
      </c>
      <c r="AU55" s="1" t="str">
        <f t="shared" si="4"/>
        <v>Investment Grade</v>
      </c>
      <c r="AV55" s="1" t="str">
        <f>IF(OR(T55="Cash",T55="Cash Adjustments"),T55,VLOOKUP(AL55,'SFC Classifcation'!$A:$C,3,0))</f>
        <v>China</v>
      </c>
      <c r="AW55" s="22" t="str">
        <f t="shared" si="5"/>
        <v>High</v>
      </c>
      <c r="AX55" s="22" t="str">
        <f t="shared" si="6"/>
        <v>High</v>
      </c>
      <c r="AY55" s="45" t="str">
        <f>IF(OR(T55="Cash",T55="Cash Adjustments"), T55, _xll.BDP(R55&amp;" FIGI", $AY$1))</f>
        <v>#N/A Field Not Applicable</v>
      </c>
      <c r="AZ55" s="45" t="str">
        <f>IF(OR(T55="Cash",T55="Cash Adjustments"), T55, _xll.BDP(R55&amp;" FIGI", $AZ$1))</f>
        <v>FINANCIAL</v>
      </c>
      <c r="BA55" s="45" t="str">
        <f>IF(OR(T55="Cash",T55="Cash Adjustments"), T55, _xll.BDP(R55&amp;" FIGI", $BA$1))</f>
        <v>Chengtou Bond</v>
      </c>
      <c r="BB55" s="16">
        <f>IF(OR(AS55="Government",AS55="Corporate"),(AK55*AB55/'SFC Report'!$C$20),"")</f>
        <v>3.8594262710351171E-2</v>
      </c>
      <c r="BC55" s="174" t="str">
        <f>IF(OR(T55="Cash",T55="Cash Adjustments", T55="FX Forward", T55="Repo", T55="Equity", T55="M-Mkt"), "", _xll.BDP(R55&amp;" FIGI", $BC$1))</f>
        <v>9/26/2021</v>
      </c>
      <c r="BD55" s="125">
        <f ca="1">IF(OR(T55="Cash",T55="Cash Adjustments",T55="FX Forward",T55="Repo", T55="Equity", T55="M-Mkt"),"",(BC55-'SFC Report'!$B$13)/365)</f>
        <v>1.4082191780821918</v>
      </c>
      <c r="BE55" s="82" t="str">
        <f t="shared" ca="1" si="9"/>
        <v>1 - 2 yrs</v>
      </c>
      <c r="BF55" s="5">
        <f ca="1">IF(BC55="","",BD55*AB55/'SFC Report'!$C$20)</f>
        <v>3.8820843509042081E-3</v>
      </c>
      <c r="BG55" s="14" cm="1">
        <f t="array" ref="BG55">IF(OR(AS55="Corporate",AS55="Government"),_xll.BDP(G55&amp;" ISIN", $BG$1),"")</f>
        <v>1.2756875218414143</v>
      </c>
      <c r="BH55" s="140">
        <f>IF(OR(AS55="Corporate",AS55="Government"),BG55*BN55/'SFC Report'!$C$20,"")</f>
        <v>3.5167299538760282E-3</v>
      </c>
      <c r="BI55" s="140">
        <f>IF(OR(AS55="Corporate",AS55="Government"),_xll.BDP(G55&amp;" ISIN", $BI$1),"")</f>
        <v>3.3782934170356271</v>
      </c>
      <c r="BJ55" s="140">
        <f>IF(OR(AS55="Corporate",AS55="Government"),BI55*AB55/'SFC Report'!$C$20,"")</f>
        <v>9.3130531178373527E-3</v>
      </c>
      <c r="BK55" s="153" t="str">
        <f>IF(OR(T55="Cash",T55="Cash Adjustments"),"-",_xll.BDP(R55&amp;" FIGI",$BK$1))</f>
        <v>XS1852561031</v>
      </c>
      <c r="BL55" s="11" t="str">
        <f>IF(OR(AS55="Cash", AS55="Cash Adjustments"),"-",IF(ISNA(VLOOKUP(BK55,'BBG - VaR Data (Sample, Indus )'!C:N,5,0)),"-",VLOOKUP(BK55,'BBG - VaR Data (Sample, Indus )'!C:N,5,0)))</f>
        <v>-</v>
      </c>
      <c r="BM55" s="11">
        <f>IF(OR(AS55="Cash", AS55="Cash Adjustments"),"-",IF(ISNA(VLOOKUP(BK55,'BBG - Scenarios (Sample View)'!C:Z,14,0)),"-",VLOOKUP(BK55,'BBG - Scenarios (Sample View)'!C:Z,14,0)))</f>
        <v>-1.39</v>
      </c>
      <c r="BN55" s="14">
        <f t="shared" si="7"/>
        <v>1517389.6646026832</v>
      </c>
      <c r="BO55" s="1">
        <f t="shared" si="8"/>
        <v>2.9765857246786299E-3</v>
      </c>
      <c r="BP55" t="str">
        <f>IF(BC55&lt;&gt;0,MaturityBucket(BG55),"")</f>
        <v>1 - 2 yrs</v>
      </c>
      <c r="BQ55" s="11" t="str">
        <f>IF(OR(T55="Cash",T55="Cash Adjustments"),T55,VLOOKUP(AL55,'SFC Classifcation'!$A:$C,2,0))</f>
        <v>China</v>
      </c>
      <c r="BR55" s="1" t="e">
        <f>IF(S55="Bond",BH55/'SFC Report'!$B$7,"")</f>
        <v>#VALUE!</v>
      </c>
      <c r="BS55" t="str">
        <f>IF(OR(T55="Cash",T55="Cash Adjustments"),"-",_xll.BDP(R55&amp;" FIGI",$BS$1))</f>
        <v>#N/A N/A</v>
      </c>
      <c r="BT55" t="str">
        <f>IF(OR(T55="Cash",T55="Cash Adjustments"),"-",_xll.BDP(R55&amp;" FIGI",$BT$1))</f>
        <v>9/18/2018</v>
      </c>
      <c r="BU55" t="str">
        <f>IF(OR(T55="Cash",T55="Cash Adjustments"),"-",_xll.BDP(R55&amp;" FIGI",$BU$1))</f>
        <v>10/11/2018</v>
      </c>
    </row>
    <row r="56" spans="1:73">
      <c r="A56" s="254" t="s">
        <v>15</v>
      </c>
      <c r="B56" s="254" t="s">
        <v>25</v>
      </c>
      <c r="C56" s="254" t="s">
        <v>46</v>
      </c>
      <c r="D56" s="254" t="s">
        <v>22</v>
      </c>
      <c r="E56" s="254"/>
      <c r="F56" s="254" t="s">
        <v>963</v>
      </c>
      <c r="G56" s="254" t="s">
        <v>964</v>
      </c>
      <c r="H56" s="270">
        <v>3000000</v>
      </c>
      <c r="I56" s="270">
        <v>100.889</v>
      </c>
      <c r="J56" s="270">
        <v>3060000</v>
      </c>
      <c r="K56" s="270">
        <v>23994072</v>
      </c>
      <c r="L56" s="270">
        <v>-536774.17000000004</v>
      </c>
      <c r="M56" s="270">
        <v>31081.53</v>
      </c>
      <c r="N56" s="270">
        <v>23457297.829999998</v>
      </c>
      <c r="O56" s="255">
        <v>5.1999999999999998E-3</v>
      </c>
      <c r="P56" s="1"/>
      <c r="Q56" s="1" t="str">
        <f t="shared" si="2"/>
        <v>Investments</v>
      </c>
      <c r="R56" s="1" t="str">
        <f>_xll.BDP(G56&amp;" ISIN",$R$1)</f>
        <v>BBG00KKDSP44</v>
      </c>
      <c r="S56" s="1" t="str">
        <f>IF(Q56="Cash",Q56,IF(OR(Q56="Receivable Investments",Q56="Payable Investments"),"Cash Adjustments",_xll.BDP(R56&amp;" FIGI",$S$1)))</f>
        <v>BOND</v>
      </c>
      <c r="T56" s="1" t="str">
        <f>IF(Q56="Cash",Q56,IF(OR(Q56="Receivable Investments",Q56="Payable Investments"),"Cash Adjustments",VLOOKUP(R56,LQA!E:S,3,0)))</f>
        <v>Corp</v>
      </c>
      <c r="U56" s="1" t="str">
        <f>IF(Q56="Cash",Q56,IF(OR(Q56="Receivable Investments",Q56="Payable Investments"),"Cash Adjustments",_xll.BDP(R56&amp;" FIGI",$U$1)))</f>
        <v>#N/A Field Not Applicable</v>
      </c>
      <c r="V56" s="10">
        <f>IF(OR(Q56="Cash",Q56="Receivable Investments",Q56="Payable Investments"),0,IF(Q56="Investments",VLOOKUP(R56,LQA!E:Q,12,0),"Not Covered"))</f>
        <v>0.3</v>
      </c>
      <c r="W56" s="76">
        <f>IF(OR(Q56="Cash",Q56="Receivable Investments",Q56="Payable Investments"),0,IF(Q56="Investments",VLOOKUP(R56,LQA!E:Q,9,0),"Not Covered"))</f>
        <v>4.6909999999999999E-3</v>
      </c>
      <c r="X56" s="13" t="str">
        <f>IF(OR(H56=0,T56="Comdty"),"High",IF(V56&lt;='Liquidity Bucket'!$A$4,'Liquidity Bucket'!$I$4,IF(V56&lt;='Liquidity Bucket'!$A$5,'Liquidity Bucket'!$I$5,IF(V56&lt;='Liquidity Bucket'!$A$6,'Liquidity Bucket'!$I$6,IF(V56='Liquidity Bucket'!$A$8,'Liquidity Bucket'!$I$8,'Liquidity Bucket'!$I$7)))))</f>
        <v>High</v>
      </c>
      <c r="Y56" s="153">
        <f>IF(OR(Q56="Cash",Q56="Receivable Investments",Q56="Payable Investments"),0,IF(Q56="Investments",VLOOKUP(R56,'LQA Stress'!E:Q,12,0),"Not Covered"))</f>
        <v>0.7</v>
      </c>
      <c r="Z56" s="75">
        <f>IF(OR(Q56="Cash",Q56="Receivable Investments",Q56="Payable Investments"),0,IF(Q56="Investments",VLOOKUP(R56,'LQA Stress'!E:Q,9,0),"Not Covered"))</f>
        <v>1.2468E-2</v>
      </c>
      <c r="AA56" s="13" t="str">
        <f>IF(T56="Comdty","High",IF(Y56&lt;='Liquidity Bucket'!$A$4,'Liquidity Bucket'!$I$4,IF(Y56&lt;='Liquidity Bucket'!$A$5,'Liquidity Bucket'!$I$5,IF(Y56&lt;='Liquidity Bucket'!$A$6,'Liquidity Bucket'!$I$6,IF(Y56='Liquidity Bucket'!$A$8,'Liquidity Bucket'!$I$8,'Liquidity Bucket'!$I$7)))))</f>
        <v>High</v>
      </c>
      <c r="AB56" s="14">
        <f>(N56+M56)/'FX Rates'!$C$5</f>
        <v>3029976.6976264189</v>
      </c>
      <c r="AC56" s="15" t="str">
        <f>IF(X56="Not Covered", (H56/_xll.BDP(R56&amp;" FIGI",$AC$1)),"")</f>
        <v/>
      </c>
      <c r="AD56" s="16" t="str">
        <f>IF(X56="Not Covered", _xll.BDP(R56&amp;" FIGI",$AD$1),"")</f>
        <v/>
      </c>
      <c r="AE56" s="16" t="str">
        <f>IF(OR(T56="Corp",T56="Govt"),IF(_xll.BDP(R56&amp;" FIGI",$AE$1)="#N/A N/A","",_xll.BDP(R56&amp;" FIGI",$AE$1)),"")</f>
        <v>BB-</v>
      </c>
      <c r="AF56" s="1" t="str">
        <f>IF(OR(T56="Corp",T56="Govt"),IF(_xll.BDP(R56&amp;" FIGI",$AF$1)="#N/A N/A","",_xll.BDP(R56&amp;" FIGI",$AF$1)),"")</f>
        <v>B1</v>
      </c>
      <c r="AG56" s="16" t="str">
        <f>IF(OR(T56="Corp",T56="Govt"),IF(_xll.BDP(R56&amp;" FIGI",$AG$1)="#N/A N/A","",_xll.BDP(R56&amp;" FIGI",$AG$1)),"")</f>
        <v>BB</v>
      </c>
      <c r="AH56" s="125">
        <f>IF(OR(S56="Cash",S56="M-Mkt"),21,IF(AE56="",0,VLOOKUP(AE56,'Rating Scale'!A:B,2,0)))</f>
        <v>9</v>
      </c>
      <c r="AI56" s="125">
        <f>IF(OR(S56="Cash",S56="M-Mkt"),21,IF(AF56="",0,VLOOKUP(AF56,'Rating Scale'!D:E,2,0)))</f>
        <v>8</v>
      </c>
      <c r="AJ56" s="125">
        <f>IF(OR(S56="Cash",S56="M-Mkt"),21,IF(AG56="",0,VLOOKUP(AG56,'Rating Scale'!G:H,2,0)))</f>
        <v>10</v>
      </c>
      <c r="AK56">
        <f t="shared" si="10"/>
        <v>9</v>
      </c>
      <c r="AL56" s="1" t="str">
        <f>IF(OR(U56="Cash",U56="Cash Adjustments"),_xll.BDP(G56&amp;" Curncy","Country"),IF(T56="Equity",_xll.BDP(R56&amp;" FIGI","CNTRY_ISSUE_ISO"),_xll.BDP(R56&amp;" FIGI",$AL$1)))</f>
        <v>CN</v>
      </c>
      <c r="AM56" s="126" t="str">
        <f>IF(OR(T56="Cash",T56="Cash Adjustments",T56="M-Mkt"), T56, IF(T56="Comdty",AS56, _xll.BDP(R56&amp;" FIGI", $AM$1)))</f>
        <v>Financial</v>
      </c>
      <c r="AN56" s="126" t="str">
        <f>IF(OR(T56="Cash",T56="Cash Adjustments",T56="M-Mkt"), T56,  IF(T56="Comdty",AS56,_xll.BDP(R56&amp;" FIGI", $AN$1)))</f>
        <v>Real Estate</v>
      </c>
      <c r="AO56" s="126" t="str">
        <f>IF(OR(T56="Cash",T56="Cash Adjustments",T56="M-Mkt"), T56,  IF(T56="Comdty",AS56,_xll.BDP(R56&amp;" FIGI", $AO$1)))</f>
        <v>Real Estate Oper/Develop</v>
      </c>
      <c r="AP56" s="13" t="str">
        <f>IF(OR(T56="Cash",T56="Cash Adjustments"), T56, IF(_xll.BDP(R56&amp;" FIGI", $AP$1)="#N/A Field Not Applicable","N",_xll.BDP(R56&amp;" FIGI", $AP$1)))</f>
        <v>N</v>
      </c>
      <c r="AQ56" s="1" t="str">
        <f>IF(OR(T56="Cash",T56="Cash Adjustments"), T56, IF(_xll.BDP(R56&amp;" FIGI", $AQ$1)="#N/A Field Not Applicable"," ",_xll.BDP(R56&amp;" FIGI", $AQ$1)))</f>
        <v xml:space="preserve"> </v>
      </c>
      <c r="AR56" s="1" t="str">
        <f>IF(OR(T56="Cash",T56="Cash Adjustments"), T56, IF(_xll.BDP(R56&amp;" FIGI", $AR$1)="#N/A Field Not Applicable"," ",_xll.BDP(R56&amp;" FIGI", $AR$1)))</f>
        <v>ACTV</v>
      </c>
      <c r="AS56" s="1" t="str">
        <f>VLOOKUP(T56,'SFC Classifcation'!$F$2:$H$7,3,0)</f>
        <v>Corporate</v>
      </c>
      <c r="AT56" s="22" t="str">
        <f t="shared" si="0"/>
        <v>Financial</v>
      </c>
      <c r="AU56" s="1" t="str">
        <f t="shared" si="4"/>
        <v>Non-Investment Grade</v>
      </c>
      <c r="AV56" s="1" t="str">
        <f>IF(OR(T56="Cash",T56="Cash Adjustments"),T56,VLOOKUP(AL56,'SFC Classifcation'!$A:$C,3,0))</f>
        <v>China</v>
      </c>
      <c r="AW56" s="22" t="str">
        <f t="shared" si="5"/>
        <v>High</v>
      </c>
      <c r="AX56" s="22" t="str">
        <f t="shared" si="6"/>
        <v>High</v>
      </c>
      <c r="AY56" s="45" t="str">
        <f>IF(OR(T56="Cash",T56="Cash Adjustments"), T56, _xll.BDP(R56&amp;" FIGI", $AY$1))</f>
        <v>Real Estate</v>
      </c>
      <c r="AZ56" s="45" t="str">
        <f>IF(OR(T56="Cash",T56="Cash Adjustments"), T56, _xll.BDP(R56&amp;" FIGI", $AZ$1))</f>
        <v>FINANCIAL</v>
      </c>
      <c r="BA56" s="45" t="str">
        <f>IF(OR(T56="Cash",T56="Cash Adjustments"), T56, _xll.BDP(R56&amp;" FIGI", $BA$1))</f>
        <v>#N/A Field Not Applicable</v>
      </c>
      <c r="BB56" s="16">
        <f>IF(OR(AS56="Government",AS56="Corporate"),(AK56*AB56/'SFC Report'!$C$20),"")</f>
        <v>4.9542667846980519E-2</v>
      </c>
      <c r="BC56" s="174" t="str">
        <f>IF(OR(T56="Cash",T56="Cash Adjustments", T56="FX Forward", T56="Repo", T56="Equity", T56="M-Mkt"), "", _xll.BDP(R56&amp;" FIGI", $BC$1))</f>
        <v>4/23/2021</v>
      </c>
      <c r="BD56" s="125">
        <f ca="1">IF(OR(T56="Cash",T56="Cash Adjustments",T56="FX Forward",T56="Repo", T56="Equity", T56="M-Mkt"),"",(BC56-'SFC Report'!$B$13)/365)</f>
        <v>0.98082191780821915</v>
      </c>
      <c r="BE56" s="82" t="str">
        <f t="shared" ca="1" si="9"/>
        <v>0 - 1 yr</v>
      </c>
      <c r="BF56" s="5">
        <f ca="1">IF(BC56="","",BD56*AB56/'SFC Report'!$C$20)</f>
        <v>5.3991704990012258E-3</v>
      </c>
      <c r="BG56" s="14" cm="1">
        <f t="array" ref="BG56">IF(OR(AS56="Corporate",AS56="Government"),_xll.BDP(G56&amp;" ISIN", $BG$1),"")</f>
        <v>0.8659517464349118</v>
      </c>
      <c r="BH56" s="140">
        <f>IF(OR(AS56="Corporate",AS56="Government"),BG56*BN56/'SFC Report'!$C$20,"")</f>
        <v>4.7668399716819477E-3</v>
      </c>
      <c r="BI56" s="140">
        <f>IF(OR(AS56="Corporate",AS56="Government"),_xll.BDP(G56&amp;" ISIN", $BI$1),"")</f>
        <v>5.3367807122978164</v>
      </c>
      <c r="BJ56" s="140">
        <f>IF(OR(AS56="Corporate",AS56="Government"),BI56*AB56/'SFC Report'!$C$20,"")</f>
        <v>2.9377594911282535E-2</v>
      </c>
      <c r="BK56" s="153" t="str">
        <f>IF(OR(T56="Cash",T56="Cash Adjustments"),"-",_xll.BDP(R56&amp;" FIGI",$BK$1))</f>
        <v>XS1801151371</v>
      </c>
      <c r="BL56" s="11" t="str">
        <f>IF(OR(AS56="Cash", AS56="Cash Adjustments"),"-",IF(ISNA(VLOOKUP(BK56,'BBG - VaR Data (Sample, Indus )'!C:N,5,0)),"-",VLOOKUP(BK56,'BBG - VaR Data (Sample, Indus )'!C:N,5,0)))</f>
        <v>-</v>
      </c>
      <c r="BM56" s="11">
        <f>IF(OR(AS56="Cash", AS56="Cash Adjustments"),"-",IF(ISNA(VLOOKUP(BK56,'BBG - Scenarios (Sample View)'!C:Z,14,0)),"-",VLOOKUP(BK56,'BBG - Scenarios (Sample View)'!C:Z,14,0)))</f>
        <v>-1.35</v>
      </c>
      <c r="BN56" s="14">
        <f t="shared" si="7"/>
        <v>3029976.6976264189</v>
      </c>
      <c r="BO56" s="1">
        <f t="shared" si="8"/>
        <v>5.9437503725354871E-3</v>
      </c>
      <c r="BP56" t="str">
        <f>IF(BC56&lt;&gt;0,MaturityBucket(BG56),"")</f>
        <v>0 - 1 yr</v>
      </c>
      <c r="BQ56" s="11" t="str">
        <f>IF(OR(T56="Cash",T56="Cash Adjustments"),T56,VLOOKUP(AL56,'SFC Classifcation'!$A:$C,2,0))</f>
        <v>China</v>
      </c>
      <c r="BR56" s="1" t="e">
        <f>IF(S56="Bond",BH56/'SFC Report'!$B$7,"")</f>
        <v>#VALUE!</v>
      </c>
      <c r="BS56" t="str">
        <f>IF(OR(T56="Cash",T56="Cash Adjustments"),"-",_xll.BDP(R56&amp;" FIGI",$BS$1))</f>
        <v>3/15/2019</v>
      </c>
      <c r="BT56" t="str">
        <f>IF(OR(T56="Cash",T56="Cash Adjustments"),"-",_xll.BDP(R56&amp;" FIGI",$BT$1))</f>
        <v>4/12/2018</v>
      </c>
      <c r="BU56" t="str">
        <f>IF(OR(T56="Cash",T56="Cash Adjustments"),"-",_xll.BDP(R56&amp;" FIGI",$BU$1))</f>
        <v>4/20/2018</v>
      </c>
    </row>
    <row r="57" spans="1:73">
      <c r="A57" s="254" t="s">
        <v>15</v>
      </c>
      <c r="B57" s="254" t="s">
        <v>25</v>
      </c>
      <c r="C57" s="254" t="s">
        <v>46</v>
      </c>
      <c r="D57" s="254" t="s">
        <v>22</v>
      </c>
      <c r="E57" s="254"/>
      <c r="F57" s="254" t="s">
        <v>62</v>
      </c>
      <c r="G57" s="254" t="s">
        <v>63</v>
      </c>
      <c r="H57" s="270">
        <v>5000000</v>
      </c>
      <c r="I57" s="270">
        <v>101.34399999999999</v>
      </c>
      <c r="J57" s="270">
        <v>5106829.16</v>
      </c>
      <c r="K57" s="270">
        <v>39979138.859999999</v>
      </c>
      <c r="L57" s="270">
        <v>-707325.5</v>
      </c>
      <c r="M57" s="270">
        <v>476045.27</v>
      </c>
      <c r="N57" s="270">
        <v>39271813.359999999</v>
      </c>
      <c r="O57" s="255">
        <v>8.6E-3</v>
      </c>
      <c r="P57" s="1"/>
      <c r="Q57" s="1" t="str">
        <f t="shared" si="2"/>
        <v>Investments</v>
      </c>
      <c r="R57" s="1" t="str">
        <f>_xll.BDP(G57&amp;" ISIN",$R$1)</f>
        <v>BBG00MTKPX96</v>
      </c>
      <c r="S57" s="1" t="str">
        <f>IF(Q57="Cash",Q57,IF(OR(Q57="Receivable Investments",Q57="Payable Investments"),"Cash Adjustments",_xll.BDP(R57&amp;" FIGI",$S$1)))</f>
        <v>BOND</v>
      </c>
      <c r="T57" s="1" t="str">
        <f>IF(Q57="Cash",Q57,IF(OR(Q57="Receivable Investments",Q57="Payable Investments"),"Cash Adjustments",VLOOKUP(R57,LQA!E:S,3,0)))</f>
        <v>Corp</v>
      </c>
      <c r="U57" s="1" t="str">
        <f>IF(Q57="Cash",Q57,IF(OR(Q57="Receivable Investments",Q57="Payable Investments"),"Cash Adjustments",_xll.BDP(R57&amp;" FIGI",$U$1)))</f>
        <v>#N/A Field Not Applicable</v>
      </c>
      <c r="V57" s="10">
        <f>IF(OR(Q57="Cash",Q57="Receivable Investments",Q57="Payable Investments"),0,IF(Q57="Investments",VLOOKUP(R57,LQA!E:Q,12,0),"Not Covered"))</f>
        <v>0.3</v>
      </c>
      <c r="W57" s="76">
        <f>IF(OR(Q57="Cash",Q57="Receivable Investments",Q57="Payable Investments"),0,IF(Q57="Investments",VLOOKUP(R57,LQA!E:Q,9,0),"Not Covered"))</f>
        <v>3.8909999999999999E-3</v>
      </c>
      <c r="X57" s="13" t="str">
        <f>IF(OR(H57=0,T57="Comdty"),"High",IF(V57&lt;='Liquidity Bucket'!$A$4,'Liquidity Bucket'!$I$4,IF(V57&lt;='Liquidity Bucket'!$A$5,'Liquidity Bucket'!$I$5,IF(V57&lt;='Liquidity Bucket'!$A$6,'Liquidity Bucket'!$I$6,IF(V57='Liquidity Bucket'!$A$8,'Liquidity Bucket'!$I$8,'Liquidity Bucket'!$I$7)))))</f>
        <v>High</v>
      </c>
      <c r="Y57" s="153">
        <f>IF(OR(Q57="Cash",Q57="Receivable Investments",Q57="Payable Investments"),0,IF(Q57="Investments",VLOOKUP(R57,'LQA Stress'!E:Q,12,0),"Not Covered"))</f>
        <v>0.9</v>
      </c>
      <c r="Z57" s="75">
        <f>IF(OR(Q57="Cash",Q57="Receivable Investments",Q57="Payable Investments"),0,IF(Q57="Investments",VLOOKUP(R57,'LQA Stress'!E:Q,9,0),"Not Covered"))</f>
        <v>1.0186000000000001E-2</v>
      </c>
      <c r="AA57" s="13" t="str">
        <f>IF(T57="Comdty","High",IF(Y57&lt;='Liquidity Bucket'!$A$4,'Liquidity Bucket'!$I$4,IF(Y57&lt;='Liquidity Bucket'!$A$5,'Liquidity Bucket'!$I$5,IF(Y57&lt;='Liquidity Bucket'!$A$6,'Liquidity Bucket'!$I$6,IF(Y57='Liquidity Bucket'!$A$8,'Liquidity Bucket'!$I$8,'Liquidity Bucket'!$I$7)))))</f>
        <v>High</v>
      </c>
      <c r="AB57" s="14">
        <f>(N57+M57)/'FX Rates'!$C$5</f>
        <v>5127432.7438080497</v>
      </c>
      <c r="AC57" s="15" t="str">
        <f>IF(X57="Not Covered", (H57/_xll.BDP(R57&amp;" FIGI",$AC$1)),"")</f>
        <v/>
      </c>
      <c r="AD57" s="16" t="str">
        <f>IF(X57="Not Covered", _xll.BDP(R57&amp;" FIGI",$AD$1),"")</f>
        <v/>
      </c>
      <c r="AE57" s="16" t="str">
        <f>IF(OR(T57="Corp",T57="Govt"),IF(_xll.BDP(R57&amp;" FIGI",$AE$1)="#N/A N/A","",_xll.BDP(R57&amp;" FIGI",$AE$1)),"")</f>
        <v/>
      </c>
      <c r="AF57" s="1" t="str">
        <f>IF(OR(T57="Corp",T57="Govt"),IF(_xll.BDP(R57&amp;" FIGI",$AF$1)="#N/A N/A","",_xll.BDP(R57&amp;" FIGI",$AF$1)),"")</f>
        <v/>
      </c>
      <c r="AG57" s="16" t="str">
        <f>IF(OR(T57="Corp",T57="Govt"),IF(_xll.BDP(R57&amp;" FIGI",$AG$1)="#N/A N/A","",_xll.BDP(R57&amp;" FIGI",$AG$1)),"")</f>
        <v>BB</v>
      </c>
      <c r="AH57" s="125">
        <f>IF(OR(S57="Cash",S57="M-Mkt"),21,IF(AE57="",0,VLOOKUP(AE57,'Rating Scale'!A:B,2,0)))</f>
        <v>0</v>
      </c>
      <c r="AI57" s="125">
        <f>IF(OR(S57="Cash",S57="M-Mkt"),21,IF(AF57="",0,VLOOKUP(AF57,'Rating Scale'!D:E,2,0)))</f>
        <v>0</v>
      </c>
      <c r="AJ57" s="125">
        <f>IF(OR(S57="Cash",S57="M-Mkt"),21,IF(AG57="",0,VLOOKUP(AG57,'Rating Scale'!G:H,2,0)))</f>
        <v>10</v>
      </c>
      <c r="AK57">
        <f t="shared" si="10"/>
        <v>10</v>
      </c>
      <c r="AL57" s="1" t="str">
        <f>IF(OR(U57="Cash",U57="Cash Adjustments"),_xll.BDP(G57&amp;" Curncy","Country"),IF(T57="Equity",_xll.BDP(R57&amp;" FIGI","CNTRY_ISSUE_ISO"),_xll.BDP(R57&amp;" FIGI",$AL$1)))</f>
        <v>CN</v>
      </c>
      <c r="AM57" s="126" t="str">
        <f>IF(OR(T57="Cash",T57="Cash Adjustments",T57="M-Mkt"), T57, IF(T57="Comdty",AS57, _xll.BDP(R57&amp;" FIGI", $AM$1)))</f>
        <v>Financial</v>
      </c>
      <c r="AN57" s="126" t="str">
        <f>IF(OR(T57="Cash",T57="Cash Adjustments",T57="M-Mkt"), T57,  IF(T57="Comdty",AS57,_xll.BDP(R57&amp;" FIGI", $AN$1)))</f>
        <v>Real Estate</v>
      </c>
      <c r="AO57" s="126" t="str">
        <f>IF(OR(T57="Cash",T57="Cash Adjustments",T57="M-Mkt"), T57,  IF(T57="Comdty",AS57,_xll.BDP(R57&amp;" FIGI", $AO$1)))</f>
        <v>Real Estate Oper/Develop</v>
      </c>
      <c r="AP57" s="13" t="str">
        <f>IF(OR(T57="Cash",T57="Cash Adjustments"), T57, IF(_xll.BDP(R57&amp;" FIGI", $AP$1)="#N/A Field Not Applicable","N",_xll.BDP(R57&amp;" FIGI", $AP$1)))</f>
        <v>N</v>
      </c>
      <c r="AQ57" s="1" t="str">
        <f>IF(OR(T57="Cash",T57="Cash Adjustments"), T57, IF(_xll.BDP(R57&amp;" FIGI", $AQ$1)="#N/A Field Not Applicable"," ",_xll.BDP(R57&amp;" FIGI", $AQ$1)))</f>
        <v xml:space="preserve"> </v>
      </c>
      <c r="AR57" s="1" t="str">
        <f>IF(OR(T57="Cash",T57="Cash Adjustments"), T57, IF(_xll.BDP(R57&amp;" FIGI", $AR$1)="#N/A Field Not Applicable"," ",_xll.BDP(R57&amp;" FIGI", $AR$1)))</f>
        <v>ACTV</v>
      </c>
      <c r="AS57" s="1" t="str">
        <f>VLOOKUP(T57,'SFC Classifcation'!$F$2:$H$7,3,0)</f>
        <v>Corporate</v>
      </c>
      <c r="AT57" s="22" t="str">
        <f t="shared" si="0"/>
        <v>Financial</v>
      </c>
      <c r="AU57" s="1" t="str">
        <f t="shared" si="4"/>
        <v>Non-Investment Grade</v>
      </c>
      <c r="AV57" s="1" t="str">
        <f>IF(OR(T57="Cash",T57="Cash Adjustments"),T57,VLOOKUP(AL57,'SFC Classifcation'!$A:$C,3,0))</f>
        <v>China</v>
      </c>
      <c r="AW57" s="22" t="str">
        <f t="shared" si="5"/>
        <v>High</v>
      </c>
      <c r="AX57" s="22" t="str">
        <f t="shared" si="6"/>
        <v>High</v>
      </c>
      <c r="AY57" s="45" t="str">
        <f>IF(OR(T57="Cash",T57="Cash Adjustments"), T57, _xll.BDP(R57&amp;" FIGI", $AY$1))</f>
        <v>Real Estate</v>
      </c>
      <c r="AZ57" s="45" t="str">
        <f>IF(OR(T57="Cash",T57="Cash Adjustments"), T57, _xll.BDP(R57&amp;" FIGI", $AZ$1))</f>
        <v>FINANCIAL</v>
      </c>
      <c r="BA57" s="45" t="str">
        <f>IF(OR(T57="Cash",T57="Cash Adjustments"), T57, _xll.BDP(R57&amp;" FIGI", $BA$1))</f>
        <v>#N/A Field Not Applicable</v>
      </c>
      <c r="BB57" s="16">
        <f>IF(OR(AS57="Government",AS57="Corporate"),(AK57*AB57/'SFC Report'!$C$20),"")</f>
        <v>9.3153153998844676E-2</v>
      </c>
      <c r="BC57" s="174" t="str">
        <f>IF(OR(T57="Cash",T57="Cash Adjustments", T57="FX Forward", T57="Repo", T57="Equity", T57="M-Mkt"), "", _xll.BDP(R57&amp;" FIGI", $BC$1))</f>
        <v>3/2/2021</v>
      </c>
      <c r="BD57" s="125">
        <f ca="1">IF(OR(T57="Cash",T57="Cash Adjustments",T57="FX Forward",T57="Repo", T57="Equity", T57="M-Mkt"),"",(BC57-'SFC Report'!$B$13)/365)</f>
        <v>0.83835616438356164</v>
      </c>
      <c r="BE57" s="82" t="str">
        <f t="shared" ca="1" si="9"/>
        <v>0 - 1 yr</v>
      </c>
      <c r="BF57" s="5">
        <f ca="1">IF(BC57="","",BD57*AB57/'SFC Report'!$C$20)</f>
        <v>7.8095520886702664E-3</v>
      </c>
      <c r="BG57" s="14" cm="1">
        <f t="array" ref="BG57">IF(OR(AS57="Corporate",AS57="Government"),_xll.BDP(G57&amp;" ISIN", $BG$1),"")</f>
        <v>0.72597481607972614</v>
      </c>
      <c r="BH57" s="140">
        <f>IF(OR(AS57="Corporate",AS57="Government"),BG57*BN57/'SFC Report'!$C$20,"")</f>
        <v>6.7626843841557659E-3</v>
      </c>
      <c r="BI57" s="140">
        <f>IF(OR(AS57="Corporate",AS57="Government"),_xll.BDP(G57&amp;" ISIN", $BI$1),"")</f>
        <v>5.4376704836393372</v>
      </c>
      <c r="BJ57" s="140">
        <f>IF(OR(AS57="Corporate",AS57="Government"),BI57*AB57/'SFC Report'!$C$20,"")</f>
        <v>5.0653615595742739E-2</v>
      </c>
      <c r="BK57" s="153" t="str">
        <f>IF(OR(T57="Cash",T57="Cash Adjustments"),"-",_xll.BDP(R57&amp;" FIGI",$BK$1))</f>
        <v>XS1924328807</v>
      </c>
      <c r="BL57" s="11" t="str">
        <f>IF(OR(AS57="Cash", AS57="Cash Adjustments"),"-",IF(ISNA(VLOOKUP(BK57,'BBG - VaR Data (Sample, Indus )'!C:N,5,0)),"-",VLOOKUP(BK57,'BBG - VaR Data (Sample, Indus )'!C:N,5,0)))</f>
        <v>-</v>
      </c>
      <c r="BM57" s="11">
        <f>IF(OR(AS57="Cash", AS57="Cash Adjustments"),"-",IF(ISNA(VLOOKUP(BK57,'BBG - Scenarios (Sample View)'!C:Z,14,0)),"-",VLOOKUP(BK57,'BBG - Scenarios (Sample View)'!C:Z,14,0)))</f>
        <v>-1.1599999999999999</v>
      </c>
      <c r="BN57" s="14">
        <f t="shared" si="7"/>
        <v>5127432.7438080497</v>
      </c>
      <c r="BO57" s="1">
        <f t="shared" si="8"/>
        <v>1.0058222660601237E-2</v>
      </c>
      <c r="BP57" t="str">
        <f>IF(BC57&lt;&gt;0,MaturityBucket(BG57),"")</f>
        <v>0 - 1 yr</v>
      </c>
      <c r="BQ57" s="11" t="str">
        <f>IF(OR(T57="Cash",T57="Cash Adjustments"),T57,VLOOKUP(AL57,'SFC Classifcation'!$A:$C,2,0))</f>
        <v>China</v>
      </c>
      <c r="BR57" s="1" t="e">
        <f>IF(S57="Bond",BH57/'SFC Report'!$B$7,"")</f>
        <v>#VALUE!</v>
      </c>
      <c r="BS57" t="str">
        <f>IF(OR(T57="Cash",T57="Cash Adjustments"),"-",_xll.BDP(R57&amp;" FIGI",$BS$1))</f>
        <v>#N/A N/A</v>
      </c>
      <c r="BT57" t="str">
        <f>IF(OR(T57="Cash",T57="Cash Adjustments"),"-",_xll.BDP(R57&amp;" FIGI",$BT$1))</f>
        <v>#N/A N/A</v>
      </c>
      <c r="BU57" t="str">
        <f>IF(OR(T57="Cash",T57="Cash Adjustments"),"-",_xll.BDP(R57&amp;" FIGI",$BU$1))</f>
        <v>12/19/2018</v>
      </c>
    </row>
    <row r="58" spans="1:73">
      <c r="A58" s="254" t="s">
        <v>15</v>
      </c>
      <c r="B58" s="254" t="s">
        <v>25</v>
      </c>
      <c r="C58" s="254" t="s">
        <v>46</v>
      </c>
      <c r="D58" s="254" t="s">
        <v>22</v>
      </c>
      <c r="E58" s="254"/>
      <c r="F58" s="254" t="s">
        <v>64</v>
      </c>
      <c r="G58" s="254" t="s">
        <v>65</v>
      </c>
      <c r="H58" s="270">
        <v>6500000</v>
      </c>
      <c r="I58" s="270">
        <v>101.17100000000001</v>
      </c>
      <c r="J58" s="270">
        <v>6472570</v>
      </c>
      <c r="K58" s="270">
        <v>50801583.549999997</v>
      </c>
      <c r="L58" s="270">
        <v>164622.92000000001</v>
      </c>
      <c r="M58" s="270">
        <v>401261.22</v>
      </c>
      <c r="N58" s="270">
        <v>50966206.469999999</v>
      </c>
      <c r="O58" s="255">
        <v>1.12E-2</v>
      </c>
      <c r="P58" s="1"/>
      <c r="Q58" s="1" t="str">
        <f t="shared" si="2"/>
        <v>Investments</v>
      </c>
      <c r="R58" s="1" t="str">
        <f>_xll.BDP(G58&amp;" ISIN",$R$1)</f>
        <v>BBG00NDMRLH2</v>
      </c>
      <c r="S58" s="1" t="str">
        <f>IF(Q58="Cash",Q58,IF(OR(Q58="Receivable Investments",Q58="Payable Investments"),"Cash Adjustments",_xll.BDP(R58&amp;" FIGI",$S$1)))</f>
        <v>BOND</v>
      </c>
      <c r="T58" s="1" t="str">
        <f>IF(Q58="Cash",Q58,IF(OR(Q58="Receivable Investments",Q58="Payable Investments"),"Cash Adjustments",VLOOKUP(R58,LQA!E:S,3,0)))</f>
        <v>Corp</v>
      </c>
      <c r="U58" s="1" t="str">
        <f>IF(Q58="Cash",Q58,IF(OR(Q58="Receivable Investments",Q58="Payable Investments"),"Cash Adjustments",_xll.BDP(R58&amp;" FIGI",$U$1)))</f>
        <v>#N/A Field Not Applicable</v>
      </c>
      <c r="V58" s="10">
        <f>IF(OR(Q58="Cash",Q58="Receivable Investments",Q58="Payable Investments"),0,IF(Q58="Investments",VLOOKUP(R58,LQA!E:Q,12,0),"Not Covered"))</f>
        <v>1.1000000000000001</v>
      </c>
      <c r="W58" s="76">
        <f>IF(OR(Q58="Cash",Q58="Receivable Investments",Q58="Payable Investments"),0,IF(Q58="Investments",VLOOKUP(R58,LQA!E:Q,9,0),"Not Covered"))</f>
        <v>7.7320000000000002E-3</v>
      </c>
      <c r="X58" s="13" t="str">
        <f>IF(OR(H58=0,T58="Comdty"),"High",IF(V58&lt;='Liquidity Bucket'!$A$4,'Liquidity Bucket'!$I$4,IF(V58&lt;='Liquidity Bucket'!$A$5,'Liquidity Bucket'!$I$5,IF(V58&lt;='Liquidity Bucket'!$A$6,'Liquidity Bucket'!$I$6,IF(V58='Liquidity Bucket'!$A$8,'Liquidity Bucket'!$I$8,'Liquidity Bucket'!$I$7)))))</f>
        <v>High</v>
      </c>
      <c r="Y58" s="153">
        <f>IF(OR(Q58="Cash",Q58="Receivable Investments",Q58="Payable Investments"),0,IF(Q58="Investments",VLOOKUP(R58,'LQA Stress'!E:Q,12,0),"Not Covered"))</f>
        <v>7.8</v>
      </c>
      <c r="Z58" s="75">
        <f>IF(OR(Q58="Cash",Q58="Receivable Investments",Q58="Payable Investments"),0,IF(Q58="Investments",VLOOKUP(R58,'LQA Stress'!E:Q,9,0),"Not Covered"))</f>
        <v>1.9286999999999999E-2</v>
      </c>
      <c r="AA58" s="13" t="str">
        <f>IF(T58="Comdty","High",IF(Y58&lt;='Liquidity Bucket'!$A$4,'Liquidity Bucket'!$I$4,IF(Y58&lt;='Liquidity Bucket'!$A$5,'Liquidity Bucket'!$I$5,IF(Y58&lt;='Liquidity Bucket'!$A$6,'Liquidity Bucket'!$I$6,IF(Y58='Liquidity Bucket'!$A$8,'Liquidity Bucket'!$I$8,'Liquidity Bucket'!$I$7)))))</f>
        <v>Low</v>
      </c>
      <c r="AB58" s="14">
        <f>(N58+M58)/'FX Rates'!$C$5</f>
        <v>6626350.3212074302</v>
      </c>
      <c r="AC58" s="15" t="str">
        <f>IF(X58="Not Covered", (H58/_xll.BDP(R58&amp;" FIGI",$AC$1)),"")</f>
        <v/>
      </c>
      <c r="AD58" s="16" t="str">
        <f>IF(X58="Not Covered", _xll.BDP(R58&amp;" FIGI",$AD$1),"")</f>
        <v/>
      </c>
      <c r="AE58" s="16" t="str">
        <f>IF(OR(T58="Corp",T58="Govt"),IF(_xll.BDP(R58&amp;" FIGI",$AE$1)="#N/A N/A","",_xll.BDP(R58&amp;" FIGI",$AE$1)),"")</f>
        <v/>
      </c>
      <c r="AF58" s="1" t="str">
        <f>IF(OR(T58="Corp",T58="Govt"),IF(_xll.BDP(R58&amp;" FIGI",$AF$1)="#N/A N/A","",_xll.BDP(R58&amp;" FIGI",$AF$1)),"")</f>
        <v>Baa3</v>
      </c>
      <c r="AG58" s="16" t="str">
        <f>IF(OR(T58="Corp",T58="Govt"),IF(_xll.BDP(R58&amp;" FIGI",$AG$1)="#N/A N/A","",_xll.BDP(R58&amp;" FIGI",$AG$1)),"")</f>
        <v/>
      </c>
      <c r="AH58" s="125">
        <f>IF(OR(S58="Cash",S58="M-Mkt"),21,IF(AE58="",0,VLOOKUP(AE58,'Rating Scale'!A:B,2,0)))</f>
        <v>0</v>
      </c>
      <c r="AI58" s="125">
        <f>IF(OR(S58="Cash",S58="M-Mkt"),21,IF(AF58="",0,VLOOKUP(AF58,'Rating Scale'!D:E,2,0)))</f>
        <v>12</v>
      </c>
      <c r="AJ58" s="125">
        <f>IF(OR(S58="Cash",S58="M-Mkt"),21,IF(AG58="",0,VLOOKUP(AG58,'Rating Scale'!G:H,2,0)))</f>
        <v>0</v>
      </c>
      <c r="AK58">
        <f t="shared" si="10"/>
        <v>12</v>
      </c>
      <c r="AL58" s="1" t="str">
        <f>IF(OR(U58="Cash",U58="Cash Adjustments"),_xll.BDP(G58&amp;" Curncy","Country"),IF(T58="Equity",_xll.BDP(R58&amp;" FIGI","CNTRY_ISSUE_ISO"),_xll.BDP(R58&amp;" FIGI",$AL$1)))</f>
        <v>HK</v>
      </c>
      <c r="AM58" s="126" t="str">
        <f>IF(OR(T58="Cash",T58="Cash Adjustments",T58="M-Mkt"), T58, IF(T58="Comdty",AS58, _xll.BDP(R58&amp;" FIGI", $AM$1)))</f>
        <v>Financial</v>
      </c>
      <c r="AN58" s="126" t="str">
        <f>IF(OR(T58="Cash",T58="Cash Adjustments",T58="M-Mkt"), T58,  IF(T58="Comdty",AS58,_xll.BDP(R58&amp;" FIGI", $AN$1)))</f>
        <v>Banks</v>
      </c>
      <c r="AO58" s="126" t="str">
        <f>IF(OR(T58="Cash",T58="Cash Adjustments",T58="M-Mkt"), T58,  IF(T58="Comdty",AS58,_xll.BDP(R58&amp;" FIGI", $AO$1)))</f>
        <v>Commer Banks Non-US</v>
      </c>
      <c r="AP58" s="13" t="str">
        <f>IF(OR(T58="Cash",T58="Cash Adjustments"), T58, IF(_xll.BDP(R58&amp;" FIGI", $AP$1)="#N/A Field Not Applicable","N",_xll.BDP(R58&amp;" FIGI", $AP$1)))</f>
        <v>N</v>
      </c>
      <c r="AQ58" s="1" t="str">
        <f>IF(OR(T58="Cash",T58="Cash Adjustments"), T58, IF(_xll.BDP(R58&amp;" FIGI", $AQ$1)="#N/A Field Not Applicable"," ",_xll.BDP(R58&amp;" FIGI", $AQ$1)))</f>
        <v xml:space="preserve"> </v>
      </c>
      <c r="AR58" s="1" t="str">
        <f>IF(OR(T58="Cash",T58="Cash Adjustments"), T58, IF(_xll.BDP(R58&amp;" FIGI", $AR$1)="#N/A Field Not Applicable"," ",_xll.BDP(R58&amp;" FIGI", $AR$1)))</f>
        <v>ACTV</v>
      </c>
      <c r="AS58" s="1" t="str">
        <f>VLOOKUP(T58,'SFC Classifcation'!$F$2:$H$7,3,0)</f>
        <v>Corporate</v>
      </c>
      <c r="AT58" s="22" t="str">
        <f t="shared" si="0"/>
        <v>Financial</v>
      </c>
      <c r="AU58" s="1" t="str">
        <f t="shared" si="4"/>
        <v>Investment Grade</v>
      </c>
      <c r="AV58" s="1" t="str">
        <f>IF(OR(T58="Cash",T58="Cash Adjustments"),T58,VLOOKUP(AL58,'SFC Classifcation'!$A:$C,3,0))</f>
        <v>Hong Kong</v>
      </c>
      <c r="AW58" s="22" t="str">
        <f t="shared" si="5"/>
        <v>High</v>
      </c>
      <c r="AX58" s="22" t="str">
        <f t="shared" si="6"/>
        <v>Low</v>
      </c>
      <c r="AY58" s="45" t="str">
        <f>IF(OR(T58="Cash",T58="Cash Adjustments"), T58, _xll.BDP(R58&amp;" FIGI", $AY$1))</f>
        <v>#N/A Field Not Applicable</v>
      </c>
      <c r="AZ58" s="45" t="str">
        <f>IF(OR(T58="Cash",T58="Cash Adjustments"), T58, _xll.BDP(R58&amp;" FIGI", $AZ$1))</f>
        <v>BANK</v>
      </c>
      <c r="BA58" s="45" t="str">
        <f>IF(OR(T58="Cash",T58="Cash Adjustments"), T58, _xll.BDP(R58&amp;" FIGI", $BA$1))</f>
        <v>#N/A Field Not Applicable</v>
      </c>
      <c r="BB58" s="16">
        <f>IF(OR(AS58="Government",AS58="Corporate"),(AK58*AB58/'SFC Report'!$C$20),"")</f>
        <v>0.14446186918796278</v>
      </c>
      <c r="BC58" s="174" t="str">
        <f>IF(OR(T58="Cash",T58="Cash Adjustments", T58="FX Forward", T58="Repo", T58="Equity", T58="M-Mkt"), "", _xll.BDP(R58&amp;" FIGI", $BC$1))</f>
        <v>2/28/2029</v>
      </c>
      <c r="BD58" s="125">
        <f ca="1">IF(OR(T58="Cash",T58="Cash Adjustments",T58="FX Forward",T58="Repo", T58="Equity", T58="M-Mkt"),"",(BC58-'SFC Report'!$B$13)/365)</f>
        <v>8.838356164383562</v>
      </c>
      <c r="BE58" s="82" t="str">
        <f t="shared" ca="1" si="9"/>
        <v>7 - 10 yrs</v>
      </c>
      <c r="BF58" s="5">
        <f ca="1">IF(BC58="","",BD58*AB58/'SFC Report'!$C$20)</f>
        <v>0.10640045433798355</v>
      </c>
      <c r="BG58" s="14" cm="1">
        <f t="array" ref="BG58">IF(OR(AS58="Corporate",AS58="Government"),_xll.BDP(G58&amp;" ISIN", $BG$1),"")</f>
        <v>3.384687423756207</v>
      </c>
      <c r="BH58" s="140">
        <f>IF(OR(AS58="Corporate",AS58="Government"),BG58*BN58/'SFC Report'!$C$20,"")</f>
        <v>4.0746522654400992E-2</v>
      </c>
      <c r="BI58" s="140">
        <f>IF(OR(AS58="Corporate",AS58="Government"),_xll.BDP(G58&amp;" ISIN", $BI$1),"")</f>
        <v>3.2873021408431518</v>
      </c>
      <c r="BJ58" s="140">
        <f>IF(OR(AS58="Corporate",AS58="Government"),BI58*AB58/'SFC Report'!$C$20,"")</f>
        <v>3.9574150987649451E-2</v>
      </c>
      <c r="BK58" s="153" t="str">
        <f>IF(OR(T58="Cash",T58="Cash Adjustments"),"-",_xll.BDP(R58&amp;" FIGI",$BK$1))</f>
        <v>XS1897158892</v>
      </c>
      <c r="BL58" s="11" t="str">
        <f>IF(OR(AS58="Cash", AS58="Cash Adjustments"),"-",IF(ISNA(VLOOKUP(BK58,'BBG - VaR Data (Sample, Indus )'!C:N,5,0)),"-",VLOOKUP(BK58,'BBG - VaR Data (Sample, Indus )'!C:N,5,0)))</f>
        <v>-</v>
      </c>
      <c r="BM58" s="11">
        <f>IF(OR(AS58="Cash", AS58="Cash Adjustments"),"-",IF(ISNA(VLOOKUP(BK58,'BBG - Scenarios (Sample View)'!C:Z,14,0)),"-",VLOOKUP(BK58,'BBG - Scenarios (Sample View)'!C:Z,14,0)))</f>
        <v>-3.52</v>
      </c>
      <c r="BN58" s="14">
        <f t="shared" si="7"/>
        <v>6626350.3212074302</v>
      </c>
      <c r="BO58" s="1">
        <f t="shared" si="8"/>
        <v>1.2998572636245181E-2</v>
      </c>
      <c r="BP58" t="str">
        <f>IF(BC58&lt;&gt;0,MaturityBucket(BG58),"")</f>
        <v>3 - 5 yrs</v>
      </c>
      <c r="BQ58" s="11" t="str">
        <f>IF(OR(T58="Cash",T58="Cash Adjustments"),T58,VLOOKUP(AL58,'SFC Classifcation'!$A:$C,2,0))</f>
        <v>Hong Kong</v>
      </c>
      <c r="BR58" s="1" t="e">
        <f>IF(S58="Bond",BH58/'SFC Report'!$B$7,"")</f>
        <v>#VALUE!</v>
      </c>
      <c r="BS58" t="str">
        <f>IF(OR(T58="Cash",T58="Cash Adjustments"),"-",_xll.BDP(R58&amp;" FIGI",$BS$1))</f>
        <v>#N/A N/A</v>
      </c>
      <c r="BT58" t="str">
        <f>IF(OR(T58="Cash",T58="Cash Adjustments"),"-",_xll.BDP(R58&amp;" FIGI",$BT$1))</f>
        <v>2/15/2019</v>
      </c>
      <c r="BU58" t="str">
        <f>IF(OR(T58="Cash",T58="Cash Adjustments"),"-",_xll.BDP(R58&amp;" FIGI",$BU$1))</f>
        <v>#N/A N/A</v>
      </c>
    </row>
    <row r="59" spans="1:73">
      <c r="A59" s="254" t="s">
        <v>15</v>
      </c>
      <c r="B59" s="254" t="s">
        <v>25</v>
      </c>
      <c r="C59" s="254" t="s">
        <v>46</v>
      </c>
      <c r="D59" s="254" t="s">
        <v>22</v>
      </c>
      <c r="E59" s="254"/>
      <c r="F59" s="254" t="s">
        <v>965</v>
      </c>
      <c r="G59" s="254" t="s">
        <v>966</v>
      </c>
      <c r="H59" s="270">
        <v>5000000</v>
      </c>
      <c r="I59" s="270">
        <v>100.017</v>
      </c>
      <c r="J59" s="270">
        <v>4995000</v>
      </c>
      <c r="K59" s="270">
        <v>39197263.5</v>
      </c>
      <c r="L59" s="270">
        <v>-439675.83</v>
      </c>
      <c r="M59" s="270">
        <v>328307.08</v>
      </c>
      <c r="N59" s="270">
        <v>38757587.670000002</v>
      </c>
      <c r="O59" s="255">
        <v>8.5000000000000006E-3</v>
      </c>
      <c r="P59" s="1"/>
      <c r="Q59" s="1" t="str">
        <f t="shared" si="2"/>
        <v>Investments</v>
      </c>
      <c r="R59" s="1" t="str">
        <f>_xll.BDP(G59&amp;" ISIN",$R$1)</f>
        <v>BBG00Q3NXL14</v>
      </c>
      <c r="S59" s="191" t="s">
        <v>519</v>
      </c>
      <c r="T59" s="1" t="str">
        <f>IF(Q59="Cash",Q59,IF(OR(Q59="Receivable Investments",Q59="Payable Investments"),"Cash Adjustments",VLOOKUP(R59,LQA!E:S,3,0)))</f>
        <v>Corp</v>
      </c>
      <c r="U59" s="1" t="str">
        <f>IF(Q59="Cash",Q59,IF(OR(Q59="Receivable Investments",Q59="Payable Investments"),"Cash Adjustments",_xll.BDP(R59&amp;" FIGI",$U$1)))</f>
        <v>#N/A Field Not Applicable</v>
      </c>
      <c r="V59" s="10">
        <f>IF(OR(Q59="Cash",Q59="Receivable Investments",Q59="Payable Investments"),0,IF(Q59="Investments",VLOOKUP(R59,LQA!E:Q,12,0),"Not Covered"))</f>
        <v>0.4</v>
      </c>
      <c r="W59" s="76">
        <f>IF(OR(Q59="Cash",Q59="Receivable Investments",Q59="Payable Investments"),0,IF(Q59="Investments",VLOOKUP(R59,LQA!E:Q,9,0),"Not Covered"))</f>
        <v>5.7600000000000004E-3</v>
      </c>
      <c r="X59" s="13" t="str">
        <f>IF(OR(H59=0,T59="Comdty"),"High",IF(V59&lt;='Liquidity Bucket'!$A$4,'Liquidity Bucket'!$I$4,IF(V59&lt;='Liquidity Bucket'!$A$5,'Liquidity Bucket'!$I$5,IF(V59&lt;='Liquidity Bucket'!$A$6,'Liquidity Bucket'!$I$6,IF(V59='Liquidity Bucket'!$A$8,'Liquidity Bucket'!$I$8,'Liquidity Bucket'!$I$7)))))</f>
        <v>High</v>
      </c>
      <c r="Y59" s="153">
        <f>IF(OR(Q59="Cash",Q59="Receivable Investments",Q59="Payable Investments"),0,IF(Q59="Investments",VLOOKUP(R59,'LQA Stress'!E:Q,12,0),"Not Covered"))</f>
        <v>1.9</v>
      </c>
      <c r="Z59" s="75">
        <f>IF(OR(Q59="Cash",Q59="Receivable Investments",Q59="Payable Investments"),0,IF(Q59="Investments",VLOOKUP(R59,'LQA Stress'!E:Q,9,0),"Not Covered"))</f>
        <v>1.3051999999999999E-2</v>
      </c>
      <c r="AA59" s="13" t="str">
        <f>IF(T59="Comdty","High",IF(Y59&lt;='Liquidity Bucket'!$A$4,'Liquidity Bucket'!$I$4,IF(Y59&lt;='Liquidity Bucket'!$A$5,'Liquidity Bucket'!$I$5,IF(Y59&lt;='Liquidity Bucket'!$A$6,'Liquidity Bucket'!$I$6,IF(Y59='Liquidity Bucket'!$A$8,'Liquidity Bucket'!$I$8,'Liquidity Bucket'!$I$7)))))</f>
        <v>High</v>
      </c>
      <c r="AB59" s="14">
        <f>(N59+M59)/'FX Rates'!$C$5</f>
        <v>5042040.0864293091</v>
      </c>
      <c r="AC59" s="15" t="str">
        <f>IF(X59="Not Covered", (H59/_xll.BDP(R59&amp;" FIGI",$AC$1)),"")</f>
        <v/>
      </c>
      <c r="AD59" s="16" t="str">
        <f>IF(X59="Not Covered", _xll.BDP(R59&amp;" FIGI",$AD$1),"")</f>
        <v/>
      </c>
      <c r="AE59" s="16" t="str">
        <f>IF(OR(T59="Corp",T59="Govt"),IF(_xll.BDP(R59&amp;" FIGI",$AE$1)="#N/A N/A","",_xll.BDP(R59&amp;" FIGI",$AE$1)),"")</f>
        <v/>
      </c>
      <c r="AF59" s="1" t="str">
        <f>IF(OR(T59="Corp",T59="Govt"),IF(_xll.BDP(R59&amp;" FIGI",$AF$1)="#N/A N/A","",_xll.BDP(R59&amp;" FIGI",$AF$1)),"")</f>
        <v/>
      </c>
      <c r="AG59" s="16" t="str">
        <f>IF(OR(T59="Corp",T59="Govt"),IF(_xll.BDP(R59&amp;" FIGI",$AG$1)="#N/A N/A","",_xll.BDP(R59&amp;" FIGI",$AG$1)),"")</f>
        <v/>
      </c>
      <c r="AH59" s="125">
        <f>IF(OR(S59="Cash",S59="M-Mkt"),21,IF(AE59="",0,VLOOKUP(AE59,'Rating Scale'!A:B,2,0)))</f>
        <v>0</v>
      </c>
      <c r="AI59" s="125">
        <f>IF(OR(S59="Cash",S59="M-Mkt"),21,IF(AF59="",0,VLOOKUP(AF59,'Rating Scale'!D:E,2,0)))</f>
        <v>0</v>
      </c>
      <c r="AJ59" s="125">
        <f>IF(OR(S59="Cash",S59="M-Mkt"),21,IF(AG59="",0,VLOOKUP(AG59,'Rating Scale'!G:H,2,0)))</f>
        <v>0</v>
      </c>
      <c r="AK59">
        <f>Rating(AH59,AI59,AJ59)</f>
        <v>0</v>
      </c>
      <c r="AL59" s="1" t="str">
        <f>IF(OR(U59="Cash",U59="Cash Adjustments"),_xll.BDP(G59&amp;" Curncy","Country"),IF(T59="Equity",_xll.BDP(R59&amp;" FIGI","CNTRY_ISSUE_ISO"),_xll.BDP(R59&amp;" FIGI",$AL$1)))</f>
        <v>CN</v>
      </c>
      <c r="AM59" s="126" t="str">
        <f>IF(OR(T59="Cash",T59="Cash Adjustments",T59="M-Mkt"), T59, IF(T59="Comdty",AS59, _xll.BDP(R59&amp;" FIGI", $AM$1)))</f>
        <v>Financial</v>
      </c>
      <c r="AN59" s="126" t="str">
        <f>IF(OR(T59="Cash",T59="Cash Adjustments",T59="M-Mkt"), T59,  IF(T59="Comdty",AS59,_xll.BDP(R59&amp;" FIGI", $AN$1)))</f>
        <v>Diversified Finan Serv</v>
      </c>
      <c r="AO59" s="126" t="str">
        <f>IF(OR(T59="Cash",T59="Cash Adjustments",T59="M-Mkt"), T59,  IF(T59="Comdty",AS59,_xll.BDP(R59&amp;" FIGI", $AO$1)))</f>
        <v>Finance-Invest Bnkr/Brkr</v>
      </c>
      <c r="AP59" s="13" t="str">
        <f>IF(OR(T59="Cash",T59="Cash Adjustments"), T59, IF(_xll.BDP(R59&amp;" FIGI", $AP$1)="#N/A Field Not Applicable","N",_xll.BDP(R59&amp;" FIGI", $AP$1)))</f>
        <v>N</v>
      </c>
      <c r="AQ59" s="1" t="str">
        <f>IF(OR(T59="Cash",T59="Cash Adjustments"), T59, IF(_xll.BDP(R59&amp;" FIGI", $AQ$1)="#N/A Field Not Applicable"," ",_xll.BDP(R59&amp;" FIGI", $AQ$1)))</f>
        <v xml:space="preserve"> </v>
      </c>
      <c r="AR59" s="1" t="str">
        <f>IF(OR(T59="Cash",T59="Cash Adjustments"), T59, IF(_xll.BDP(R59&amp;" FIGI", $AR$1)="#N/A Field Not Applicable"," ",_xll.BDP(R59&amp;" FIGI", $AR$1)))</f>
        <v>ACTV</v>
      </c>
      <c r="AS59" s="1" t="str">
        <f>VLOOKUP(T59,'SFC Classifcation'!$F$2:$H$7,3,0)</f>
        <v>Corporate</v>
      </c>
      <c r="AT59" s="22" t="str">
        <f t="shared" si="0"/>
        <v>Financial</v>
      </c>
      <c r="AU59" s="1" t="str">
        <f t="shared" si="4"/>
        <v>Non-Investment Grade</v>
      </c>
      <c r="AV59" s="1" t="str">
        <f>IF(OR(T59="Cash",T59="Cash Adjustments"),T59,VLOOKUP(AL59,'SFC Classifcation'!$A:$C,3,0))</f>
        <v>China</v>
      </c>
      <c r="AW59" s="22" t="str">
        <f t="shared" si="5"/>
        <v>High</v>
      </c>
      <c r="AX59" s="22" t="str">
        <f t="shared" si="6"/>
        <v>High</v>
      </c>
      <c r="AY59" s="45" t="str">
        <f>IF(OR(T59="Cash",T59="Cash Adjustments"), T59, _xll.BDP(R59&amp;" FIGI", $AY$1))</f>
        <v>Financials</v>
      </c>
      <c r="AZ59" s="45" t="str">
        <f>IF(OR(T59="Cash",T59="Cash Adjustments"), T59, _xll.BDP(R59&amp;" FIGI", $AZ$1))</f>
        <v>FINANCIAL</v>
      </c>
      <c r="BA59" s="45" t="str">
        <f>IF(OR(T59="Cash",T59="Cash Adjustments"), T59, _xll.BDP(R59&amp;" FIGI", $BA$1))</f>
        <v>#N/A Field Not Applicable</v>
      </c>
      <c r="BB59" s="16">
        <f>IF(OR(AS59="Government",AS59="Corporate"),(AK59*AB59/'SFC Report'!$C$20),"")</f>
        <v>0</v>
      </c>
      <c r="BC59" s="174" t="str">
        <f>IF(OR(T59="Cash",T59="Cash Adjustments", T59="FX Forward", T59="Repo", T59="Equity", T59="M-Mkt"), "", _xll.BDP(R59&amp;" FIGI", $BC$1))</f>
        <v>8/28/2020</v>
      </c>
      <c r="BD59" s="125">
        <f ca="1">IF(OR(T59="Cash",T59="Cash Adjustments",T59="FX Forward",T59="Repo", T59="Equity", T59="M-Mkt"),"",(BC59-'SFC Report'!$B$13)/365)</f>
        <v>0.32876712328767121</v>
      </c>
      <c r="BE59" s="82" t="str">
        <f t="shared" ca="1" si="9"/>
        <v>0 - 1 yr</v>
      </c>
      <c r="BF59" s="5">
        <f ca="1">IF(BC59="","",BD59*AB59/'SFC Report'!$C$20)</f>
        <v>3.0115651805598907E-3</v>
      </c>
      <c r="BG59" s="14" cm="1">
        <f t="array" ref="BG59">IF(OR(AS59="Corporate",AS59="Government"),_xll.BDP(G59&amp;" ISIN", $BG$1),"")</f>
        <v>0.24965578810748149</v>
      </c>
      <c r="BH59" s="140">
        <f>IF(OR(AS59="Corporate",AS59="Government"),BG59*BN59/'SFC Report'!$C$20,"")</f>
        <v>2.2868913140437603E-3</v>
      </c>
      <c r="BI59" s="140">
        <f>IF(OR(AS59="Corporate",AS59="Government"),_xll.BDP(G59&amp;" ISIN", $BI$1),"")</f>
        <v>4.9471030026902358</v>
      </c>
      <c r="BJ59" s="140">
        <f>IF(OR(AS59="Corporate",AS59="Government"),BI59*AB59/'SFC Report'!$C$20,"")</f>
        <v>4.5316341240449982E-2</v>
      </c>
      <c r="BK59" s="153" t="str">
        <f>IF(OR(T59="Cash",T59="Cash Adjustments"),"-",_xll.BDP(R59&amp;" FIGI",$BK$1))</f>
        <v>XS2042630355</v>
      </c>
      <c r="BL59" s="11" t="str">
        <f>IF(OR(AS59="Cash", AS59="Cash Adjustments"),"-",IF(ISNA(VLOOKUP(BK59,'BBG - VaR Data (Sample, Indus )'!C:N,5,0)),"-",VLOOKUP(BK59,'BBG - VaR Data (Sample, Indus )'!C:N,5,0)))</f>
        <v>-</v>
      </c>
      <c r="BM59" s="11">
        <f>IF(OR(AS59="Cash", AS59="Cash Adjustments"),"-",IF(ISNA(VLOOKUP(BK59,'BBG - Scenarios (Sample View)'!C:Z,14,0)),"-",VLOOKUP(BK59,'BBG - Scenarios (Sample View)'!C:Z,14,0)))</f>
        <v>-0.41</v>
      </c>
      <c r="BN59" s="14">
        <f t="shared" si="7"/>
        <v>5042040.0864293091</v>
      </c>
      <c r="BO59" s="1">
        <f t="shared" si="8"/>
        <v>9.8907122505362752E-3</v>
      </c>
      <c r="BP59" t="str">
        <f>IF(BC59&lt;&gt;0,MaturityBucket(BG59),"")</f>
        <v>0 - 1 yr</v>
      </c>
      <c r="BQ59" s="11" t="str">
        <f>IF(OR(T59="Cash",T59="Cash Adjustments"),T59,VLOOKUP(AL59,'SFC Classifcation'!$A:$C,2,0))</f>
        <v>China</v>
      </c>
      <c r="BR59" s="1" t="e">
        <f>IF(S59="Bond",BH59/'SFC Report'!$B$7,"")</f>
        <v>#VALUE!</v>
      </c>
      <c r="BS59" t="str">
        <f>IF(OR(T59="Cash",T59="Cash Adjustments"),"-",_xll.BDP(R59&amp;" FIGI",$BS$1))</f>
        <v>#N/A N/A</v>
      </c>
      <c r="BT59" t="str">
        <f>IF(OR(T59="Cash",T59="Cash Adjustments"),"-",_xll.BDP(R59&amp;" FIGI",$BT$1))</f>
        <v>#N/A N/A</v>
      </c>
      <c r="BU59" t="str">
        <f>IF(OR(T59="Cash",T59="Cash Adjustments"),"-",_xll.BDP(R59&amp;" FIGI",$BU$1))</f>
        <v>#N/A N/A</v>
      </c>
    </row>
    <row r="60" spans="1:73">
      <c r="A60" s="254" t="s">
        <v>15</v>
      </c>
      <c r="B60" s="254" t="s">
        <v>25</v>
      </c>
      <c r="C60" s="254" t="s">
        <v>46</v>
      </c>
      <c r="D60" s="254" t="s">
        <v>22</v>
      </c>
      <c r="E60" s="254"/>
      <c r="F60" s="254" t="s">
        <v>66</v>
      </c>
      <c r="G60" s="254" t="s">
        <v>67</v>
      </c>
      <c r="H60" s="270">
        <v>2500000</v>
      </c>
      <c r="I60" s="270">
        <v>107.607</v>
      </c>
      <c r="J60" s="270">
        <v>2491500</v>
      </c>
      <c r="K60" s="270">
        <v>19557527.550000001</v>
      </c>
      <c r="L60" s="270">
        <v>1291866.73</v>
      </c>
      <c r="M60" s="270">
        <v>197791.56</v>
      </c>
      <c r="N60" s="270">
        <v>20849394.280000001</v>
      </c>
      <c r="O60" s="255">
        <v>4.5999999999999999E-3</v>
      </c>
      <c r="P60" s="1"/>
      <c r="Q60" s="1" t="str">
        <f t="shared" si="2"/>
        <v>Investments</v>
      </c>
      <c r="R60" s="1" t="str">
        <f>_xll.BDP(G60&amp;" ISIN",$R$1)</f>
        <v>BBG00LJTWWM9</v>
      </c>
      <c r="S60" s="1" t="str">
        <f>IF(Q60="Cash",Q60,IF(OR(Q60="Receivable Investments",Q60="Payable Investments"),"Cash Adjustments",_xll.BDP(R60&amp;" FIGI",$S$1)))</f>
        <v>BOND</v>
      </c>
      <c r="T60" s="1" t="str">
        <f>IF(Q60="Cash",Q60,IF(OR(Q60="Receivable Investments",Q60="Payable Investments"),"Cash Adjustments",VLOOKUP(R60,LQA!E:S,3,0)))</f>
        <v>Corp</v>
      </c>
      <c r="U60" s="1" t="str">
        <f>IF(Q60="Cash",Q60,IF(OR(Q60="Receivable Investments",Q60="Payable Investments"),"Cash Adjustments",_xll.BDP(R60&amp;" FIGI",$U$1)))</f>
        <v>#N/A Field Not Applicable</v>
      </c>
      <c r="V60" s="10">
        <f>IF(OR(Q60="Cash",Q60="Receivable Investments",Q60="Payable Investments"),0,IF(Q60="Investments",VLOOKUP(R60,LQA!E:Q,12,0),"Not Covered"))</f>
        <v>0.5</v>
      </c>
      <c r="W60" s="76">
        <f>IF(OR(Q60="Cash",Q60="Receivable Investments",Q60="Payable Investments"),0,IF(Q60="Investments",VLOOKUP(R60,LQA!E:Q,9,0),"Not Covered"))</f>
        <v>1.7149999999999999E-3</v>
      </c>
      <c r="X60" s="13" t="str">
        <f>IF(OR(H60=0,T60="Comdty"),"High",IF(V60&lt;='Liquidity Bucket'!$A$4,'Liquidity Bucket'!$I$4,IF(V60&lt;='Liquidity Bucket'!$A$5,'Liquidity Bucket'!$I$5,IF(V60&lt;='Liquidity Bucket'!$A$6,'Liquidity Bucket'!$I$6,IF(V60='Liquidity Bucket'!$A$8,'Liquidity Bucket'!$I$8,'Liquidity Bucket'!$I$7)))))</f>
        <v>High</v>
      </c>
      <c r="Y60" s="153">
        <f>IF(OR(Q60="Cash",Q60="Receivable Investments",Q60="Payable Investments"),0,IF(Q60="Investments",VLOOKUP(R60,'LQA Stress'!E:Q,12,0),"Not Covered"))</f>
        <v>1.2</v>
      </c>
      <c r="Z60" s="75">
        <f>IF(OR(Q60="Cash",Q60="Receivable Investments",Q60="Payable Investments"),0,IF(Q60="Investments",VLOOKUP(R60,'LQA Stress'!E:Q,9,0),"Not Covered"))</f>
        <v>4.4970000000000001E-3</v>
      </c>
      <c r="AA60" s="13" t="str">
        <f>IF(T60="Comdty","High",IF(Y60&lt;='Liquidity Bucket'!$A$4,'Liquidity Bucket'!$I$4,IF(Y60&lt;='Liquidity Bucket'!$A$5,'Liquidity Bucket'!$I$5,IF(Y60&lt;='Liquidity Bucket'!$A$6,'Liquidity Bucket'!$I$6,IF(Y60='Liquidity Bucket'!$A$8,'Liquidity Bucket'!$I$8,'Liquidity Bucket'!$I$7)))))</f>
        <v>High</v>
      </c>
      <c r="AB60" s="14">
        <f>(N60+M60)/'FX Rates'!$C$5</f>
        <v>2715065.2528379774</v>
      </c>
      <c r="AC60" s="15" t="str">
        <f>IF(X60="Not Covered", (H60/_xll.BDP(R60&amp;" FIGI",$AC$1)),"")</f>
        <v/>
      </c>
      <c r="AD60" s="16" t="str">
        <f>IF(X60="Not Covered", _xll.BDP(R60&amp;" FIGI",$AD$1),"")</f>
        <v/>
      </c>
      <c r="AE60" s="16" t="str">
        <f>IF(OR(T60="Corp",T60="Govt"),IF(_xll.BDP(R60&amp;" FIGI",$AE$1)="#N/A N/A","",_xll.BDP(R60&amp;" FIGI",$AE$1)),"")</f>
        <v>BBB</v>
      </c>
      <c r="AF60" s="1" t="str">
        <f>IF(OR(T60="Corp",T60="Govt"),IF(_xll.BDP(R60&amp;" FIGI",$AF$1)="#N/A N/A","",_xll.BDP(R60&amp;" FIGI",$AF$1)),"")</f>
        <v>Baa1</v>
      </c>
      <c r="AG60" s="16" t="str">
        <f>IF(OR(T60="Corp",T60="Govt"),IF(_xll.BDP(R60&amp;" FIGI",$AG$1)="#N/A N/A","",_xll.BDP(R60&amp;" FIGI",$AG$1)),"")</f>
        <v/>
      </c>
      <c r="AH60" s="125">
        <f>IF(OR(S60="Cash",S60="M-Mkt"),21,IF(AE60="",0,VLOOKUP(AE60,'Rating Scale'!A:B,2,0)))</f>
        <v>13</v>
      </c>
      <c r="AI60" s="125">
        <f>IF(OR(S60="Cash",S60="M-Mkt"),21,IF(AF60="",0,VLOOKUP(AF60,'Rating Scale'!D:E,2,0)))</f>
        <v>14</v>
      </c>
      <c r="AJ60" s="125">
        <f>IF(OR(S60="Cash",S60="M-Mkt"),21,IF(AG60="",0,VLOOKUP(AG60,'Rating Scale'!G:H,2,0)))</f>
        <v>0</v>
      </c>
      <c r="AK60">
        <f t="shared" si="10"/>
        <v>13</v>
      </c>
      <c r="AL60" s="1" t="str">
        <f>IF(OR(U60="Cash",U60="Cash Adjustments"),_xll.BDP(G60&amp;" Curncy","Country"),IF(T60="Equity",_xll.BDP(R60&amp;" FIGI","CNTRY_ISSUE_ISO"),_xll.BDP(R60&amp;" FIGI",$AL$1)))</f>
        <v>CN</v>
      </c>
      <c r="AM60" s="126" t="str">
        <f>IF(OR(T60="Cash",T60="Cash Adjustments",T60="M-Mkt"), T60, IF(T60="Comdty",AS60, _xll.BDP(R60&amp;" FIGI", $AM$1)))</f>
        <v>Consumer, Non-cyclical</v>
      </c>
      <c r="AN60" s="126" t="str">
        <f>IF(OR(T60="Cash",T60="Cash Adjustments",T60="M-Mkt"), T60,  IF(T60="Comdty",AS60,_xll.BDP(R60&amp;" FIGI", $AN$1)))</f>
        <v>Commercial Services</v>
      </c>
      <c r="AO60" s="126" t="str">
        <f>IF(OR(T60="Cash",T60="Cash Adjustments",T60="M-Mkt"), T60,  IF(T60="Comdty",AS60,_xll.BDP(R60&amp;" FIGI", $AO$1)))</f>
        <v>Whsing&amp;Harbor Trans Serv</v>
      </c>
      <c r="AP60" s="13" t="str">
        <f>IF(OR(T60="Cash",T60="Cash Adjustments"), T60, IF(_xll.BDP(R60&amp;" FIGI", $AP$1)="#N/A Field Not Applicable","N",_xll.BDP(R60&amp;" FIGI", $AP$1)))</f>
        <v>N</v>
      </c>
      <c r="AQ60" s="1" t="str">
        <f>IF(OR(T60="Cash",T60="Cash Adjustments"), T60, IF(_xll.BDP(R60&amp;" FIGI", $AQ$1)="#N/A Field Not Applicable"," ",_xll.BDP(R60&amp;" FIGI", $AQ$1)))</f>
        <v xml:space="preserve"> </v>
      </c>
      <c r="AR60" s="1" t="str">
        <f>IF(OR(T60="Cash",T60="Cash Adjustments"), T60, IF(_xll.BDP(R60&amp;" FIGI", $AR$1)="#N/A Field Not Applicable"," ",_xll.BDP(R60&amp;" FIGI", $AR$1)))</f>
        <v>ACTV</v>
      </c>
      <c r="AS60" s="1" t="str">
        <f>VLOOKUP(T60,'SFC Classifcation'!$F$2:$H$7,3,0)</f>
        <v>Corporate</v>
      </c>
      <c r="AT60" s="22" t="str">
        <f t="shared" si="0"/>
        <v>Non-Financial</v>
      </c>
      <c r="AU60" s="1" t="str">
        <f t="shared" si="4"/>
        <v>Investment Grade</v>
      </c>
      <c r="AV60" s="1" t="str">
        <f>IF(OR(T60="Cash",T60="Cash Adjustments"),T60,VLOOKUP(AL60,'SFC Classifcation'!$A:$C,3,0))</f>
        <v>China</v>
      </c>
      <c r="AW60" s="22" t="str">
        <f t="shared" si="5"/>
        <v>High</v>
      </c>
      <c r="AX60" s="22" t="str">
        <f t="shared" si="6"/>
        <v>High</v>
      </c>
      <c r="AY60" s="45" t="str">
        <f>IF(OR(T60="Cash",T60="Cash Adjustments"), T60, _xll.BDP(R60&amp;" FIGI", $AY$1))</f>
        <v>#N/A Field Not Applicable</v>
      </c>
      <c r="AZ60" s="45" t="str">
        <f>IF(OR(T60="Cash",T60="Cash Adjustments"), T60, _xll.BDP(R60&amp;" FIGI", $AZ$1))</f>
        <v>SPECIAL PURPOSE</v>
      </c>
      <c r="BA60" s="45" t="str">
        <f>IF(OR(T60="Cash",T60="Cash Adjustments"), T60, _xll.BDP(R60&amp;" FIGI", $BA$1))</f>
        <v>#N/A Field Not Applicable</v>
      </c>
      <c r="BB60" s="16">
        <f>IF(OR(AS60="Government",AS60="Corporate"),(AK60*AB60/'SFC Report'!$C$20),"")</f>
        <v>6.4124090071379272E-2</v>
      </c>
      <c r="BC60" s="174" t="str">
        <f>IF(OR(T60="Cash",T60="Cash Adjustments", T60="FX Forward", T60="Repo", T60="Equity", T60="M-Mkt"), "", _xll.BDP(R60&amp;" FIGI", $BC$1))</f>
        <v>8/6/2023</v>
      </c>
      <c r="BD60" s="125">
        <f ca="1">IF(OR(T60="Cash",T60="Cash Adjustments",T60="FX Forward",T60="Repo", T60="Equity", T60="M-Mkt"),"",(BC60-'SFC Report'!$B$13)/365)</f>
        <v>3.2684931506849315</v>
      </c>
      <c r="BE60" s="82" t="str">
        <f t="shared" ca="1" si="9"/>
        <v>3 - 5 yrs</v>
      </c>
      <c r="BF60" s="5">
        <f ca="1">IF(BC60="","",BD60*AB60/'SFC Report'!$C$20)</f>
        <v>1.6122242245554367E-2</v>
      </c>
      <c r="BG60" s="14" cm="1">
        <f t="array" ref="BG60">IF(OR(AS60="Corporate",AS60="Government"),_xll.BDP(G60&amp;" ISIN", $BG$1),"")</f>
        <v>2.9522489276630703</v>
      </c>
      <c r="BH60" s="140">
        <f>IF(OR(AS60="Corporate",AS60="Government"),BG60*BN60/'SFC Report'!$C$20,"")</f>
        <v>1.4562328934661507E-2</v>
      </c>
      <c r="BI60" s="140">
        <f>IF(OR(AS60="Corporate",AS60="Government"),_xll.BDP(G60&amp;" ISIN", $BI$1),"")</f>
        <v>2.1461253644555849</v>
      </c>
      <c r="BJ60" s="140">
        <f>IF(OR(AS60="Corporate",AS60="Government"),BI60*AB60/'SFC Report'!$C$20,"")</f>
        <v>1.0586025859601661E-2</v>
      </c>
      <c r="BK60" s="153" t="str">
        <f>IF(OR(T60="Cash",T60="Cash Adjustments"),"-",_xll.BDP(R60&amp;" FIGI",$BK$1))</f>
        <v>XS1856799421</v>
      </c>
      <c r="BL60" s="11" t="str">
        <f>IF(OR(AS60="Cash", AS60="Cash Adjustments"),"-",IF(ISNA(VLOOKUP(BK60,'BBG - VaR Data (Sample, Indus )'!C:N,5,0)),"-",VLOOKUP(BK60,'BBG - VaR Data (Sample, Indus )'!C:N,5,0)))</f>
        <v>-</v>
      </c>
      <c r="BM60" s="11">
        <f>IF(OR(AS60="Cash", AS60="Cash Adjustments"),"-",IF(ISNA(VLOOKUP(BK60,'BBG - Scenarios (Sample View)'!C:Z,14,0)),"-",VLOOKUP(BK60,'BBG - Scenarios (Sample View)'!C:Z,14,0)))</f>
        <v>-1.39</v>
      </c>
      <c r="BN60" s="14">
        <f t="shared" si="7"/>
        <v>2715065.2528379774</v>
      </c>
      <c r="BO60" s="1">
        <f t="shared" si="8"/>
        <v>5.3260046919356143E-3</v>
      </c>
      <c r="BP60" t="str">
        <f>IF(BC60&lt;&gt;0,MaturityBucket(BG60),"")</f>
        <v>2 - 3 yrs</v>
      </c>
      <c r="BQ60" s="11" t="str">
        <f>IF(OR(T60="Cash",T60="Cash Adjustments"),T60,VLOOKUP(AL60,'SFC Classifcation'!$A:$C,2,0))</f>
        <v>China</v>
      </c>
      <c r="BR60" s="1" t="e">
        <f>IF(S60="Bond",BH60/'SFC Report'!$B$7,"")</f>
        <v>#VALUE!</v>
      </c>
      <c r="BS60" t="str">
        <f>IF(OR(T60="Cash",T60="Cash Adjustments"),"-",_xll.BDP(R60&amp;" FIGI",$BS$1))</f>
        <v>7/24/2018</v>
      </c>
      <c r="BT60" t="str">
        <f>IF(OR(T60="Cash",T60="Cash Adjustments"),"-",_xll.BDP(R60&amp;" FIGI",$BT$1))</f>
        <v>7/24/2018</v>
      </c>
      <c r="BU60" t="str">
        <f>IF(OR(T60="Cash",T60="Cash Adjustments"),"-",_xll.BDP(R60&amp;" FIGI",$BU$1))</f>
        <v>#N/A N/A</v>
      </c>
    </row>
    <row r="61" spans="1:73">
      <c r="A61" s="254" t="s">
        <v>15</v>
      </c>
      <c r="B61" s="254" t="s">
        <v>25</v>
      </c>
      <c r="C61" s="254" t="s">
        <v>46</v>
      </c>
      <c r="D61" s="254" t="s">
        <v>22</v>
      </c>
      <c r="E61" s="254"/>
      <c r="F61" s="254" t="s">
        <v>68</v>
      </c>
      <c r="G61" s="254" t="s">
        <v>69</v>
      </c>
      <c r="H61" s="270">
        <v>10000000</v>
      </c>
      <c r="I61" s="270">
        <v>113.53100000000001</v>
      </c>
      <c r="J61" s="270">
        <v>10083086.67</v>
      </c>
      <c r="K61" s="270">
        <v>79149947.319999993</v>
      </c>
      <c r="L61" s="270">
        <v>8838848.3000000007</v>
      </c>
      <c r="M61" s="270">
        <v>904190.01</v>
      </c>
      <c r="N61" s="270">
        <v>87988795.620000005</v>
      </c>
      <c r="O61" s="255">
        <v>1.9300000000000001E-2</v>
      </c>
      <c r="P61" s="1"/>
      <c r="Q61" s="1" t="str">
        <f t="shared" si="2"/>
        <v>Investments</v>
      </c>
      <c r="R61" s="1" t="str">
        <f>_xll.BDP(G61&amp;" ISIN",$R$1)</f>
        <v>BBG00LLFHRL5</v>
      </c>
      <c r="S61" s="1" t="str">
        <f>IF(Q61="Cash",Q61,IF(OR(Q61="Receivable Investments",Q61="Payable Investments"),"Cash Adjustments",_xll.BDP(R61&amp;" FIGI",$S$1)))</f>
        <v>BOND</v>
      </c>
      <c r="T61" s="1" t="str">
        <f>IF(Q61="Cash",Q61,IF(OR(Q61="Receivable Investments",Q61="Payable Investments"),"Cash Adjustments",VLOOKUP(R61,LQA!E:S,3,0)))</f>
        <v>Corp</v>
      </c>
      <c r="U61" s="1" t="str">
        <f>IF(Q61="Cash",Q61,IF(OR(Q61="Receivable Investments",Q61="Payable Investments"),"Cash Adjustments",_xll.BDP(R61&amp;" FIGI",$U$1)))</f>
        <v>#N/A Field Not Applicable</v>
      </c>
      <c r="V61" s="10">
        <f>IF(OR(Q61="Cash",Q61="Receivable Investments",Q61="Payable Investments"),0,IF(Q61="Investments",VLOOKUP(R61,LQA!E:Q,12,0),"Not Covered"))</f>
        <v>0.5</v>
      </c>
      <c r="W61" s="76">
        <f>IF(OR(Q61="Cash",Q61="Receivable Investments",Q61="Payable Investments"),0,IF(Q61="Investments",VLOOKUP(R61,LQA!E:Q,9,0),"Not Covered"))</f>
        <v>1.2364999999999999E-2</v>
      </c>
      <c r="X61" s="13" t="str">
        <f>IF(OR(H61=0,T61="Comdty"),"High",IF(V61&lt;='Liquidity Bucket'!$A$4,'Liquidity Bucket'!$I$4,IF(V61&lt;='Liquidity Bucket'!$A$5,'Liquidity Bucket'!$I$5,IF(V61&lt;='Liquidity Bucket'!$A$6,'Liquidity Bucket'!$I$6,IF(V61='Liquidity Bucket'!$A$8,'Liquidity Bucket'!$I$8,'Liquidity Bucket'!$I$7)))))</f>
        <v>High</v>
      </c>
      <c r="Y61" s="153">
        <f>IF(OR(Q61="Cash",Q61="Receivable Investments",Q61="Payable Investments"),0,IF(Q61="Investments",VLOOKUP(R61,'LQA Stress'!E:Q,12,0),"Not Covered"))</f>
        <v>1.9</v>
      </c>
      <c r="Z61" s="75">
        <f>IF(OR(Q61="Cash",Q61="Receivable Investments",Q61="Payable Investments"),0,IF(Q61="Investments",VLOOKUP(R61,'LQA Stress'!E:Q,9,0),"Not Covered"))</f>
        <v>3.3043999999999997E-2</v>
      </c>
      <c r="AA61" s="13" t="str">
        <f>IF(T61="Comdty","High",IF(Y61&lt;='Liquidity Bucket'!$A$4,'Liquidity Bucket'!$I$4,IF(Y61&lt;='Liquidity Bucket'!$A$5,'Liquidity Bucket'!$I$5,IF(Y61&lt;='Liquidity Bucket'!$A$6,'Liquidity Bucket'!$I$6,IF(Y61='Liquidity Bucket'!$A$8,'Liquidity Bucket'!$I$8,'Liquidity Bucket'!$I$7)))))</f>
        <v>High</v>
      </c>
      <c r="AB61" s="14">
        <f>(N61+M61)/'FX Rates'!$C$5</f>
        <v>11467103.409442727</v>
      </c>
      <c r="AC61" s="15" t="str">
        <f>IF(X61="Not Covered", (H61/_xll.BDP(R61&amp;" FIGI",$AC$1)),"")</f>
        <v/>
      </c>
      <c r="AD61" s="16" t="str">
        <f>IF(X61="Not Covered", _xll.BDP(R61&amp;" FIGI",$AD$1),"")</f>
        <v/>
      </c>
      <c r="AE61" s="16" t="str">
        <f>IF(OR(T61="Corp",T61="Govt"),IF(_xll.BDP(R61&amp;" FIGI",$AE$1)="#N/A N/A","",_xll.BDP(R61&amp;" FIGI",$AE$1)),"")</f>
        <v>BBB</v>
      </c>
      <c r="AF61" s="1" t="str">
        <f>IF(OR(T61="Corp",T61="Govt"),IF(_xll.BDP(R61&amp;" FIGI",$AF$1)="#N/A N/A","",_xll.BDP(R61&amp;" FIGI",$AF$1)),"")</f>
        <v>Baa1</v>
      </c>
      <c r="AG61" s="16" t="str">
        <f>IF(OR(T61="Corp",T61="Govt"),IF(_xll.BDP(R61&amp;" FIGI",$AG$1)="#N/A N/A","",_xll.BDP(R61&amp;" FIGI",$AG$1)),"")</f>
        <v/>
      </c>
      <c r="AH61" s="125">
        <f>IF(OR(S61="Cash",S61="M-Mkt"),21,IF(AE61="",0,VLOOKUP(AE61,'Rating Scale'!A:B,2,0)))</f>
        <v>13</v>
      </c>
      <c r="AI61" s="125">
        <f>IF(OR(S61="Cash",S61="M-Mkt"),21,IF(AF61="",0,VLOOKUP(AF61,'Rating Scale'!D:E,2,0)))</f>
        <v>14</v>
      </c>
      <c r="AJ61" s="125">
        <f>IF(OR(S61="Cash",S61="M-Mkt"),21,IF(AG61="",0,VLOOKUP(AG61,'Rating Scale'!G:H,2,0)))</f>
        <v>0</v>
      </c>
      <c r="AK61">
        <f t="shared" si="10"/>
        <v>13</v>
      </c>
      <c r="AL61" s="1" t="str">
        <f>IF(OR(U61="Cash",U61="Cash Adjustments"),_xll.BDP(G61&amp;" Curncy","Country"),IF(T61="Equity",_xll.BDP(R61&amp;" FIGI","CNTRY_ISSUE_ISO"),_xll.BDP(R61&amp;" FIGI",$AL$1)))</f>
        <v>CN</v>
      </c>
      <c r="AM61" s="126" t="str">
        <f>IF(OR(T61="Cash",T61="Cash Adjustments",T61="M-Mkt"), T61, IF(T61="Comdty",AS61, _xll.BDP(R61&amp;" FIGI", $AM$1)))</f>
        <v>Consumer, Non-cyclical</v>
      </c>
      <c r="AN61" s="126" t="str">
        <f>IF(OR(T61="Cash",T61="Cash Adjustments",T61="M-Mkt"), T61,  IF(T61="Comdty",AS61,_xll.BDP(R61&amp;" FIGI", $AN$1)))</f>
        <v>Commercial Services</v>
      </c>
      <c r="AO61" s="126" t="str">
        <f>IF(OR(T61="Cash",T61="Cash Adjustments",T61="M-Mkt"), T61,  IF(T61="Comdty",AS61,_xll.BDP(R61&amp;" FIGI", $AO$1)))</f>
        <v>Whsing&amp;Harbor Trans Serv</v>
      </c>
      <c r="AP61" s="13" t="str">
        <f>IF(OR(T61="Cash",T61="Cash Adjustments"), T61, IF(_xll.BDP(R61&amp;" FIGI", $AP$1)="#N/A Field Not Applicable","N",_xll.BDP(R61&amp;" FIGI", $AP$1)))</f>
        <v>N</v>
      </c>
      <c r="AQ61" s="1" t="str">
        <f>IF(OR(T61="Cash",T61="Cash Adjustments"), T61, IF(_xll.BDP(R61&amp;" FIGI", $AQ$1)="#N/A Field Not Applicable"," ",_xll.BDP(R61&amp;" FIGI", $AQ$1)))</f>
        <v xml:space="preserve"> </v>
      </c>
      <c r="AR61" s="1" t="str">
        <f>IF(OR(T61="Cash",T61="Cash Adjustments"), T61, IF(_xll.BDP(R61&amp;" FIGI", $AR$1)="#N/A Field Not Applicable"," ",_xll.BDP(R61&amp;" FIGI", $AR$1)))</f>
        <v>ACTV</v>
      </c>
      <c r="AS61" s="1" t="str">
        <f>VLOOKUP(T61,'SFC Classifcation'!$F$2:$H$7,3,0)</f>
        <v>Corporate</v>
      </c>
      <c r="AT61" s="22" t="str">
        <f t="shared" si="0"/>
        <v>Non-Financial</v>
      </c>
      <c r="AU61" s="1" t="str">
        <f t="shared" si="4"/>
        <v>Investment Grade</v>
      </c>
      <c r="AV61" s="1" t="str">
        <f>IF(OR(T61="Cash",T61="Cash Adjustments"),T61,VLOOKUP(AL61,'SFC Classifcation'!$A:$C,3,0))</f>
        <v>China</v>
      </c>
      <c r="AW61" s="22" t="str">
        <f t="shared" si="5"/>
        <v>High</v>
      </c>
      <c r="AX61" s="22" t="str">
        <f t="shared" si="6"/>
        <v>High</v>
      </c>
      <c r="AY61" s="45" t="str">
        <f>IF(OR(T61="Cash",T61="Cash Adjustments"), T61, _xll.BDP(R61&amp;" FIGI", $AY$1))</f>
        <v>#N/A Field Not Applicable</v>
      </c>
      <c r="AZ61" s="45" t="str">
        <f>IF(OR(T61="Cash",T61="Cash Adjustments"), T61, _xll.BDP(R61&amp;" FIGI", $AZ$1))</f>
        <v>SPECIAL PURPOSE</v>
      </c>
      <c r="BA61" s="45" t="str">
        <f>IF(OR(T61="Cash",T61="Cash Adjustments"), T61, _xll.BDP(R61&amp;" FIGI", $BA$1))</f>
        <v>#N/A Field Not Applicable</v>
      </c>
      <c r="BB61" s="16">
        <f>IF(OR(AS61="Government",AS61="Corporate"),(AK61*AB61/'SFC Report'!$C$20),"")</f>
        <v>0.2708286922814544</v>
      </c>
      <c r="BC61" s="174" t="str">
        <f>IF(OR(T61="Cash",T61="Cash Adjustments", T61="FX Forward", T61="Repo", T61="Equity", T61="M-Mkt"), "", _xll.BDP(R61&amp;" FIGI", $BC$1))</f>
        <v>8/6/2028</v>
      </c>
      <c r="BD61" s="125">
        <f ca="1">IF(OR(T61="Cash",T61="Cash Adjustments",T61="FX Forward",T61="Repo", T61="Equity", T61="M-Mkt"),"",(BC61-'SFC Report'!$B$13)/365)</f>
        <v>8.2739726027397253</v>
      </c>
      <c r="BE61" s="82" t="str">
        <f t="shared" ca="1" si="9"/>
        <v>7 - 10 yrs</v>
      </c>
      <c r="BF61" s="5">
        <f ca="1">IF(BC61="","",BD61*AB61/'SFC Report'!$C$20)</f>
        <v>0.17237147538250625</v>
      </c>
      <c r="BG61" s="14" cm="1">
        <f t="array" ref="BG61">IF(OR(AS61="Corporate",AS61="Government"),_xll.BDP(G61&amp;" ISIN", $BG$1),"")</f>
        <v>6.7400618596152384</v>
      </c>
      <c r="BH61" s="140">
        <f>IF(OR(AS61="Corporate",AS61="Government"),BG61*BN61/'SFC Report'!$C$20,"")</f>
        <v>0.14041554917966945</v>
      </c>
      <c r="BI61" s="140">
        <f>IF(OR(AS61="Corporate",AS61="Government"),_xll.BDP(G61&amp;" ISIN", $BI$1),"")</f>
        <v>2.9475997929804558</v>
      </c>
      <c r="BJ61" s="140">
        <f>IF(OR(AS61="Corporate",AS61="Government"),BI61*AB61/'SFC Report'!$C$20,"")</f>
        <v>6.1407276715537119E-2</v>
      </c>
      <c r="BK61" s="153" t="str">
        <f>IF(OR(T61="Cash",T61="Cash Adjustments"),"-",_xll.BDP(R61&amp;" FIGI",$BK$1))</f>
        <v>XS1856800450</v>
      </c>
      <c r="BL61" s="11" t="str">
        <f>IF(OR(AS61="Cash", AS61="Cash Adjustments"),"-",IF(ISNA(VLOOKUP(BK61,'BBG - VaR Data (Sample, Indus )'!C:N,5,0)),"-",VLOOKUP(BK61,'BBG - VaR Data (Sample, Indus )'!C:N,5,0)))</f>
        <v>-</v>
      </c>
      <c r="BM61" s="11">
        <f>IF(OR(AS61="Cash", AS61="Cash Adjustments"),"-",IF(ISNA(VLOOKUP(BK61,'BBG - Scenarios (Sample View)'!C:Z,14,0)),"-",VLOOKUP(BK61,'BBG - Scenarios (Sample View)'!C:Z,14,0)))</f>
        <v>-3.95</v>
      </c>
      <c r="BN61" s="14">
        <f t="shared" si="7"/>
        <v>11467103.409442727</v>
      </c>
      <c r="BO61" s="1">
        <f t="shared" si="8"/>
        <v>2.2494430473729555E-2</v>
      </c>
      <c r="BP61" t="str">
        <f>IF(BC61&lt;&gt;0,MaturityBucket(BG61),"")</f>
        <v>5 - 7 yrs</v>
      </c>
      <c r="BQ61" s="11" t="str">
        <f>IF(OR(T61="Cash",T61="Cash Adjustments"),T61,VLOOKUP(AL61,'SFC Classifcation'!$A:$C,2,0))</f>
        <v>China</v>
      </c>
      <c r="BR61" s="1" t="e">
        <f>IF(S61="Bond",BH61/'SFC Report'!$B$7,"")</f>
        <v>#VALUE!</v>
      </c>
      <c r="BS61" t="str">
        <f>IF(OR(T61="Cash",T61="Cash Adjustments"),"-",_xll.BDP(R61&amp;" FIGI",$BS$1))</f>
        <v>7/24/2018</v>
      </c>
      <c r="BT61" t="str">
        <f>IF(OR(T61="Cash",T61="Cash Adjustments"),"-",_xll.BDP(R61&amp;" FIGI",$BT$1))</f>
        <v>7/24/2018</v>
      </c>
      <c r="BU61" t="str">
        <f>IF(OR(T61="Cash",T61="Cash Adjustments"),"-",_xll.BDP(R61&amp;" FIGI",$BU$1))</f>
        <v>#N/A N/A</v>
      </c>
    </row>
    <row r="62" spans="1:73">
      <c r="A62" s="254" t="s">
        <v>15</v>
      </c>
      <c r="B62" s="254" t="s">
        <v>25</v>
      </c>
      <c r="C62" s="254" t="s">
        <v>46</v>
      </c>
      <c r="D62" s="254" t="s">
        <v>22</v>
      </c>
      <c r="E62" s="254"/>
      <c r="F62" s="254" t="s">
        <v>70</v>
      </c>
      <c r="G62" s="254" t="s">
        <v>71</v>
      </c>
      <c r="H62" s="270">
        <v>3000000</v>
      </c>
      <c r="I62" s="270">
        <v>109.25</v>
      </c>
      <c r="J62" s="270">
        <v>2946990</v>
      </c>
      <c r="K62" s="270">
        <v>22971787.050000001</v>
      </c>
      <c r="L62" s="270">
        <v>2429493.4500000002</v>
      </c>
      <c r="M62" s="270">
        <v>379759.8</v>
      </c>
      <c r="N62" s="270">
        <v>25401280.5</v>
      </c>
      <c r="O62" s="255">
        <v>5.5999999999999999E-3</v>
      </c>
      <c r="P62" s="1"/>
      <c r="Q62" s="1" t="str">
        <f t="shared" si="2"/>
        <v>Investments</v>
      </c>
      <c r="R62" s="1" t="str">
        <f>_xll.BDP(G62&amp;" ISIN",$R$1)</f>
        <v>BBG00BWQ0R57</v>
      </c>
      <c r="S62" s="1" t="str">
        <f>IF(Q62="Cash",Q62,IF(OR(Q62="Receivable Investments",Q62="Payable Investments"),"Cash Adjustments",_xll.BDP(R62&amp;" FIGI",$S$1)))</f>
        <v>BOND</v>
      </c>
      <c r="T62" s="1" t="str">
        <f>IF(Q62="Cash",Q62,IF(OR(Q62="Receivable Investments",Q62="Payable Investments"),"Cash Adjustments",VLOOKUP(R62,LQA!E:S,3,0)))</f>
        <v>Corp</v>
      </c>
      <c r="U62" s="1" t="str">
        <f>IF(Q62="Cash",Q62,IF(OR(Q62="Receivable Investments",Q62="Payable Investments"),"Cash Adjustments",_xll.BDP(R62&amp;" FIGI",$U$1)))</f>
        <v>#N/A Field Not Applicable</v>
      </c>
      <c r="V62" s="10">
        <f>IF(OR(Q62="Cash",Q62="Receivable Investments",Q62="Payable Investments"),0,IF(Q62="Investments",VLOOKUP(R62,LQA!E:Q,12,0),"Not Covered"))</f>
        <v>1.5</v>
      </c>
      <c r="W62" s="76">
        <f>IF(OR(Q62="Cash",Q62="Receivable Investments",Q62="Payable Investments"),0,IF(Q62="Investments",VLOOKUP(R62,LQA!E:Q,9,0),"Not Covered"))</f>
        <v>7.5050000000000004E-3</v>
      </c>
      <c r="X62" s="13" t="str">
        <f>IF(OR(H62=0,T62="Comdty"),"High",IF(V62&lt;='Liquidity Bucket'!$A$4,'Liquidity Bucket'!$I$4,IF(V62&lt;='Liquidity Bucket'!$A$5,'Liquidity Bucket'!$I$5,IF(V62&lt;='Liquidity Bucket'!$A$6,'Liquidity Bucket'!$I$6,IF(V62='Liquidity Bucket'!$A$8,'Liquidity Bucket'!$I$8,'Liquidity Bucket'!$I$7)))))</f>
        <v>High</v>
      </c>
      <c r="Y62" s="153">
        <f>IF(OR(Q62="Cash",Q62="Receivable Investments",Q62="Payable Investments"),0,IF(Q62="Investments",VLOOKUP(R62,'LQA Stress'!E:Q,12,0),"Not Covered"))</f>
        <v>3.4</v>
      </c>
      <c r="Z62" s="75">
        <f>IF(OR(Q62="Cash",Q62="Receivable Investments",Q62="Payable Investments"),0,IF(Q62="Investments",VLOOKUP(R62,'LQA Stress'!E:Q,9,0),"Not Covered"))</f>
        <v>1.8505000000000001E-2</v>
      </c>
      <c r="AA62" s="13" t="str">
        <f>IF(T62="Comdty","High",IF(Y62&lt;='Liquidity Bucket'!$A$4,'Liquidity Bucket'!$I$4,IF(Y62&lt;='Liquidity Bucket'!$A$5,'Liquidity Bucket'!$I$5,IF(Y62&lt;='Liquidity Bucket'!$A$6,'Liquidity Bucket'!$I$6,IF(Y62='Liquidity Bucket'!$A$8,'Liquidity Bucket'!$I$8,'Liquidity Bucket'!$I$7)))))</f>
        <v>Medium</v>
      </c>
      <c r="AB62" s="14">
        <f>(N62+M62)/'FX Rates'!$C$5</f>
        <v>3325727.5928792572</v>
      </c>
      <c r="AC62" s="15" t="str">
        <f>IF(X62="Not Covered", (H62/_xll.BDP(R62&amp;" FIGI",$AC$1)),"")</f>
        <v/>
      </c>
      <c r="AD62" s="16" t="str">
        <f>IF(X62="Not Covered", _xll.BDP(R62&amp;" FIGI",$AD$1),"")</f>
        <v/>
      </c>
      <c r="AE62" s="16" t="str">
        <f>IF(OR(T62="Corp",T62="Govt"),IF(_xll.BDP(R62&amp;" FIGI",$AE$1)="#N/A N/A","",_xll.BDP(R62&amp;" FIGI",$AE$1)),"")</f>
        <v>BBB+</v>
      </c>
      <c r="AF62" s="1" t="str">
        <f>IF(OR(T62="Corp",T62="Govt"),IF(_xll.BDP(R62&amp;" FIGI",$AF$1)="#N/A N/A","",_xll.BDP(R62&amp;" FIGI",$AF$1)),"")</f>
        <v>A3</v>
      </c>
      <c r="AG62" s="16" t="str">
        <f>IF(OR(T62="Corp",T62="Govt"),IF(_xll.BDP(R62&amp;" FIGI",$AG$1)="#N/A N/A","",_xll.BDP(R62&amp;" FIGI",$AG$1)),"")</f>
        <v/>
      </c>
      <c r="AH62" s="125">
        <f>IF(OR(S62="Cash",S62="M-Mkt"),21,IF(AE62="",0,VLOOKUP(AE62,'Rating Scale'!A:B,2,0)))</f>
        <v>14</v>
      </c>
      <c r="AI62" s="125">
        <f>IF(OR(S62="Cash",S62="M-Mkt"),21,IF(AF62="",0,VLOOKUP(AF62,'Rating Scale'!D:E,2,0)))</f>
        <v>15</v>
      </c>
      <c r="AJ62" s="125">
        <f>IF(OR(S62="Cash",S62="M-Mkt"),21,IF(AG62="",0,VLOOKUP(AG62,'Rating Scale'!G:H,2,0)))</f>
        <v>0</v>
      </c>
      <c r="AK62">
        <f t="shared" si="10"/>
        <v>14</v>
      </c>
      <c r="AL62" s="1" t="str">
        <f>IF(OR(U62="Cash",U62="Cash Adjustments"),_xll.BDP(G62&amp;" Curncy","Country"),IF(T62="Equity",_xll.BDP(R62&amp;" FIGI","CNTRY_ISSUE_ISO"),_xll.BDP(R62&amp;" FIGI",$AL$1)))</f>
        <v>FR</v>
      </c>
      <c r="AM62" s="126" t="str">
        <f>IF(OR(T62="Cash",T62="Cash Adjustments",T62="M-Mkt"), T62, IF(T62="Comdty",AS62, _xll.BDP(R62&amp;" FIGI", $AM$1)))</f>
        <v>Financial</v>
      </c>
      <c r="AN62" s="126" t="str">
        <f>IF(OR(T62="Cash",T62="Cash Adjustments",T62="M-Mkt"), T62,  IF(T62="Comdty",AS62,_xll.BDP(R62&amp;" FIGI", $AN$1)))</f>
        <v>Insurance</v>
      </c>
      <c r="AO62" s="126" t="str">
        <f>IF(OR(T62="Cash",T62="Cash Adjustments",T62="M-Mkt"), T62,  IF(T62="Comdty",AS62,_xll.BDP(R62&amp;" FIGI", $AO$1)))</f>
        <v>Multi-line Insurance</v>
      </c>
      <c r="AP62" s="13" t="str">
        <f>IF(OR(T62="Cash",T62="Cash Adjustments"), T62, IF(_xll.BDP(R62&amp;" FIGI", $AP$1)="#N/A Field Not Applicable","N",_xll.BDP(R62&amp;" FIGI", $AP$1)))</f>
        <v>N</v>
      </c>
      <c r="AQ62" s="1" t="str">
        <f>IF(OR(T62="Cash",T62="Cash Adjustments"), T62, IF(_xll.BDP(R62&amp;" FIGI", $AQ$1)="#N/A Field Not Applicable"," ",_xll.BDP(R62&amp;" FIGI", $AQ$1)))</f>
        <v xml:space="preserve"> </v>
      </c>
      <c r="AR62" s="1" t="str">
        <f>IF(OR(T62="Cash",T62="Cash Adjustments"), T62, IF(_xll.BDP(R62&amp;" FIGI", $AR$1)="#N/A Field Not Applicable"," ",_xll.BDP(R62&amp;" FIGI", $AR$1)))</f>
        <v>ACTV</v>
      </c>
      <c r="AS62" s="1" t="str">
        <f>VLOOKUP(T62,'SFC Classifcation'!$F$2:$H$7,3,0)</f>
        <v>Corporate</v>
      </c>
      <c r="AT62" s="22" t="str">
        <f t="shared" si="0"/>
        <v>Financial</v>
      </c>
      <c r="AU62" s="1" t="str">
        <f t="shared" si="4"/>
        <v>Investment Grade</v>
      </c>
      <c r="AV62" s="1" t="str">
        <f>IF(OR(T62="Cash",T62="Cash Adjustments"),T62,VLOOKUP(AL62,'SFC Classifcation'!$A:$C,3,0))</f>
        <v>France</v>
      </c>
      <c r="AW62" s="22" t="str">
        <f t="shared" si="5"/>
        <v>High</v>
      </c>
      <c r="AX62" s="22" t="str">
        <f t="shared" si="6"/>
        <v>Medium</v>
      </c>
      <c r="AY62" s="45" t="str">
        <f>IF(OR(T62="Cash",T62="Cash Adjustments"), T62, _xll.BDP(R62&amp;" FIGI", $AY$1))</f>
        <v>Financials</v>
      </c>
      <c r="AZ62" s="45" t="str">
        <f>IF(OR(T62="Cash",T62="Cash Adjustments"), T62, _xll.BDP(R62&amp;" FIGI", $AZ$1))</f>
        <v>FINANCIAL</v>
      </c>
      <c r="BA62" s="45" t="str">
        <f>IF(OR(T62="Cash",T62="Cash Adjustments"), T62, _xll.BDP(R62&amp;" FIGI", $BA$1))</f>
        <v>#N/A Field Not Applicable</v>
      </c>
      <c r="BB62" s="16">
        <f>IF(OR(AS62="Government",AS62="Corporate"),(AK62*AB62/'SFC Report'!$C$20),"")</f>
        <v>8.4588690312619466E-2</v>
      </c>
      <c r="BC62" s="174" t="str">
        <f>IF(OR(T62="Cash",T62="Cash Adjustments", T62="FX Forward", T62="Repo", T62="Equity", T62="M-Mkt"), "", _xll.BDP(R62&amp;" FIGI", $BC$1))</f>
        <v>1/22/2049</v>
      </c>
      <c r="BD62" s="125">
        <f ca="1">IF(OR(T62="Cash",T62="Cash Adjustments",T62="FX Forward",T62="Repo", T62="Equity", T62="M-Mkt"),"",(BC62-'SFC Report'!$B$13)/365)</f>
        <v>28.75068493150685</v>
      </c>
      <c r="BE62" s="82" t="str">
        <f t="shared" ca="1" si="9"/>
        <v>10 yrs or Above</v>
      </c>
      <c r="BF62" s="5">
        <f ca="1">IF(BC62="","",BD62*AB62/'SFC Report'!$C$20)</f>
        <v>0.17371305599620915</v>
      </c>
      <c r="BG62" s="14" cm="1">
        <f t="array" ref="BG62">IF(OR(AS62="Corporate",AS62="Government"),_xll.BDP(G62&amp;" ISIN", $BG$1),"")</f>
        <v>6.676958459940507</v>
      </c>
      <c r="BH62" s="140">
        <f>IF(OR(AS62="Corporate",AS62="Government"),BG62*BN62/'SFC Report'!$C$20,"")</f>
        <v>4.034251224272372E-2</v>
      </c>
      <c r="BI62" s="140">
        <f>IF(OR(AS62="Corporate",AS62="Government"),_xll.BDP(G62&amp;" ISIN", $BI$1),"")</f>
        <v>5.3740119780863127</v>
      </c>
      <c r="BJ62" s="140">
        <f>IF(OR(AS62="Corporate",AS62="Government"),BI62*AB62/'SFC Report'!$C$20,"")</f>
        <v>3.2470045353617902E-2</v>
      </c>
      <c r="BK62" s="153" t="str">
        <f>IF(OR(T62="Cash",T62="Cash Adjustments"),"-",_xll.BDP(R62&amp;" FIGI",$BK$1))</f>
        <v>FR0013101599</v>
      </c>
      <c r="BL62" s="11" t="str">
        <f>IF(OR(AS62="Cash", AS62="Cash Adjustments"),"-",IF(ISNA(VLOOKUP(BK62,'BBG - VaR Data (Sample, Indus )'!C:N,5,0)),"-",VLOOKUP(BK62,'BBG - VaR Data (Sample, Indus )'!C:N,5,0)))</f>
        <v>-</v>
      </c>
      <c r="BM62" s="11">
        <f>IF(OR(AS62="Cash", AS62="Cash Adjustments"),"-",IF(ISNA(VLOOKUP(BK62,'BBG - Scenarios (Sample View)'!C:Z,14,0)),"-",VLOOKUP(BK62,'BBG - Scenarios (Sample View)'!C:Z,14,0)))</f>
        <v>-7.5</v>
      </c>
      <c r="BN62" s="14">
        <f t="shared" si="7"/>
        <v>3325727.5928792572</v>
      </c>
      <c r="BO62" s="1">
        <f t="shared" si="8"/>
        <v>6.523909782742773E-3</v>
      </c>
      <c r="BP62" t="str">
        <f>IF(BC62&lt;&gt;0,MaturityBucket(BG62),"")</f>
        <v>5 - 7 yrs</v>
      </c>
      <c r="BQ62" s="11" t="str">
        <f>IF(OR(T62="Cash",T62="Cash Adjustments"),T62,VLOOKUP(AL62,'SFC Classifcation'!$A:$C,2,0))</f>
        <v>France</v>
      </c>
      <c r="BR62" s="1" t="e">
        <f>IF(S62="Bond",BH62/'SFC Report'!$B$7,"")</f>
        <v>#VALUE!</v>
      </c>
      <c r="BS62" t="str">
        <f>IF(OR(T62="Cash",T62="Cash Adjustments"),"-",_xll.BDP(R62&amp;" FIGI",$BS$1))</f>
        <v>1/19/2016</v>
      </c>
      <c r="BT62" t="str">
        <f>IF(OR(T62="Cash",T62="Cash Adjustments"),"-",_xll.BDP(R62&amp;" FIGI",$BT$1))</f>
        <v>6/14/2018</v>
      </c>
      <c r="BU62" t="str">
        <f>IF(OR(T62="Cash",T62="Cash Adjustments"),"-",_xll.BDP(R62&amp;" FIGI",$BU$1))</f>
        <v>#N/A N/A</v>
      </c>
    </row>
    <row r="63" spans="1:73">
      <c r="A63" s="254" t="s">
        <v>15</v>
      </c>
      <c r="B63" s="254" t="s">
        <v>25</v>
      </c>
      <c r="C63" s="254" t="s">
        <v>46</v>
      </c>
      <c r="D63" s="254" t="s">
        <v>22</v>
      </c>
      <c r="E63" s="254"/>
      <c r="F63" s="254" t="s">
        <v>1148</v>
      </c>
      <c r="G63" s="254" t="s">
        <v>1149</v>
      </c>
      <c r="H63" s="270">
        <v>1300000</v>
      </c>
      <c r="I63" s="270">
        <v>94.664000000000001</v>
      </c>
      <c r="J63" s="270">
        <v>1203000</v>
      </c>
      <c r="K63" s="270">
        <v>9324774.9000000004</v>
      </c>
      <c r="L63" s="270">
        <v>212869.23</v>
      </c>
      <c r="M63" s="270">
        <v>152038.47</v>
      </c>
      <c r="N63" s="270">
        <v>9537644.1300000008</v>
      </c>
      <c r="O63" s="255">
        <v>2.0999999999999999E-3</v>
      </c>
      <c r="P63" s="1"/>
      <c r="Q63" s="1" t="str">
        <f t="shared" si="2"/>
        <v>Investments</v>
      </c>
      <c r="R63" s="1" t="str">
        <f>_xll.BDP(G63&amp;" ISIN",$R$1)</f>
        <v>BBG00R9SN7F2</v>
      </c>
      <c r="S63" s="1" t="str">
        <f>IF(Q63="Cash",Q63,IF(OR(Q63="Receivable Investments",Q63="Payable Investments"),"Cash Adjustments",_xll.BDP(R63&amp;" FIGI",$S$1)))</f>
        <v>BOND</v>
      </c>
      <c r="T63" s="1" t="str">
        <f>IF(Q63="Cash",Q63,IF(OR(Q63="Receivable Investments",Q63="Payable Investments"),"Cash Adjustments",VLOOKUP(R63,LQA!E:S,3,0)))</f>
        <v>Corp</v>
      </c>
      <c r="U63" s="1" t="str">
        <f>IF(Q63="Cash",Q63,IF(OR(Q63="Receivable Investments",Q63="Payable Investments"),"Cash Adjustments",_xll.BDP(R63&amp;" FIGI",$U$1)))</f>
        <v>#N/A Field Not Applicable</v>
      </c>
      <c r="V63" s="10">
        <f>IF(OR(Q63="Cash",Q63="Receivable Investments",Q63="Payable Investments"),0,IF(Q63="Investments",VLOOKUP(R63,LQA!E:Q,12,0),"Not Covered"))</f>
        <v>0.2</v>
      </c>
      <c r="W63" s="76">
        <f>IF(OR(Q63="Cash",Q63="Receivable Investments",Q63="Payable Investments"),0,IF(Q63="Investments",VLOOKUP(R63,LQA!E:Q,9,0),"Not Covered"))</f>
        <v>1.3808000000000001E-2</v>
      </c>
      <c r="X63" s="13" t="str">
        <f>IF(OR(H63=0,T63="Comdty"),"High",IF(V63&lt;='Liquidity Bucket'!$A$4,'Liquidity Bucket'!$I$4,IF(V63&lt;='Liquidity Bucket'!$A$5,'Liquidity Bucket'!$I$5,IF(V63&lt;='Liquidity Bucket'!$A$6,'Liquidity Bucket'!$I$6,IF(V63='Liquidity Bucket'!$A$8,'Liquidity Bucket'!$I$8,'Liquidity Bucket'!$I$7)))))</f>
        <v>High</v>
      </c>
      <c r="Y63" s="153">
        <f>IF(OR(Q63="Cash",Q63="Receivable Investments",Q63="Payable Investments"),0,IF(Q63="Investments",VLOOKUP(R63,'LQA Stress'!E:Q,12,0),"Not Covered"))</f>
        <v>0.5</v>
      </c>
      <c r="Z63" s="75">
        <f>IF(OR(Q63="Cash",Q63="Receivable Investments",Q63="Payable Investments"),0,IF(Q63="Investments",VLOOKUP(R63,'LQA Stress'!E:Q,9,0),"Not Covered"))</f>
        <v>3.8136999999999997E-2</v>
      </c>
      <c r="AA63" s="13" t="str">
        <f>IF(T63="Comdty","High",IF(Y63&lt;='Liquidity Bucket'!$A$4,'Liquidity Bucket'!$I$4,IF(Y63&lt;='Liquidity Bucket'!$A$5,'Liquidity Bucket'!$I$5,IF(Y63&lt;='Liquidity Bucket'!$A$6,'Liquidity Bucket'!$I$6,IF(Y63='Liquidity Bucket'!$A$8,'Liquidity Bucket'!$I$8,'Liquidity Bucket'!$I$7)))))</f>
        <v>High</v>
      </c>
      <c r="AB63" s="14">
        <f>(N63+M63)/'FX Rates'!$C$5</f>
        <v>1249959.0557275545</v>
      </c>
      <c r="AC63" s="15" t="str">
        <f>IF(X63="Not Covered", (H63/_xll.BDP(R63&amp;" FIGI",$AC$1)),"")</f>
        <v/>
      </c>
      <c r="AD63" s="16" t="str">
        <f>IF(X63="Not Covered", _xll.BDP(R63&amp;" FIGI",$AD$1),"")</f>
        <v/>
      </c>
      <c r="AE63" s="16" t="str">
        <f>IF(OR(T63="Corp",T63="Govt"),IF(_xll.BDP(R63&amp;" FIGI",$AE$1)="#N/A N/A","",_xll.BDP(R63&amp;" FIGI",$AE$1)),"")</f>
        <v/>
      </c>
      <c r="AF63" s="1" t="str">
        <f>IF(OR(T63="Corp",T63="Govt"),IF(_xll.BDP(R63&amp;" FIGI",$AF$1)="#N/A N/A","",_xll.BDP(R63&amp;" FIGI",$AF$1)),"")</f>
        <v/>
      </c>
      <c r="AG63" s="16" t="str">
        <f>IF(OR(T63="Corp",T63="Govt"),IF(_xll.BDP(R63&amp;" FIGI",$AG$1)="#N/A N/A","",_xll.BDP(R63&amp;" FIGI",$AG$1)),"")</f>
        <v>BBB-</v>
      </c>
      <c r="AH63" s="125">
        <f>IF(OR(S63="Cash",S63="M-Mkt"),21,IF(AE63="",0,VLOOKUP(AE63,'Rating Scale'!A:B,2,0)))</f>
        <v>0</v>
      </c>
      <c r="AI63" s="125">
        <f>IF(OR(S63="Cash",S63="M-Mkt"),21,IF(AF63="",0,VLOOKUP(AF63,'Rating Scale'!D:E,2,0)))</f>
        <v>0</v>
      </c>
      <c r="AJ63" s="125">
        <f>IF(OR(S63="Cash",S63="M-Mkt"),21,IF(AG63="",0,VLOOKUP(AG63,'Rating Scale'!G:H,2,0)))</f>
        <v>12</v>
      </c>
      <c r="AK63">
        <f t="shared" si="10"/>
        <v>12</v>
      </c>
      <c r="AL63" s="1" t="str">
        <f>IF(OR(U63="Cash",U63="Cash Adjustments"),_xll.BDP(G63&amp;" Curncy","Country"),IF(T63="Equity",_xll.BDP(R63&amp;" FIGI","CNTRY_ISSUE_ISO"),_xll.BDP(R63&amp;" FIGI",$AL$1)))</f>
        <v>CN</v>
      </c>
      <c r="AM63" s="126" t="str">
        <f>IF(OR(T63="Cash",T63="Cash Adjustments",T63="M-Mkt"), T63, IF(T63="Comdty",AS63, _xll.BDP(R63&amp;" FIGI", $AM$1)))</f>
        <v>Financial</v>
      </c>
      <c r="AN63" s="126" t="str">
        <f>IF(OR(T63="Cash",T63="Cash Adjustments",T63="M-Mkt"), T63,  IF(T63="Comdty",AS63,_xll.BDP(R63&amp;" FIGI", $AN$1)))</f>
        <v>Real Estate</v>
      </c>
      <c r="AO63" s="126" t="str">
        <f>IF(OR(T63="Cash",T63="Cash Adjustments",T63="M-Mkt"), T63,  IF(T63="Comdty",AS63,_xll.BDP(R63&amp;" FIGI", $AO$1)))</f>
        <v>Real Estate Oper/Develop</v>
      </c>
      <c r="AP63" s="13" t="str">
        <f>IF(OR(T63="Cash",T63="Cash Adjustments"), T63, IF(_xll.BDP(R63&amp;" FIGI", $AP$1)="#N/A Field Not Applicable","N",_xll.BDP(R63&amp;" FIGI", $AP$1)))</f>
        <v>N</v>
      </c>
      <c r="AQ63" s="1" t="str">
        <f>IF(OR(T63="Cash",T63="Cash Adjustments"), T63, IF(_xll.BDP(R63&amp;" FIGI", $AQ$1)="#N/A Field Not Applicable"," ",_xll.BDP(R63&amp;" FIGI", $AQ$1)))</f>
        <v xml:space="preserve"> </v>
      </c>
      <c r="AR63" s="1" t="str">
        <f>IF(OR(T63="Cash",T63="Cash Adjustments"), T63, IF(_xll.BDP(R63&amp;" FIGI", $AR$1)="#N/A Field Not Applicable"," ",_xll.BDP(R63&amp;" FIGI", $AR$1)))</f>
        <v>ACTV</v>
      </c>
      <c r="AS63" s="1" t="str">
        <f>VLOOKUP(T63,'SFC Classifcation'!$F$2:$H$7,3,0)</f>
        <v>Corporate</v>
      </c>
      <c r="AT63" s="22" t="str">
        <f t="shared" si="0"/>
        <v>Financial</v>
      </c>
      <c r="AU63" s="1" t="str">
        <f t="shared" si="4"/>
        <v>Investment Grade</v>
      </c>
      <c r="AV63" s="1" t="str">
        <f>IF(OR(T63="Cash",T63="Cash Adjustments"),T63,VLOOKUP(AL63,'SFC Classifcation'!$A:$C,3,0))</f>
        <v>China</v>
      </c>
      <c r="AW63" s="22" t="str">
        <f t="shared" si="5"/>
        <v>High</v>
      </c>
      <c r="AX63" s="22" t="str">
        <f t="shared" si="6"/>
        <v>High</v>
      </c>
      <c r="AY63" s="45" t="str">
        <f>IF(OR(T63="Cash",T63="Cash Adjustments"), T63, _xll.BDP(R63&amp;" FIGI", $AY$1))</f>
        <v>Real Estate</v>
      </c>
      <c r="AZ63" s="45" t="str">
        <f>IF(OR(T63="Cash",T63="Cash Adjustments"), T63, _xll.BDP(R63&amp;" FIGI", $AZ$1))</f>
        <v>FINANCIAL</v>
      </c>
      <c r="BA63" s="45" t="str">
        <f>IF(OR(T63="Cash",T63="Cash Adjustments"), T63, _xll.BDP(R63&amp;" FIGI", $BA$1))</f>
        <v>#N/A Field Not Applicable</v>
      </c>
      <c r="BB63" s="16">
        <f>IF(OR(AS63="Government",AS63="Corporate"),(AK63*AB63/'SFC Report'!$C$20),"")</f>
        <v>2.7250509382353388E-2</v>
      </c>
      <c r="BC63" s="174" t="str">
        <f>IF(OR(T63="Cash",T63="Cash Adjustments", T63="FX Forward", T63="Repo", T63="Equity", T63="M-Mkt"), "", _xll.BDP(R63&amp;" FIGI", $BC$1))</f>
        <v>1/14/2027</v>
      </c>
      <c r="BD63" s="125">
        <f ca="1">IF(OR(T63="Cash",T63="Cash Adjustments",T63="FX Forward",T63="Repo", T63="Equity", T63="M-Mkt"),"",(BC63-'SFC Report'!$B$13)/365)</f>
        <v>6.7123287671232879</v>
      </c>
      <c r="BE63" s="82" t="str">
        <f t="shared" ca="1" si="9"/>
        <v>5 - 7 yrs</v>
      </c>
      <c r="BF63" s="5">
        <f ca="1">IF(BC63="","",BD63*AB63/'SFC Report'!$C$20)</f>
        <v>1.5242864837161139E-2</v>
      </c>
      <c r="BG63" s="14" cm="1">
        <f t="array" ref="BG63">IF(OR(AS63="Corporate",AS63="Government"),_xll.BDP(G63&amp;" ISIN", $BG$1),"")</f>
        <v>5.4325135241419691</v>
      </c>
      <c r="BH63" s="140">
        <f>IF(OR(AS63="Corporate",AS63="Government"),BG63*BN63/'SFC Report'!$C$20,"")</f>
        <v>1.2336563396616033E-2</v>
      </c>
      <c r="BI63" s="140">
        <f>IF(OR(AS63="Corporate",AS63="Government"),_xll.BDP(G63&amp;" ISIN", $BI$1),"")</f>
        <v>5.5693702291383831</v>
      </c>
      <c r="BJ63" s="140">
        <f>IF(OR(AS63="Corporate",AS63="Government"),BI63*AB63/'SFC Report'!$C$20,"")</f>
        <v>1.2647347973577928E-2</v>
      </c>
      <c r="BK63" s="153" t="str">
        <f>IF(OR(T63="Cash",T63="Cash Adjustments"),"-",_xll.BDP(R63&amp;" FIGI",$BK$1))</f>
        <v>XS2100725949</v>
      </c>
      <c r="BL63" s="11" t="str">
        <f>IF(OR(AS63="Cash", AS63="Cash Adjustments"),"-",IF(ISNA(VLOOKUP(BK63,'BBG - VaR Data (Sample, Indus )'!C:N,5,0)),"-",VLOOKUP(BK63,'BBG - VaR Data (Sample, Indus )'!C:N,5,0)))</f>
        <v>-</v>
      </c>
      <c r="BM63" s="11">
        <f>IF(OR(AS63="Cash", AS63="Cash Adjustments"),"-",IF(ISNA(VLOOKUP(BK63,'BBG - Scenarios (Sample View)'!C:Z,14,0)),"-",VLOOKUP(BK63,'BBG - Scenarios (Sample View)'!C:Z,14,0)))</f>
        <v>-7.2</v>
      </c>
      <c r="BN63" s="14">
        <f t="shared" si="7"/>
        <v>1249959.0557275545</v>
      </c>
      <c r="BO63" s="1">
        <f t="shared" si="8"/>
        <v>2.4519807723124517E-3</v>
      </c>
      <c r="BP63" t="str">
        <f>IF(BC63&lt;&gt;0,MaturityBucket(BG63),"")</f>
        <v>5 - 7 yrs</v>
      </c>
      <c r="BQ63" s="11" t="str">
        <f>IF(OR(T63="Cash",T63="Cash Adjustments"),T63,VLOOKUP(AL63,'SFC Classifcation'!$A:$C,2,0))</f>
        <v>China</v>
      </c>
      <c r="BR63" s="1" t="e">
        <f>IF(S63="Bond",BH63/'SFC Report'!$B$7,"")</f>
        <v>#VALUE!</v>
      </c>
      <c r="BS63" t="str">
        <f>IF(OR(T63="Cash",T63="Cash Adjustments"),"-",_xll.BDP(R63&amp;" FIGI",$BS$1))</f>
        <v>#N/A N/A</v>
      </c>
      <c r="BT63" t="str">
        <f>IF(OR(T63="Cash",T63="Cash Adjustments"),"-",_xll.BDP(R63&amp;" FIGI",$BT$1))</f>
        <v>#N/A N/A</v>
      </c>
      <c r="BU63" t="str">
        <f>IF(OR(T63="Cash",T63="Cash Adjustments"),"-",_xll.BDP(R63&amp;" FIGI",$BU$1))</f>
        <v>1/6/2020</v>
      </c>
    </row>
    <row r="64" spans="1:73">
      <c r="A64" s="254" t="s">
        <v>15</v>
      </c>
      <c r="B64" s="254" t="s">
        <v>25</v>
      </c>
      <c r="C64" s="254" t="s">
        <v>46</v>
      </c>
      <c r="D64" s="254" t="s">
        <v>22</v>
      </c>
      <c r="E64" s="254"/>
      <c r="F64" s="254" t="s">
        <v>1150</v>
      </c>
      <c r="G64" s="254" t="s">
        <v>1151</v>
      </c>
      <c r="H64" s="270">
        <v>800000</v>
      </c>
      <c r="I64" s="270">
        <v>95.828000000000003</v>
      </c>
      <c r="J64" s="270">
        <v>765944.93</v>
      </c>
      <c r="K64" s="270">
        <v>5950303.9400000004</v>
      </c>
      <c r="L64" s="270">
        <v>-8814.6299999999992</v>
      </c>
      <c r="M64" s="270">
        <v>102690.14</v>
      </c>
      <c r="N64" s="270">
        <v>5941489.3099999996</v>
      </c>
      <c r="O64" s="255">
        <v>1.2999999999999999E-3</v>
      </c>
      <c r="P64" s="1"/>
      <c r="Q64" s="1" t="str">
        <f t="shared" si="2"/>
        <v>Investments</v>
      </c>
      <c r="R64" s="1" t="str">
        <f>_xll.BDP(G64&amp;" ISIN",$R$1)</f>
        <v>BBG00R9SNB81</v>
      </c>
      <c r="S64" s="1" t="str">
        <f>IF(Q64="Cash",Q64,IF(OR(Q64="Receivable Investments",Q64="Payable Investments"),"Cash Adjustments",_xll.BDP(R64&amp;" FIGI",$S$1)))</f>
        <v>BOND</v>
      </c>
      <c r="T64" s="1" t="str">
        <f>IF(Q64="Cash",Q64,IF(OR(Q64="Receivable Investments",Q64="Payable Investments"),"Cash Adjustments",VLOOKUP(R64,LQA!E:S,3,0)))</f>
        <v>Corp</v>
      </c>
      <c r="U64" s="1" t="str">
        <f>IF(Q64="Cash",Q64,IF(OR(Q64="Receivable Investments",Q64="Payable Investments"),"Cash Adjustments",_xll.BDP(R64&amp;" FIGI",$U$1)))</f>
        <v>#N/A Field Not Applicable</v>
      </c>
      <c r="V64" s="10">
        <f>IF(OR(Q64="Cash",Q64="Receivable Investments",Q64="Payable Investments"),0,IF(Q64="Investments",VLOOKUP(R64,LQA!E:Q,12,0),"Not Covered"))</f>
        <v>0.1</v>
      </c>
      <c r="W64" s="76">
        <f>IF(OR(Q64="Cash",Q64="Receivable Investments",Q64="Payable Investments"),0,IF(Q64="Investments",VLOOKUP(R64,LQA!E:Q,9,0),"Not Covered"))</f>
        <v>1.3207999999999999E-2</v>
      </c>
      <c r="X64" s="13" t="str">
        <f>IF(OR(H64=0,T64="Comdty"),"High",IF(V64&lt;='Liquidity Bucket'!$A$4,'Liquidity Bucket'!$I$4,IF(V64&lt;='Liquidity Bucket'!$A$5,'Liquidity Bucket'!$I$5,IF(V64&lt;='Liquidity Bucket'!$A$6,'Liquidity Bucket'!$I$6,IF(V64='Liquidity Bucket'!$A$8,'Liquidity Bucket'!$I$8,'Liquidity Bucket'!$I$7)))))</f>
        <v>High</v>
      </c>
      <c r="Y64" s="153">
        <f>IF(OR(Q64="Cash",Q64="Receivable Investments",Q64="Payable Investments"),0,IF(Q64="Investments",VLOOKUP(R64,'LQA Stress'!E:Q,12,0),"Not Covered"))</f>
        <v>0.5</v>
      </c>
      <c r="Z64" s="75">
        <f>IF(OR(Q64="Cash",Q64="Receivable Investments",Q64="Payable Investments"),0,IF(Q64="Investments",VLOOKUP(R64,'LQA Stress'!E:Q,9,0),"Not Covered"))</f>
        <v>3.6594000000000002E-2</v>
      </c>
      <c r="AA64" s="13" t="str">
        <f>IF(T64="Comdty","High",IF(Y64&lt;='Liquidity Bucket'!$A$4,'Liquidity Bucket'!$I$4,IF(Y64&lt;='Liquidity Bucket'!$A$5,'Liquidity Bucket'!$I$5,IF(Y64&lt;='Liquidity Bucket'!$A$6,'Liquidity Bucket'!$I$6,IF(Y64='Liquidity Bucket'!$A$8,'Liquidity Bucket'!$I$8,'Liquidity Bucket'!$I$7)))))</f>
        <v>High</v>
      </c>
      <c r="AB64" s="14">
        <f>(N64+M64)/'FX Rates'!$C$5</f>
        <v>779692.9115067079</v>
      </c>
      <c r="AC64" s="15" t="str">
        <f>IF(X64="Not Covered", (H64/_xll.BDP(R64&amp;" FIGI",$AC$1)),"")</f>
        <v/>
      </c>
      <c r="AD64" s="16" t="str">
        <f>IF(X64="Not Covered", _xll.BDP(R64&amp;" FIGI",$AD$1),"")</f>
        <v/>
      </c>
      <c r="AE64" s="16" t="str">
        <f>IF(OR(T64="Corp",T64="Govt"),IF(_xll.BDP(R64&amp;" FIGI",$AE$1)="#N/A N/A","",_xll.BDP(R64&amp;" FIGI",$AE$1)),"")</f>
        <v/>
      </c>
      <c r="AF64" s="1" t="str">
        <f>IF(OR(T64="Corp",T64="Govt"),IF(_xll.BDP(R64&amp;" FIGI",$AF$1)="#N/A N/A","",_xll.BDP(R64&amp;" FIGI",$AF$1)),"")</f>
        <v/>
      </c>
      <c r="AG64" s="16" t="str">
        <f>IF(OR(T64="Corp",T64="Govt"),IF(_xll.BDP(R64&amp;" FIGI",$AG$1)="#N/A N/A","",_xll.BDP(R64&amp;" FIGI",$AG$1)),"")</f>
        <v>BBB-</v>
      </c>
      <c r="AH64" s="125">
        <f>IF(OR(S64="Cash",S64="M-Mkt"),21,IF(AE64="",0,VLOOKUP(AE64,'Rating Scale'!A:B,2,0)))</f>
        <v>0</v>
      </c>
      <c r="AI64" s="125">
        <f>IF(OR(S64="Cash",S64="M-Mkt"),21,IF(AF64="",0,VLOOKUP(AF64,'Rating Scale'!D:E,2,0)))</f>
        <v>0</v>
      </c>
      <c r="AJ64" s="125">
        <f>IF(OR(S64="Cash",S64="M-Mkt"),21,IF(AG64="",0,VLOOKUP(AG64,'Rating Scale'!G:H,2,0)))</f>
        <v>12</v>
      </c>
      <c r="AK64">
        <f t="shared" si="10"/>
        <v>12</v>
      </c>
      <c r="AL64" s="1" t="str">
        <f>IF(OR(U64="Cash",U64="Cash Adjustments"),_xll.BDP(G64&amp;" Curncy","Country"),IF(T64="Equity",_xll.BDP(R64&amp;" FIGI","CNTRY_ISSUE_ISO"),_xll.BDP(R64&amp;" FIGI",$AL$1)))</f>
        <v>CN</v>
      </c>
      <c r="AM64" s="126" t="str">
        <f>IF(OR(T64="Cash",T64="Cash Adjustments",T64="M-Mkt"), T64, IF(T64="Comdty",AS64, _xll.BDP(R64&amp;" FIGI", $AM$1)))</f>
        <v>Financial</v>
      </c>
      <c r="AN64" s="126" t="str">
        <f>IF(OR(T64="Cash",T64="Cash Adjustments",T64="M-Mkt"), T64,  IF(T64="Comdty",AS64,_xll.BDP(R64&amp;" FIGI", $AN$1)))</f>
        <v>Real Estate</v>
      </c>
      <c r="AO64" s="126" t="str">
        <f>IF(OR(T64="Cash",T64="Cash Adjustments",T64="M-Mkt"), T64,  IF(T64="Comdty",AS64,_xll.BDP(R64&amp;" FIGI", $AO$1)))</f>
        <v>Real Estate Oper/Develop</v>
      </c>
      <c r="AP64" s="13" t="str">
        <f>IF(OR(T64="Cash",T64="Cash Adjustments"), T64, IF(_xll.BDP(R64&amp;" FIGI", $AP$1)="#N/A Field Not Applicable","N",_xll.BDP(R64&amp;" FIGI", $AP$1)))</f>
        <v>N</v>
      </c>
      <c r="AQ64" s="1" t="str">
        <f>IF(OR(T64="Cash",T64="Cash Adjustments"), T64, IF(_xll.BDP(R64&amp;" FIGI", $AQ$1)="#N/A Field Not Applicable"," ",_xll.BDP(R64&amp;" FIGI", $AQ$1)))</f>
        <v xml:space="preserve"> </v>
      </c>
      <c r="AR64" s="1" t="str">
        <f>IF(OR(T64="Cash",T64="Cash Adjustments"), T64, IF(_xll.BDP(R64&amp;" FIGI", $AR$1)="#N/A Field Not Applicable"," ",_xll.BDP(R64&amp;" FIGI", $AR$1)))</f>
        <v>ACTV</v>
      </c>
      <c r="AS64" s="1" t="str">
        <f>VLOOKUP(T64,'SFC Classifcation'!$F$2:$H$7,3,0)</f>
        <v>Corporate</v>
      </c>
      <c r="AT64" s="22" t="str">
        <f t="shared" si="0"/>
        <v>Financial</v>
      </c>
      <c r="AU64" s="1" t="str">
        <f t="shared" si="4"/>
        <v>Investment Grade</v>
      </c>
      <c r="AV64" s="1" t="str">
        <f>IF(OR(T64="Cash",T64="Cash Adjustments"),T64,VLOOKUP(AL64,'SFC Classifcation'!$A:$C,3,0))</f>
        <v>China</v>
      </c>
      <c r="AW64" s="22" t="str">
        <f t="shared" si="5"/>
        <v>High</v>
      </c>
      <c r="AX64" s="22" t="str">
        <f t="shared" si="6"/>
        <v>High</v>
      </c>
      <c r="AY64" s="45" t="str">
        <f>IF(OR(T64="Cash",T64="Cash Adjustments"), T64, _xll.BDP(R64&amp;" FIGI", $AY$1))</f>
        <v>Real Estate</v>
      </c>
      <c r="AZ64" s="45" t="str">
        <f>IF(OR(T64="Cash",T64="Cash Adjustments"), T64, _xll.BDP(R64&amp;" FIGI", $AZ$1))</f>
        <v>FINANCIAL</v>
      </c>
      <c r="BA64" s="45" t="str">
        <f>IF(OR(T64="Cash",T64="Cash Adjustments"), T64, _xll.BDP(R64&amp;" FIGI", $BA$1))</f>
        <v>#N/A Field Not Applicable</v>
      </c>
      <c r="BB64" s="16">
        <f>IF(OR(AS64="Government",AS64="Corporate"),(AK64*AB64/'SFC Report'!$C$20),"")</f>
        <v>1.6998179982784214E-2</v>
      </c>
      <c r="BC64" s="174" t="str">
        <f>IF(OR(T64="Cash",T64="Cash Adjustments", T64="FX Forward", T64="Repo", T64="Equity", T64="M-Mkt"), "", _xll.BDP(R64&amp;" FIGI", $BC$1))</f>
        <v>1/14/2030</v>
      </c>
      <c r="BD64" s="125">
        <f ca="1">IF(OR(T64="Cash",T64="Cash Adjustments",T64="FX Forward",T64="Repo", T64="Equity", T64="M-Mkt"),"",(BC64-'SFC Report'!$B$13)/365)</f>
        <v>9.7150684931506852</v>
      </c>
      <c r="BE64" s="82" t="str">
        <f t="shared" ca="1" si="9"/>
        <v>7 - 10 yrs</v>
      </c>
      <c r="BF64" s="5">
        <f ca="1">IF(BC64="","",BD64*AB64/'SFC Report'!$C$20)</f>
        <v>1.3761540232637629E-2</v>
      </c>
      <c r="BG64" s="14" cm="1">
        <f t="array" ref="BG64">IF(OR(AS64="Corporate",AS64="Government"),_xll.BDP(G64&amp;" ISIN", $BG$1),"")</f>
        <v>7.1928698790892645</v>
      </c>
      <c r="BH64" s="140">
        <f>IF(OR(AS64="Corporate",AS64="Government"),BG64*BN64/'SFC Report'!$C$20,"")</f>
        <v>1.0188808066458886E-2</v>
      </c>
      <c r="BI64" s="140">
        <f>IF(OR(AS64="Corporate",AS64="Government"),_xll.BDP(G64&amp;" ISIN", $BI$1),"")</f>
        <v>5.7559400853656255</v>
      </c>
      <c r="BJ64" s="140">
        <f>IF(OR(AS64="Corporate",AS64="Government"),BI64*AB64/'SFC Report'!$C$20,"")</f>
        <v>8.1533754617639353E-3</v>
      </c>
      <c r="BK64" s="153" t="str">
        <f>IF(OR(T64="Cash",T64="Cash Adjustments"),"-",_xll.BDP(R64&amp;" FIGI",$BK$1))</f>
        <v>XS2100726160</v>
      </c>
      <c r="BL64" s="11" t="str">
        <f>IF(OR(AS64="Cash", AS64="Cash Adjustments"),"-",IF(ISNA(VLOOKUP(BK64,'BBG - VaR Data (Sample, Indus )'!C:N,5,0)),"-",VLOOKUP(BK64,'BBG - VaR Data (Sample, Indus )'!C:N,5,0)))</f>
        <v>-</v>
      </c>
      <c r="BM64" s="11">
        <f>IF(OR(AS64="Cash", AS64="Cash Adjustments"),"-",IF(ISNA(VLOOKUP(BK64,'BBG - Scenarios (Sample View)'!C:Z,14,0)),"-",VLOOKUP(BK64,'BBG - Scenarios (Sample View)'!C:Z,14,0)))</f>
        <v>-8.65</v>
      </c>
      <c r="BN64" s="14">
        <f t="shared" si="7"/>
        <v>779692.9115067079</v>
      </c>
      <c r="BO64" s="1">
        <f t="shared" si="8"/>
        <v>1.5294837207367395E-3</v>
      </c>
      <c r="BP64" t="str">
        <f>IF(BC64&lt;&gt;0,MaturityBucket(BG64),"")</f>
        <v>7 - 10 yrs</v>
      </c>
      <c r="BQ64" s="11" t="str">
        <f>IF(OR(T64="Cash",T64="Cash Adjustments"),T64,VLOOKUP(AL64,'SFC Classifcation'!$A:$C,2,0))</f>
        <v>China</v>
      </c>
      <c r="BR64" s="1" t="e">
        <f>IF(S64="Bond",BH64/'SFC Report'!$B$7,"")</f>
        <v>#VALUE!</v>
      </c>
      <c r="BS64" t="str">
        <f>IF(OR(T64="Cash",T64="Cash Adjustments"),"-",_xll.BDP(R64&amp;" FIGI",$BS$1))</f>
        <v>#N/A N/A</v>
      </c>
      <c r="BT64" t="str">
        <f>IF(OR(T64="Cash",T64="Cash Adjustments"),"-",_xll.BDP(R64&amp;" FIGI",$BT$1))</f>
        <v>#N/A N/A</v>
      </c>
      <c r="BU64" t="str">
        <f>IF(OR(T64="Cash",T64="Cash Adjustments"),"-",_xll.BDP(R64&amp;" FIGI",$BU$1))</f>
        <v>1/6/2020</v>
      </c>
    </row>
    <row r="65" spans="1:73">
      <c r="A65" s="254" t="s">
        <v>15</v>
      </c>
      <c r="B65" s="254" t="s">
        <v>25</v>
      </c>
      <c r="C65" s="254" t="s">
        <v>46</v>
      </c>
      <c r="D65" s="254" t="s">
        <v>22</v>
      </c>
      <c r="E65" s="254"/>
      <c r="F65" s="254" t="s">
        <v>1301</v>
      </c>
      <c r="G65" s="254" t="s">
        <v>1302</v>
      </c>
      <c r="H65" s="270">
        <v>2950000</v>
      </c>
      <c r="I65" s="270">
        <v>100.876</v>
      </c>
      <c r="J65" s="270">
        <v>2880125</v>
      </c>
      <c r="K65" s="270">
        <v>22328745.09</v>
      </c>
      <c r="L65" s="270">
        <v>734625.58</v>
      </c>
      <c r="M65" s="270">
        <v>119713.68</v>
      </c>
      <c r="N65" s="270">
        <v>23063370.670000002</v>
      </c>
      <c r="O65" s="255">
        <v>5.1000000000000004E-3</v>
      </c>
      <c r="P65" s="1"/>
      <c r="Q65" s="1" t="str">
        <f t="shared" si="2"/>
        <v>Investments</v>
      </c>
      <c r="R65" s="1" t="str">
        <f>_xll.BDP(G65&amp;" ISIN",$R$1)</f>
        <v>BBG005BTJ9P5</v>
      </c>
      <c r="S65" s="1" t="str">
        <f>IF(Q65="Cash",Q65,IF(OR(Q65="Receivable Investments",Q65="Payable Investments"),"Cash Adjustments",_xll.BDP(R65&amp;" FIGI",$S$1)))</f>
        <v>BOND</v>
      </c>
      <c r="T65" s="1" t="str">
        <f>IF(Q65="Cash",Q65,IF(OR(Q65="Receivable Investments",Q65="Payable Investments"),"Cash Adjustments",VLOOKUP(R65,LQA!E:S,3,0)))</f>
        <v>Corp</v>
      </c>
      <c r="U65" s="1" t="str">
        <f>IF(Q65="Cash",Q65,IF(OR(Q65="Receivable Investments",Q65="Payable Investments"),"Cash Adjustments",_xll.BDP(R65&amp;" FIGI",$U$1)))</f>
        <v>#N/A Field Not Applicable</v>
      </c>
      <c r="V65" s="10">
        <f>IF(OR(Q65="Cash",Q65="Receivable Investments",Q65="Payable Investments"),0,IF(Q65="Investments",VLOOKUP(R65,LQA!E:Q,12,0),"Not Covered"))</f>
        <v>0.3</v>
      </c>
      <c r="W65" s="76">
        <f>IF(OR(Q65="Cash",Q65="Receivable Investments",Q65="Payable Investments"),0,IF(Q65="Investments",VLOOKUP(R65,LQA!E:Q,9,0),"Not Covered"))</f>
        <v>2.7039999999999998E-3</v>
      </c>
      <c r="X65" s="13" t="str">
        <f>IF(OR(H65=0,T65="Comdty"),"High",IF(V65&lt;='Liquidity Bucket'!$A$4,'Liquidity Bucket'!$I$4,IF(V65&lt;='Liquidity Bucket'!$A$5,'Liquidity Bucket'!$I$5,IF(V65&lt;='Liquidity Bucket'!$A$6,'Liquidity Bucket'!$I$6,IF(V65='Liquidity Bucket'!$A$8,'Liquidity Bucket'!$I$8,'Liquidity Bucket'!$I$7)))))</f>
        <v>High</v>
      </c>
      <c r="Y65" s="153">
        <f>IF(OR(Q65="Cash",Q65="Receivable Investments",Q65="Payable Investments"),0,IF(Q65="Investments",VLOOKUP(R65,'LQA Stress'!E:Q,12,0),"Not Covered"))</f>
        <v>0.7</v>
      </c>
      <c r="Z65" s="75">
        <f>IF(OR(Q65="Cash",Q65="Receivable Investments",Q65="Payable Investments"),0,IF(Q65="Investments",VLOOKUP(R65,'LQA Stress'!E:Q,9,0),"Not Covered"))</f>
        <v>7.0210000000000003E-3</v>
      </c>
      <c r="AA65" s="13" t="str">
        <f>IF(T65="Comdty","High",IF(Y65&lt;='Liquidity Bucket'!$A$4,'Liquidity Bucket'!$I$4,IF(Y65&lt;='Liquidity Bucket'!$A$5,'Liquidity Bucket'!$I$5,IF(Y65&lt;='Liquidity Bucket'!$A$6,'Liquidity Bucket'!$I$6,IF(Y65='Liquidity Bucket'!$A$8,'Liquidity Bucket'!$I$8,'Liquidity Bucket'!$I$7)))))</f>
        <v>High</v>
      </c>
      <c r="AB65" s="14">
        <f>(N65+M65)/'FX Rates'!$C$5</f>
        <v>2990593.9563983493</v>
      </c>
      <c r="AC65" s="15" t="str">
        <f>IF(X65="Not Covered", (H65/_xll.BDP(R65&amp;" FIGI",$AC$1)),"")</f>
        <v/>
      </c>
      <c r="AD65" s="16" t="str">
        <f>IF(X65="Not Covered", _xll.BDP(R65&amp;" FIGI",$AD$1),"")</f>
        <v/>
      </c>
      <c r="AE65" s="16" t="str">
        <f>IF(OR(T65="Corp",T65="Govt"),IF(_xll.BDP(R65&amp;" FIGI",$AE$1)="#N/A N/A","",_xll.BDP(R65&amp;" FIGI",$AE$1)),"")</f>
        <v>BB</v>
      </c>
      <c r="AF65" s="1" t="str">
        <f>IF(OR(T65="Corp",T65="Govt"),IF(_xll.BDP(R65&amp;" FIGI",$AF$1)="#N/A N/A","",_xll.BDP(R65&amp;" FIGI",$AF$1)),"")</f>
        <v>Ba2</v>
      </c>
      <c r="AG65" s="16" t="str">
        <f>IF(OR(T65="Corp",T65="Govt"),IF(_xll.BDP(R65&amp;" FIGI",$AG$1)="#N/A N/A","",_xll.BDP(R65&amp;" FIGI",$AG$1)),"")</f>
        <v/>
      </c>
      <c r="AH65" s="125">
        <f>IF(OR(S65="Cash",S65="M-Mkt"),21,IF(AE65="",0,VLOOKUP(AE65,'Rating Scale'!A:B,2,0)))</f>
        <v>10</v>
      </c>
      <c r="AI65" s="125">
        <f>IF(OR(S65="Cash",S65="M-Mkt"),21,IF(AF65="",0,VLOOKUP(AF65,'Rating Scale'!D:E,2,0)))</f>
        <v>10</v>
      </c>
      <c r="AJ65" s="125">
        <f>IF(OR(S65="Cash",S65="M-Mkt"),21,IF(AG65="",0,VLOOKUP(AG65,'Rating Scale'!G:H,2,0)))</f>
        <v>0</v>
      </c>
      <c r="AK65">
        <f t="shared" si="10"/>
        <v>10</v>
      </c>
      <c r="AL65" s="1" t="str">
        <f>IF(OR(U65="Cash",U65="Cash Adjustments"),_xll.BDP(G65&amp;" Curncy","Country"),IF(T65="Equity",_xll.BDP(R65&amp;" FIGI","CNTRY_ISSUE_ISO"),_xll.BDP(R65&amp;" FIGI",$AL$1)))</f>
        <v>CN</v>
      </c>
      <c r="AM65" s="126" t="str">
        <f>IF(OR(T65="Cash",T65="Cash Adjustments",T65="M-Mkt"), T65, IF(T65="Comdty",AS65, _xll.BDP(R65&amp;" FIGI", $AM$1)))</f>
        <v>Financial</v>
      </c>
      <c r="AN65" s="126" t="str">
        <f>IF(OR(T65="Cash",T65="Cash Adjustments",T65="M-Mkt"), T65,  IF(T65="Comdty",AS65,_xll.BDP(R65&amp;" FIGI", $AN$1)))</f>
        <v>Real Estate</v>
      </c>
      <c r="AO65" s="126" t="str">
        <f>IF(OR(T65="Cash",T65="Cash Adjustments",T65="M-Mkt"), T65,  IF(T65="Comdty",AS65,_xll.BDP(R65&amp;" FIGI", $AO$1)))</f>
        <v>Real Estate Oper/Develop</v>
      </c>
      <c r="AP65" s="13" t="str">
        <f>IF(OR(T65="Cash",T65="Cash Adjustments"), T65, IF(_xll.BDP(R65&amp;" FIGI", $AP$1)="#N/A Field Not Applicable","N",_xll.BDP(R65&amp;" FIGI", $AP$1)))</f>
        <v>N</v>
      </c>
      <c r="AQ65" s="1" t="str">
        <f>IF(OR(T65="Cash",T65="Cash Adjustments"), T65, IF(_xll.BDP(R65&amp;" FIGI", $AQ$1)="#N/A Field Not Applicable"," ",_xll.BDP(R65&amp;" FIGI", $AQ$1)))</f>
        <v xml:space="preserve"> </v>
      </c>
      <c r="AR65" s="1" t="str">
        <f>IF(OR(T65="Cash",T65="Cash Adjustments"), T65, IF(_xll.BDP(R65&amp;" FIGI", $AR$1)="#N/A Field Not Applicable"," ",_xll.BDP(R65&amp;" FIGI", $AR$1)))</f>
        <v>ACTV</v>
      </c>
      <c r="AS65" s="1" t="str">
        <f>VLOOKUP(T65,'SFC Classifcation'!$F$2:$H$7,3,0)</f>
        <v>Corporate</v>
      </c>
      <c r="AT65" s="22" t="str">
        <f t="shared" si="0"/>
        <v>Financial</v>
      </c>
      <c r="AU65" s="1" t="str">
        <f t="shared" si="4"/>
        <v>Non-Investment Grade</v>
      </c>
      <c r="AV65" s="1" t="str">
        <f>IF(OR(T65="Cash",T65="Cash Adjustments"),T65,VLOOKUP(AL65,'SFC Classifcation'!$A:$C,3,0))</f>
        <v>China</v>
      </c>
      <c r="AW65" s="22" t="str">
        <f t="shared" si="5"/>
        <v>High</v>
      </c>
      <c r="AX65" s="22" t="str">
        <f t="shared" si="6"/>
        <v>High</v>
      </c>
      <c r="AY65" s="45" t="str">
        <f>IF(OR(T65="Cash",T65="Cash Adjustments"), T65, _xll.BDP(R65&amp;" FIGI", $AY$1))</f>
        <v>Real Estate</v>
      </c>
      <c r="AZ65" s="45" t="str">
        <f>IF(OR(T65="Cash",T65="Cash Adjustments"), T65, _xll.BDP(R65&amp;" FIGI", $AZ$1))</f>
        <v>FINANCIAL</v>
      </c>
      <c r="BA65" s="45" t="str">
        <f>IF(OR(T65="Cash",T65="Cash Adjustments"), T65, _xll.BDP(R65&amp;" FIGI", $BA$1))</f>
        <v>#N/A Field Not Applicable</v>
      </c>
      <c r="BB65" s="16">
        <f>IF(OR(AS65="Government",AS65="Corporate"),(AK65*AB65/'SFC Report'!$C$20),"")</f>
        <v>5.4331918776469597E-2</v>
      </c>
      <c r="BC65" s="174" t="str">
        <f>IF(OR(T65="Cash",T65="Cash Adjustments", T65="FX Forward", T65="Repo", T65="Equity", T65="M-Mkt"), "", _xll.BDP(R65&amp;" FIGI", $BC$1))</f>
        <v>4/4/2021</v>
      </c>
      <c r="BD65" s="125">
        <f ca="1">IF(OR(T65="Cash",T65="Cash Adjustments",T65="FX Forward",T65="Repo", T65="Equity", T65="M-Mkt"),"",(BC65-'SFC Report'!$B$13)/365)</f>
        <v>0.92876712328767119</v>
      </c>
      <c r="BE65" s="82" t="str">
        <f t="shared" ca="1" si="9"/>
        <v>0 - 1 yr</v>
      </c>
      <c r="BF65" s="5">
        <f ca="1">IF(BC65="","",BD65*AB65/'SFC Report'!$C$20)</f>
        <v>5.0461699904721076E-3</v>
      </c>
      <c r="BG65" s="14" cm="1">
        <f t="array" ref="BG65">IF(OR(AS65="Corporate",AS65="Government"),_xll.BDP(G65&amp;" ISIN", $BG$1),"")</f>
        <v>6.9771957937255658E-2</v>
      </c>
      <c r="BH65" s="140">
        <f>IF(OR(AS65="Corporate",AS65="Government"),BG65*BN65/'SFC Report'!$C$20,"")</f>
        <v>3.7908443515222276E-4</v>
      </c>
      <c r="BI65" s="140">
        <f>IF(OR(AS65="Corporate",AS65="Government"),_xll.BDP(G65&amp;" ISIN", $BI$1),"")</f>
        <v>6.0370319222646938</v>
      </c>
      <c r="BJ65" s="140">
        <f>IF(OR(AS65="Corporate",AS65="Government"),BI65*AB65/'SFC Report'!$C$20,"")</f>
        <v>3.2800352805143942E-2</v>
      </c>
      <c r="BK65" s="153" t="str">
        <f>IF(OR(T65="Cash",T65="Cash Adjustments"),"-",_xll.BDP(R65&amp;" FIGI",$BK$1))</f>
        <v>USG24524AH67</v>
      </c>
      <c r="BL65" s="11" t="str">
        <f>IF(OR(AS65="Cash", AS65="Cash Adjustments"),"-",IF(ISNA(VLOOKUP(BK65,'BBG - VaR Data (Sample, Indus )'!C:N,5,0)),"-",VLOOKUP(BK65,'BBG - VaR Data (Sample, Indus )'!C:N,5,0)))</f>
        <v>-</v>
      </c>
      <c r="BM65" s="11">
        <f>IF(OR(AS65="Cash", AS65="Cash Adjustments"),"-",IF(ISNA(VLOOKUP(BK65,'BBG - Scenarios (Sample View)'!C:Z,14,0)),"-",VLOOKUP(BK65,'BBG - Scenarios (Sample View)'!C:Z,14,0)))</f>
        <v>-0.11</v>
      </c>
      <c r="BN65" s="14">
        <f t="shared" si="7"/>
        <v>2990593.9563983493</v>
      </c>
      <c r="BO65" s="1">
        <f t="shared" si="8"/>
        <v>5.8664952626103252E-3</v>
      </c>
      <c r="BP65" t="str">
        <f>IF(BC65&lt;&gt;0,MaturityBucket(BG65),"")</f>
        <v>0 - 1 yr</v>
      </c>
      <c r="BQ65" s="11" t="str">
        <f>IF(OR(T65="Cash",T65="Cash Adjustments"),T65,VLOOKUP(AL65,'SFC Classifcation'!$A:$C,2,0))</f>
        <v>China</v>
      </c>
      <c r="BR65" s="1" t="e">
        <f>IF(S65="Bond",BH65/'SFC Report'!$B$7,"")</f>
        <v>#VALUE!</v>
      </c>
      <c r="BS65" t="str">
        <f>IF(OR(T65="Cash",T65="Cash Adjustments"),"-",_xll.BDP(R65&amp;" FIGI",$BS$1))</f>
        <v>3/26/2018</v>
      </c>
      <c r="BT65" t="str">
        <f>IF(OR(T65="Cash",T65="Cash Adjustments"),"-",_xll.BDP(R65&amp;" FIGI",$BT$1))</f>
        <v>12/4/2017</v>
      </c>
      <c r="BU65" t="str">
        <f>IF(OR(T65="Cash",T65="Cash Adjustments"),"-",_xll.BDP(R65&amp;" FIGI",$BU$1))</f>
        <v>#N/A N/A</v>
      </c>
    </row>
    <row r="66" spans="1:73">
      <c r="A66" s="254" t="s">
        <v>15</v>
      </c>
      <c r="B66" s="254" t="s">
        <v>25</v>
      </c>
      <c r="C66" s="254" t="s">
        <v>46</v>
      </c>
      <c r="D66" s="254" t="s">
        <v>22</v>
      </c>
      <c r="E66" s="254"/>
      <c r="F66" s="254" t="s">
        <v>72</v>
      </c>
      <c r="G66" s="254" t="s">
        <v>73</v>
      </c>
      <c r="H66" s="270">
        <v>7100000</v>
      </c>
      <c r="I66" s="270">
        <v>102.762</v>
      </c>
      <c r="J66" s="270">
        <v>7072830</v>
      </c>
      <c r="K66" s="270">
        <v>55498498.829999998</v>
      </c>
      <c r="L66" s="270">
        <v>1047750.88</v>
      </c>
      <c r="M66" s="270">
        <v>1110272.67</v>
      </c>
      <c r="N66" s="270">
        <v>56546249.710000001</v>
      </c>
      <c r="O66" s="255">
        <v>1.24E-2</v>
      </c>
      <c r="P66" s="1"/>
      <c r="Q66" s="1" t="str">
        <f t="shared" ref="Q66:Q129" si="11">IF(B66="Cash Long","Cash",A66)</f>
        <v>Investments</v>
      </c>
      <c r="R66" s="1" t="str">
        <f>_xll.BDP(G66&amp;" ISIN",$R$1)</f>
        <v>BBG00L07ZBX8</v>
      </c>
      <c r="S66" s="1" t="str">
        <f>IF(Q66="Cash",Q66,IF(OR(Q66="Receivable Investments",Q66="Payable Investments"),"Cash Adjustments",_xll.BDP(R66&amp;" FIGI",$S$1)))</f>
        <v>BOND</v>
      </c>
      <c r="T66" s="1" t="str">
        <f>IF(Q66="Cash",Q66,IF(OR(Q66="Receivable Investments",Q66="Payable Investments"),"Cash Adjustments",VLOOKUP(R66,LQA!E:S,3,0)))</f>
        <v>Corp</v>
      </c>
      <c r="U66" s="1" t="str">
        <f>IF(Q66="Cash",Q66,IF(OR(Q66="Receivable Investments",Q66="Payable Investments"),"Cash Adjustments",_xll.BDP(R66&amp;" FIGI",$U$1)))</f>
        <v>#N/A Field Not Applicable</v>
      </c>
      <c r="V66" s="10">
        <f>IF(OR(Q66="Cash",Q66="Receivable Investments",Q66="Payable Investments"),0,IF(Q66="Investments",VLOOKUP(R66,LQA!E:Q,12,0),"Not Covered"))</f>
        <v>0.5</v>
      </c>
      <c r="W66" s="76">
        <f>IF(OR(Q66="Cash",Q66="Receivable Investments",Q66="Payable Investments"),0,IF(Q66="Investments",VLOOKUP(R66,LQA!E:Q,9,0),"Not Covered"))</f>
        <v>2.4849999999999998E-3</v>
      </c>
      <c r="X66" s="13" t="str">
        <f>IF(OR(H66=0,T66="Comdty"),"High",IF(V66&lt;='Liquidity Bucket'!$A$4,'Liquidity Bucket'!$I$4,IF(V66&lt;='Liquidity Bucket'!$A$5,'Liquidity Bucket'!$I$5,IF(V66&lt;='Liquidity Bucket'!$A$6,'Liquidity Bucket'!$I$6,IF(V66='Liquidity Bucket'!$A$8,'Liquidity Bucket'!$I$8,'Liquidity Bucket'!$I$7)))))</f>
        <v>High</v>
      </c>
      <c r="Y66" s="153">
        <f>IF(OR(Q66="Cash",Q66="Receivable Investments",Q66="Payable Investments"),0,IF(Q66="Investments",VLOOKUP(R66,'LQA Stress'!E:Q,12,0),"Not Covered"))</f>
        <v>2</v>
      </c>
      <c r="Z66" s="75">
        <f>IF(OR(Q66="Cash",Q66="Receivable Investments",Q66="Payable Investments"),0,IF(Q66="Investments",VLOOKUP(R66,'LQA Stress'!E:Q,9,0),"Not Covered"))</f>
        <v>6.4289999999999998E-3</v>
      </c>
      <c r="AA66" s="13" t="str">
        <f>IF(T66="Comdty","High",IF(Y66&lt;='Liquidity Bucket'!$A$4,'Liquidity Bucket'!$I$4,IF(Y66&lt;='Liquidity Bucket'!$A$5,'Liquidity Bucket'!$I$5,IF(Y66&lt;='Liquidity Bucket'!$A$6,'Liquidity Bucket'!$I$6,IF(Y66='Liquidity Bucket'!$A$8,'Liquidity Bucket'!$I$8,'Liquidity Bucket'!$I$7)))))</f>
        <v>High</v>
      </c>
      <c r="AB66" s="14">
        <f>(N66+M66)/'FX Rates'!$C$5</f>
        <v>7437631.8859649133</v>
      </c>
      <c r="AC66" s="15" t="str">
        <f>IF(X66="Not Covered", (H66/_xll.BDP(R66&amp;" FIGI",$AC$1)),"")</f>
        <v/>
      </c>
      <c r="AD66" s="16" t="str">
        <f>IF(X66="Not Covered", _xll.BDP(R66&amp;" FIGI",$AD$1),"")</f>
        <v/>
      </c>
      <c r="AE66" s="16" t="str">
        <f>IF(OR(T66="Corp",T66="Govt"),IF(_xll.BDP(R66&amp;" FIGI",$AE$1)="#N/A N/A","",_xll.BDP(R66&amp;" FIGI",$AE$1)),"")</f>
        <v>BBB-</v>
      </c>
      <c r="AF66" s="1" t="str">
        <f>IF(OR(T66="Corp",T66="Govt"),IF(_xll.BDP(R66&amp;" FIGI",$AF$1)="#N/A N/A","",_xll.BDP(R66&amp;" FIGI",$AF$1)),"")</f>
        <v>Baa2</v>
      </c>
      <c r="AG66" s="16" t="str">
        <f>IF(OR(T66="Corp",T66="Govt"),IF(_xll.BDP(R66&amp;" FIGI",$AG$1)="#N/A N/A","",_xll.BDP(R66&amp;" FIGI",$AG$1)),"")</f>
        <v>BBB</v>
      </c>
      <c r="AH66" s="125">
        <f>IF(OR(S66="Cash",S66="M-Mkt"),21,IF(AE66="",0,VLOOKUP(AE66,'Rating Scale'!A:B,2,0)))</f>
        <v>12</v>
      </c>
      <c r="AI66" s="125">
        <f>IF(OR(S66="Cash",S66="M-Mkt"),21,IF(AF66="",0,VLOOKUP(AF66,'Rating Scale'!D:E,2,0)))</f>
        <v>13</v>
      </c>
      <c r="AJ66" s="125">
        <f>IF(OR(S66="Cash",S66="M-Mkt"),21,IF(AG66="",0,VLOOKUP(AG66,'Rating Scale'!G:H,2,0)))</f>
        <v>13</v>
      </c>
      <c r="AK66">
        <f t="shared" si="10"/>
        <v>13</v>
      </c>
      <c r="AL66" s="1" t="str">
        <f>IF(OR(U66="Cash",U66="Cash Adjustments"),_xll.BDP(G66&amp;" Curncy","Country"),IF(T66="Equity",_xll.BDP(R66&amp;" FIGI","CNTRY_ISSUE_ISO"),_xll.BDP(R66&amp;" FIGI",$AL$1)))</f>
        <v>CN</v>
      </c>
      <c r="AM66" s="126" t="str">
        <f>IF(OR(T66="Cash",T66="Cash Adjustments",T66="M-Mkt"), T66, IF(T66="Comdty",AS66, _xll.BDP(R66&amp;" FIGI", $AM$1)))</f>
        <v>Financial</v>
      </c>
      <c r="AN66" s="126" t="str">
        <f>IF(OR(T66="Cash",T66="Cash Adjustments",T66="M-Mkt"), T66,  IF(T66="Comdty",AS66,_xll.BDP(R66&amp;" FIGI", $AN$1)))</f>
        <v>Real Estate</v>
      </c>
      <c r="AO66" s="126" t="str">
        <f>IF(OR(T66="Cash",T66="Cash Adjustments",T66="M-Mkt"), T66,  IF(T66="Comdty",AS66,_xll.BDP(R66&amp;" FIGI", $AO$1)))</f>
        <v>Real Estate Oper/Develop</v>
      </c>
      <c r="AP66" s="13" t="str">
        <f>IF(OR(T66="Cash",T66="Cash Adjustments"), T66, IF(_xll.BDP(R66&amp;" FIGI", $AP$1)="#N/A Field Not Applicable","N",_xll.BDP(R66&amp;" FIGI", $AP$1)))</f>
        <v>N</v>
      </c>
      <c r="AQ66" s="1" t="str">
        <f>IF(OR(T66="Cash",T66="Cash Adjustments"), T66, IF(_xll.BDP(R66&amp;" FIGI", $AQ$1)="#N/A Field Not Applicable"," ",_xll.BDP(R66&amp;" FIGI", $AQ$1)))</f>
        <v xml:space="preserve"> </v>
      </c>
      <c r="AR66" s="1" t="str">
        <f>IF(OR(T66="Cash",T66="Cash Adjustments"), T66, IF(_xll.BDP(R66&amp;" FIGI", $AR$1)="#N/A Field Not Applicable"," ",_xll.BDP(R66&amp;" FIGI", $AR$1)))</f>
        <v>ACTV</v>
      </c>
      <c r="AS66" s="1" t="str">
        <f>VLOOKUP(T66,'SFC Classifcation'!$F$2:$H$7,3,0)</f>
        <v>Corporate</v>
      </c>
      <c r="AT66" s="22" t="str">
        <f t="shared" ref="AT66:AT129" si="12">IF(OR(T66="Cash",T66="Cash Adjustments"),T66, IF(AM66&lt;&gt;"Financial","Non-Financial","Financial"))</f>
        <v>Financial</v>
      </c>
      <c r="AU66" s="1" t="str">
        <f t="shared" si="4"/>
        <v>Investment Grade</v>
      </c>
      <c r="AV66" s="1" t="str">
        <f>IF(OR(T66="Cash",T66="Cash Adjustments"),T66,VLOOKUP(AL66,'SFC Classifcation'!$A:$C,3,0))</f>
        <v>China</v>
      </c>
      <c r="AW66" s="22" t="str">
        <f t="shared" si="5"/>
        <v>High</v>
      </c>
      <c r="AX66" s="22" t="str">
        <f t="shared" si="6"/>
        <v>High</v>
      </c>
      <c r="AY66" s="45" t="str">
        <f>IF(OR(T66="Cash",T66="Cash Adjustments"), T66, _xll.BDP(R66&amp;" FIGI", $AY$1))</f>
        <v>#N/A Field Not Applicable</v>
      </c>
      <c r="AZ66" s="45" t="str">
        <f>IF(OR(T66="Cash",T66="Cash Adjustments"), T66, _xll.BDP(R66&amp;" FIGI", $AZ$1))</f>
        <v>SPECIAL PURPOSE</v>
      </c>
      <c r="BA66" s="45" t="str">
        <f>IF(OR(T66="Cash",T66="Cash Adjustments"), T66, _xll.BDP(R66&amp;" FIGI", $BA$1))</f>
        <v>#N/A Field Not Applicable</v>
      </c>
      <c r="BB66" s="16">
        <f>IF(OR(AS66="Government",AS66="Corporate"),(AK66*AB66/'SFC Report'!$C$20),"")</f>
        <v>0.1756611103452686</v>
      </c>
      <c r="BC66" s="174" t="str">
        <f>IF(OR(T66="Cash",T66="Cash Adjustments", T66="FX Forward", T66="Repo", T66="Equity", T66="M-Mkt"), "", _xll.BDP(R66&amp;" FIGI", $BC$1))</f>
        <v>6/1/2021</v>
      </c>
      <c r="BD66" s="125">
        <f ca="1">IF(OR(T66="Cash",T66="Cash Adjustments",T66="FX Forward",T66="Repo", T66="Equity", T66="M-Mkt"),"",(BC66-'SFC Report'!$B$13)/365)</f>
        <v>1.0876712328767124</v>
      </c>
      <c r="BE66" s="82" t="str">
        <f t="shared" ca="1" si="9"/>
        <v>1 - 2 yrs</v>
      </c>
      <c r="BF66" s="5">
        <f ca="1">IF(BC66="","",BD66*AB66/'SFC Report'!$C$20)</f>
        <v>1.4697041265979273E-2</v>
      </c>
      <c r="BG66" s="14" cm="1">
        <f t="array" ref="BG66">IF(OR(AS66="Corporate",AS66="Government"),_xll.BDP(G66&amp;" ISIN", $BG$1),"")</f>
        <v>0.96259711582903396</v>
      </c>
      <c r="BH66" s="140">
        <f>IF(OR(AS66="Corporate",AS66="Government"),BG66*BN66/'SFC Report'!$C$20,"")</f>
        <v>1.3006990629360097E-2</v>
      </c>
      <c r="BI66" s="140">
        <f>IF(OR(AS66="Corporate",AS66="Government"),_xll.BDP(G66&amp;" ISIN", $BI$1),"")</f>
        <v>2.8394138556339867</v>
      </c>
      <c r="BJ66" s="140">
        <f>IF(OR(AS66="Corporate",AS66="Government"),BI66*AB66/'SFC Report'!$C$20,"")</f>
        <v>3.8367276200800486E-2</v>
      </c>
      <c r="BK66" s="153" t="str">
        <f>IF(OR(T66="Cash",T66="Cash Adjustments"),"-",_xll.BDP(R66&amp;" FIGI",$BK$1))</f>
        <v>XS1823212904</v>
      </c>
      <c r="BL66" s="11" t="str">
        <f>IF(OR(AS66="Cash", AS66="Cash Adjustments"),"-",IF(ISNA(VLOOKUP(BK66,'BBG - VaR Data (Sample, Indus )'!C:N,5,0)),"-",VLOOKUP(BK66,'BBG - VaR Data (Sample, Indus )'!C:N,5,0)))</f>
        <v>-</v>
      </c>
      <c r="BM66" s="11">
        <f>IF(OR(AS66="Cash", AS66="Cash Adjustments"),"-",IF(ISNA(VLOOKUP(BK66,'BBG - Scenarios (Sample View)'!C:Z,14,0)),"-",VLOOKUP(BK66,'BBG - Scenarios (Sample View)'!C:Z,14,0)))</f>
        <v>-0.75</v>
      </c>
      <c r="BN66" s="14">
        <f t="shared" si="7"/>
        <v>7437631.8859649133</v>
      </c>
      <c r="BO66" s="1">
        <f t="shared" si="8"/>
        <v>1.4590022203014424E-2</v>
      </c>
      <c r="BP66" t="str">
        <f>IF(BC66&lt;&gt;0,MaturityBucket(BG66),"")</f>
        <v>0 - 1 yr</v>
      </c>
      <c r="BQ66" s="11" t="str">
        <f>IF(OR(T66="Cash",T66="Cash Adjustments"),T66,VLOOKUP(AL66,'SFC Classifcation'!$A:$C,2,0))</f>
        <v>China</v>
      </c>
      <c r="BR66" s="1" t="e">
        <f>IF(S66="Bond",BH66/'SFC Report'!$B$7,"")</f>
        <v>#VALUE!</v>
      </c>
      <c r="BS66" t="str">
        <f>IF(OR(T66="Cash",T66="Cash Adjustments"),"-",_xll.BDP(R66&amp;" FIGI",$BS$1))</f>
        <v>5/10/2018</v>
      </c>
      <c r="BT66" t="str">
        <f>IF(OR(T66="Cash",T66="Cash Adjustments"),"-",_xll.BDP(R66&amp;" FIGI",$BT$1))</f>
        <v>5/11/2018</v>
      </c>
      <c r="BU66" t="str">
        <f>IF(OR(T66="Cash",T66="Cash Adjustments"),"-",_xll.BDP(R66&amp;" FIGI",$BU$1))</f>
        <v>6/3/2018</v>
      </c>
    </row>
    <row r="67" spans="1:73">
      <c r="A67" s="254" t="s">
        <v>15</v>
      </c>
      <c r="B67" s="254" t="s">
        <v>25</v>
      </c>
      <c r="C67" s="254" t="s">
        <v>46</v>
      </c>
      <c r="D67" s="254" t="s">
        <v>22</v>
      </c>
      <c r="E67" s="254"/>
      <c r="F67" s="254" t="s">
        <v>1152</v>
      </c>
      <c r="G67" s="254" t="s">
        <v>1153</v>
      </c>
      <c r="H67" s="270">
        <v>5500000</v>
      </c>
      <c r="I67" s="270">
        <v>88.742999999999995</v>
      </c>
      <c r="J67" s="270">
        <v>5202160</v>
      </c>
      <c r="K67" s="270">
        <v>40406200.020000003</v>
      </c>
      <c r="L67" s="270">
        <v>-2578520.1</v>
      </c>
      <c r="M67" s="270">
        <v>789618.91</v>
      </c>
      <c r="N67" s="270">
        <v>37827679.920000002</v>
      </c>
      <c r="O67" s="255">
        <v>8.3000000000000001E-3</v>
      </c>
      <c r="P67" s="1"/>
      <c r="Q67" s="1" t="str">
        <f t="shared" si="11"/>
        <v>Investments</v>
      </c>
      <c r="R67" s="1" t="str">
        <f>_xll.BDP(G67&amp;" ISIN",$R$1)</f>
        <v>BBG00RH7GJ34</v>
      </c>
      <c r="S67" s="1" t="str">
        <f>IF(Q67="Cash",Q67,IF(OR(Q67="Receivable Investments",Q67="Payable Investments"),"Cash Adjustments",_xll.BDP(R67&amp;" FIGI",$S$1)))</f>
        <v>BOND</v>
      </c>
      <c r="T67" s="1" t="str">
        <f>IF(Q67="Cash",Q67,IF(OR(Q67="Receivable Investments",Q67="Payable Investments"),"Cash Adjustments",VLOOKUP(R67,LQA!E:S,3,0)))</f>
        <v>Corp</v>
      </c>
      <c r="U67" s="1" t="str">
        <f>IF(Q67="Cash",Q67,IF(OR(Q67="Receivable Investments",Q67="Payable Investments"),"Cash Adjustments",_xll.BDP(R67&amp;" FIGI",$U$1)))</f>
        <v>#N/A Field Not Applicable</v>
      </c>
      <c r="V67" s="10">
        <f>IF(OR(Q67="Cash",Q67="Receivable Investments",Q67="Payable Investments"),0,IF(Q67="Investments",VLOOKUP(R67,LQA!E:Q,12,0),"Not Covered"))</f>
        <v>0.4</v>
      </c>
      <c r="W67" s="76">
        <f>IF(OR(Q67="Cash",Q67="Receivable Investments",Q67="Payable Investments"),0,IF(Q67="Investments",VLOOKUP(R67,LQA!E:Q,9,0),"Not Covered"))</f>
        <v>2.7556000000000001E-2</v>
      </c>
      <c r="X67" s="13" t="str">
        <f>IF(OR(H67=0,T67="Comdty"),"High",IF(V67&lt;='Liquidity Bucket'!$A$4,'Liquidity Bucket'!$I$4,IF(V67&lt;='Liquidity Bucket'!$A$5,'Liquidity Bucket'!$I$5,IF(V67&lt;='Liquidity Bucket'!$A$6,'Liquidity Bucket'!$I$6,IF(V67='Liquidity Bucket'!$A$8,'Liquidity Bucket'!$I$8,'Liquidity Bucket'!$I$7)))))</f>
        <v>High</v>
      </c>
      <c r="Y67" s="153">
        <f>IF(OR(Q67="Cash",Q67="Receivable Investments",Q67="Payable Investments"),0,IF(Q67="Investments",VLOOKUP(R67,'LQA Stress'!E:Q,12,0),"Not Covered"))</f>
        <v>2</v>
      </c>
      <c r="Z67" s="75">
        <f>IF(OR(Q67="Cash",Q67="Receivable Investments",Q67="Payable Investments"),0,IF(Q67="Investments",VLOOKUP(R67,'LQA Stress'!E:Q,9,0),"Not Covered"))</f>
        <v>7.2902999999999996E-2</v>
      </c>
      <c r="AA67" s="13" t="str">
        <f>IF(T67="Comdty","High",IF(Y67&lt;='Liquidity Bucket'!$A$4,'Liquidity Bucket'!$I$4,IF(Y67&lt;='Liquidity Bucket'!$A$5,'Liquidity Bucket'!$I$5,IF(Y67&lt;='Liquidity Bucket'!$A$6,'Liquidity Bucket'!$I$6,IF(Y67='Liquidity Bucket'!$A$8,'Liquidity Bucket'!$I$8,'Liquidity Bucket'!$I$7)))))</f>
        <v>High</v>
      </c>
      <c r="AB67" s="14">
        <f>(N67+M67)/'FX Rates'!$C$5</f>
        <v>4981591.6963364296</v>
      </c>
      <c r="AC67" s="15" t="str">
        <f>IF(X67="Not Covered", (H67/_xll.BDP(R67&amp;" FIGI",$AC$1)),"")</f>
        <v/>
      </c>
      <c r="AD67" s="16" t="str">
        <f>IF(X67="Not Covered", _xll.BDP(R67&amp;" FIGI",$AD$1),"")</f>
        <v/>
      </c>
      <c r="AE67" s="16" t="str">
        <f>IF(OR(T67="Corp",T67="Govt"),IF(_xll.BDP(R67&amp;" FIGI",$AE$1)="#N/A N/A","",_xll.BDP(R67&amp;" FIGI",$AE$1)),"")</f>
        <v/>
      </c>
      <c r="AF67" s="1" t="str">
        <f>IF(OR(T67="Corp",T67="Govt"),IF(_xll.BDP(R67&amp;" FIGI",$AF$1)="#N/A N/A","",_xll.BDP(R67&amp;" FIGI",$AF$1)),"")</f>
        <v>Ba3</v>
      </c>
      <c r="AG67" s="16" t="str">
        <f>IF(OR(T67="Corp",T67="Govt"),IF(_xll.BDP(R67&amp;" FIGI",$AG$1)="#N/A N/A","",_xll.BDP(R67&amp;" FIGI",$AG$1)),"")</f>
        <v>BB+</v>
      </c>
      <c r="AH67" s="125">
        <f>IF(OR(S67="Cash",S67="M-Mkt"),21,IF(AE67="",0,VLOOKUP(AE67,'Rating Scale'!A:B,2,0)))</f>
        <v>0</v>
      </c>
      <c r="AI67" s="125">
        <f>IF(OR(S67="Cash",S67="M-Mkt"),21,IF(AF67="",0,VLOOKUP(AF67,'Rating Scale'!D:E,2,0)))</f>
        <v>9</v>
      </c>
      <c r="AJ67" s="125">
        <f>IF(OR(S67="Cash",S67="M-Mkt"),21,IF(AG67="",0,VLOOKUP(AG67,'Rating Scale'!G:H,2,0)))</f>
        <v>11</v>
      </c>
      <c r="AK67">
        <f t="shared" si="10"/>
        <v>9</v>
      </c>
      <c r="AL67" s="1" t="str">
        <f>IF(OR(U67="Cash",U67="Cash Adjustments"),_xll.BDP(G67&amp;" Curncy","Country"),IF(T67="Equity",_xll.BDP(R67&amp;" FIGI","CNTRY_ISSUE_ISO"),_xll.BDP(R67&amp;" FIGI",$AL$1)))</f>
        <v>CN</v>
      </c>
      <c r="AM67" s="126" t="str">
        <f>IF(OR(T67="Cash",T67="Cash Adjustments",T67="M-Mkt"), T67, IF(T67="Comdty",AS67, _xll.BDP(R67&amp;" FIGI", $AM$1)))</f>
        <v>Financial</v>
      </c>
      <c r="AN67" s="126" t="str">
        <f>IF(OR(T67="Cash",T67="Cash Adjustments",T67="M-Mkt"), T67,  IF(T67="Comdty",AS67,_xll.BDP(R67&amp;" FIGI", $AN$1)))</f>
        <v>Real Estate</v>
      </c>
      <c r="AO67" s="126" t="str">
        <f>IF(OR(T67="Cash",T67="Cash Adjustments",T67="M-Mkt"), T67,  IF(T67="Comdty",AS67,_xll.BDP(R67&amp;" FIGI", $AO$1)))</f>
        <v>Real Estate Oper/Develop</v>
      </c>
      <c r="AP67" s="13" t="str">
        <f>IF(OR(T67="Cash",T67="Cash Adjustments"), T67, IF(_xll.BDP(R67&amp;" FIGI", $AP$1)="#N/A Field Not Applicable","N",_xll.BDP(R67&amp;" FIGI", $AP$1)))</f>
        <v>N</v>
      </c>
      <c r="AQ67" s="1" t="str">
        <f>IF(OR(T67="Cash",T67="Cash Adjustments"), T67, IF(_xll.BDP(R67&amp;" FIGI", $AQ$1)="#N/A Field Not Applicable"," ",_xll.BDP(R67&amp;" FIGI", $AQ$1)))</f>
        <v xml:space="preserve"> </v>
      </c>
      <c r="AR67" s="1" t="str">
        <f>IF(OR(T67="Cash",T67="Cash Adjustments"), T67, IF(_xll.BDP(R67&amp;" FIGI", $AR$1)="#N/A Field Not Applicable"," ",_xll.BDP(R67&amp;" FIGI", $AR$1)))</f>
        <v>ACTV</v>
      </c>
      <c r="AS67" s="1" t="str">
        <f>VLOOKUP(T67,'SFC Classifcation'!$F$2:$H$7,3,0)</f>
        <v>Corporate</v>
      </c>
      <c r="AT67" s="22" t="str">
        <f t="shared" si="12"/>
        <v>Financial</v>
      </c>
      <c r="AU67" s="1" t="str">
        <f t="shared" ref="AU67:AU130" si="13">IF(OR(T67="Cash",T67="Cash Adjustments",T67="Equity", T67="Comdty"),"",IF(AK67&gt;=12,"Investment Grade", "Non-Investment Grade"))</f>
        <v>Non-Investment Grade</v>
      </c>
      <c r="AV67" s="1" t="str">
        <f>IF(OR(T67="Cash",T67="Cash Adjustments"),T67,VLOOKUP(AL67,'SFC Classifcation'!$A:$C,3,0))</f>
        <v>China</v>
      </c>
      <c r="AW67" s="22" t="str">
        <f t="shared" ref="AW67:AW130" si="14">LQBucket(X67,AK67,AD67,AC67)</f>
        <v>High</v>
      </c>
      <c r="AX67" s="22" t="str">
        <f t="shared" ref="AX67:AX130" si="15">LQBucket(AA67,AK67,AD67,AC67)</f>
        <v>High</v>
      </c>
      <c r="AY67" s="45" t="str">
        <f>IF(OR(T67="Cash",T67="Cash Adjustments"), T67, _xll.BDP(R67&amp;" FIGI", $AY$1))</f>
        <v>#N/A Field Not Applicable</v>
      </c>
      <c r="AZ67" s="45" t="str">
        <f>IF(OR(T67="Cash",T67="Cash Adjustments"), T67, _xll.BDP(R67&amp;" FIGI", $AZ$1))</f>
        <v>SPECIAL PURPOSE</v>
      </c>
      <c r="BA67" s="45" t="str">
        <f>IF(OR(T67="Cash",T67="Cash Adjustments"), T67, _xll.BDP(R67&amp;" FIGI", $BA$1))</f>
        <v>#N/A Field Not Applicable</v>
      </c>
      <c r="BB67" s="16">
        <f>IF(OR(AS67="Government",AS67="Corporate"),(AK67*AB67/'SFC Report'!$C$20),"")</f>
        <v>8.1453214790136105E-2</v>
      </c>
      <c r="BC67" s="174" t="str">
        <f>IF(OR(T67="Cash",T67="Cash Adjustments", T67="FX Forward", T67="Repo", T67="Equity", T67="M-Mkt"), "", _xll.BDP(R67&amp;" FIGI", $BC$1))</f>
        <v>7/23/2023</v>
      </c>
      <c r="BD67" s="125">
        <f ca="1">IF(OR(T67="Cash",T67="Cash Adjustments",T67="FX Forward",T67="Repo", T67="Equity", T67="M-Mkt"),"",(BC67-'SFC Report'!$B$13)/365)</f>
        <v>3.2301369863013698</v>
      </c>
      <c r="BE67" s="82" t="str">
        <f t="shared" ca="1" si="9"/>
        <v>3 - 5 yrs</v>
      </c>
      <c r="BF67" s="5">
        <f ca="1">IF(BC67="","",BD67*AB67/'SFC Report'!$C$20)</f>
        <v>2.923389352741871E-2</v>
      </c>
      <c r="BG67" s="14" cm="1">
        <f t="array" ref="BG67">IF(OR(AS67="Corporate",AS67="Government"),_xll.BDP(G67&amp;" ISIN", $BG$1),"")</f>
        <v>2.6831931900347081</v>
      </c>
      <c r="BH67" s="140">
        <f>IF(OR(AS67="Corporate",AS67="Government"),BG67*BN67/'SFC Report'!$C$20,"")</f>
        <v>2.428385680348084E-2</v>
      </c>
      <c r="BI67" s="140">
        <f>IF(OR(AS67="Corporate",AS67="Government"),_xll.BDP(G67&amp;" ISIN", $BI$1),"")</f>
        <v>9.4336287969167838</v>
      </c>
      <c r="BJ67" s="140">
        <f>IF(OR(AS67="Corporate",AS67="Government"),BI67*AB67/'SFC Report'!$C$20,"")</f>
        <v>8.5377710293964001E-2</v>
      </c>
      <c r="BK67" s="153" t="str">
        <f>IF(OR(T67="Cash",T67="Cash Adjustments"),"-",_xll.BDP(R67&amp;" FIGI",$BK$1))</f>
        <v>XS2100658066</v>
      </c>
      <c r="BL67" s="11" t="str">
        <f>IF(OR(AS67="Cash", AS67="Cash Adjustments"),"-",IF(ISNA(VLOOKUP(BK67,'BBG - VaR Data (Sample, Indus )'!C:N,5,0)),"-",VLOOKUP(BK67,'BBG - VaR Data (Sample, Indus )'!C:N,5,0)))</f>
        <v>-</v>
      </c>
      <c r="BM67" s="11">
        <f>IF(OR(AS67="Cash", AS67="Cash Adjustments"),"-",IF(ISNA(VLOOKUP(BK67,'BBG - Scenarios (Sample View)'!C:Z,14,0)),"-",VLOOKUP(BK67,'BBG - Scenarios (Sample View)'!C:Z,14,0)))</f>
        <v>-6.7</v>
      </c>
      <c r="BN67" s="14">
        <f t="shared" ref="BN67:BN123" si="16">AB67</f>
        <v>4981591.6963364296</v>
      </c>
      <c r="BO67" s="1">
        <f t="shared" ref="BO67:BO130" si="17">BN67/SUM($BN$2:$BN$154)</f>
        <v>9.7721337342674269E-3</v>
      </c>
      <c r="BP67" t="str">
        <f>IF(BC67&lt;&gt;0,MaturityBucket(BG67),"")</f>
        <v>2 - 3 yrs</v>
      </c>
      <c r="BQ67" s="11" t="str">
        <f>IF(OR(T67="Cash",T67="Cash Adjustments"),T67,VLOOKUP(AL67,'SFC Classifcation'!$A:$C,2,0))</f>
        <v>China</v>
      </c>
      <c r="BR67" s="1" t="e">
        <f>IF(S67="Bond",BH67/'SFC Report'!$B$7,"")</f>
        <v>#VALUE!</v>
      </c>
      <c r="BS67" t="str">
        <f>IF(OR(T67="Cash",T67="Cash Adjustments"),"-",_xll.BDP(R67&amp;" FIGI",$BS$1))</f>
        <v>#N/A N/A</v>
      </c>
      <c r="BT67" t="str">
        <f>IF(OR(T67="Cash",T67="Cash Adjustments"),"-",_xll.BDP(R67&amp;" FIGI",$BT$1))</f>
        <v>1/20/2020</v>
      </c>
      <c r="BU67" t="str">
        <f>IF(OR(T67="Cash",T67="Cash Adjustments"),"-",_xll.BDP(R67&amp;" FIGI",$BU$1))</f>
        <v>1/19/2020</v>
      </c>
    </row>
    <row r="68" spans="1:73">
      <c r="A68" s="254" t="s">
        <v>15</v>
      </c>
      <c r="B68" s="254" t="s">
        <v>25</v>
      </c>
      <c r="C68" s="254" t="s">
        <v>46</v>
      </c>
      <c r="D68" s="254" t="s">
        <v>22</v>
      </c>
      <c r="E68" s="254"/>
      <c r="F68" s="254" t="s">
        <v>1069</v>
      </c>
      <c r="G68" s="254" t="s">
        <v>1070</v>
      </c>
      <c r="H68" s="270">
        <v>3800000</v>
      </c>
      <c r="I68" s="270">
        <v>91.762</v>
      </c>
      <c r="J68" s="270">
        <v>3734250</v>
      </c>
      <c r="K68" s="270">
        <v>29169816</v>
      </c>
      <c r="L68" s="270">
        <v>-2145209.61</v>
      </c>
      <c r="M68" s="270">
        <v>824416.76</v>
      </c>
      <c r="N68" s="270">
        <v>27024606.390000001</v>
      </c>
      <c r="O68" s="255">
        <v>5.8999999999999999E-3</v>
      </c>
      <c r="P68" s="1"/>
      <c r="Q68" s="1" t="str">
        <f t="shared" si="11"/>
        <v>Investments</v>
      </c>
      <c r="R68" s="1" t="str">
        <f>_xll.BDP(G68&amp;" ISIN",$R$1)</f>
        <v>BBG00QYPDPC6</v>
      </c>
      <c r="S68" s="1" t="str">
        <f>IF(Q68="Cash",Q68,IF(OR(Q68="Receivable Investments",Q68="Payable Investments"),"Cash Adjustments",_xll.BDP(R68&amp;" FIGI",$S$1)))</f>
        <v>BOND</v>
      </c>
      <c r="T68" s="1" t="str">
        <f>IF(Q68="Cash",Q68,IF(OR(Q68="Receivable Investments",Q68="Payable Investments"),"Cash Adjustments",VLOOKUP(R68,LQA!E:S,3,0)))</f>
        <v>Corp</v>
      </c>
      <c r="U68" s="1" t="str">
        <f>IF(Q68="Cash",Q68,IF(OR(Q68="Receivable Investments",Q68="Payable Investments"),"Cash Adjustments",_xll.BDP(R68&amp;" FIGI",$U$1)))</f>
        <v>#N/A Field Not Applicable</v>
      </c>
      <c r="V68" s="10">
        <f>IF(OR(Q68="Cash",Q68="Receivable Investments",Q68="Payable Investments"),0,IF(Q68="Investments",VLOOKUP(R68,LQA!E:Q,12,0),"Not Covered"))</f>
        <v>0.4</v>
      </c>
      <c r="W68" s="76">
        <f>IF(OR(Q68="Cash",Q68="Receivable Investments",Q68="Payable Investments"),0,IF(Q68="Investments",VLOOKUP(R68,LQA!E:Q,9,0),"Not Covered"))</f>
        <v>2.5128999999999999E-2</v>
      </c>
      <c r="X68" s="13" t="str">
        <f>IF(OR(H68=0,T68="Comdty"),"High",IF(V68&lt;='Liquidity Bucket'!$A$4,'Liquidity Bucket'!$I$4,IF(V68&lt;='Liquidity Bucket'!$A$5,'Liquidity Bucket'!$I$5,IF(V68&lt;='Liquidity Bucket'!$A$6,'Liquidity Bucket'!$I$6,IF(V68='Liquidity Bucket'!$A$8,'Liquidity Bucket'!$I$8,'Liquidity Bucket'!$I$7)))))</f>
        <v>High</v>
      </c>
      <c r="Y68" s="153">
        <f>IF(OR(Q68="Cash",Q68="Receivable Investments",Q68="Payable Investments"),0,IF(Q68="Investments",VLOOKUP(R68,'LQA Stress'!E:Q,12,0),"Not Covered"))</f>
        <v>1.9</v>
      </c>
      <c r="Z68" s="75">
        <f>IF(OR(Q68="Cash",Q68="Receivable Investments",Q68="Payable Investments"),0,IF(Q68="Investments",VLOOKUP(R68,'LQA Stress'!E:Q,9,0),"Not Covered"))</f>
        <v>6.6829E-2</v>
      </c>
      <c r="AA68" s="13" t="str">
        <f>IF(T68="Comdty","High",IF(Y68&lt;='Liquidity Bucket'!$A$4,'Liquidity Bucket'!$I$4,IF(Y68&lt;='Liquidity Bucket'!$A$5,'Liquidity Bucket'!$I$5,IF(Y68&lt;='Liquidity Bucket'!$A$6,'Liquidity Bucket'!$I$6,IF(Y68='Liquidity Bucket'!$A$8,'Liquidity Bucket'!$I$8,'Liquidity Bucket'!$I$7)))))</f>
        <v>High</v>
      </c>
      <c r="AB68" s="14">
        <f>(N68+M68)/'FX Rates'!$C$5</f>
        <v>3592495.2463880293</v>
      </c>
      <c r="AC68" s="15" t="str">
        <f>IF(X68="Not Covered", (H68/_xll.BDP(R68&amp;" FIGI",$AC$1)),"")</f>
        <v/>
      </c>
      <c r="AD68" s="16" t="str">
        <f>IF(X68="Not Covered", _xll.BDP(R68&amp;" FIGI",$AD$1),"")</f>
        <v/>
      </c>
      <c r="AE68" s="16" t="str">
        <f>IF(OR(T68="Corp",T68="Govt"),IF(_xll.BDP(R68&amp;" FIGI",$AE$1)="#N/A N/A","",_xll.BDP(R68&amp;" FIGI",$AE$1)),"")</f>
        <v/>
      </c>
      <c r="AF68" s="1" t="str">
        <f>IF(OR(T68="Corp",T68="Govt"),IF(_xll.BDP(R68&amp;" FIGI",$AF$1)="#N/A N/A","",_xll.BDP(R68&amp;" FIGI",$AF$1)),"")</f>
        <v>Ba3</v>
      </c>
      <c r="AG68" s="16" t="str">
        <f>IF(OR(T68="Corp",T68="Govt"),IF(_xll.BDP(R68&amp;" FIGI",$AG$1)="#N/A N/A","",_xll.BDP(R68&amp;" FIGI",$AG$1)),"")</f>
        <v>BB+</v>
      </c>
      <c r="AH68" s="125">
        <f>IF(OR(S68="Cash",S68="M-Mkt"),21,IF(AE68="",0,VLOOKUP(AE68,'Rating Scale'!A:B,2,0)))</f>
        <v>0</v>
      </c>
      <c r="AI68" s="125">
        <f>IF(OR(S68="Cash",S68="M-Mkt"),21,IF(AF68="",0,VLOOKUP(AF68,'Rating Scale'!D:E,2,0)))</f>
        <v>9</v>
      </c>
      <c r="AJ68" s="125">
        <f>IF(OR(S68="Cash",S68="M-Mkt"),21,IF(AG68="",0,VLOOKUP(AG68,'Rating Scale'!G:H,2,0)))</f>
        <v>11</v>
      </c>
      <c r="AK68">
        <f t="shared" si="10"/>
        <v>9</v>
      </c>
      <c r="AL68" s="1" t="str">
        <f>IF(OR(U68="Cash",U68="Cash Adjustments"),_xll.BDP(G68&amp;" Curncy","Country"),IF(T68="Equity",_xll.BDP(R68&amp;" FIGI","CNTRY_ISSUE_ISO"),_xll.BDP(R68&amp;" FIGI",$AL$1)))</f>
        <v>CN</v>
      </c>
      <c r="AM68" s="126" t="str">
        <f>IF(OR(T68="Cash",T68="Cash Adjustments",T68="M-Mkt"), T68, IF(T68="Comdty",AS68, _xll.BDP(R68&amp;" FIGI", $AM$1)))</f>
        <v>Financial</v>
      </c>
      <c r="AN68" s="126" t="str">
        <f>IF(OR(T68="Cash",T68="Cash Adjustments",T68="M-Mkt"), T68,  IF(T68="Comdty",AS68,_xll.BDP(R68&amp;" FIGI", $AN$1)))</f>
        <v>Real Estate</v>
      </c>
      <c r="AO68" s="126" t="str">
        <f>IF(OR(T68="Cash",T68="Cash Adjustments",T68="M-Mkt"), T68,  IF(T68="Comdty",AS68,_xll.BDP(R68&amp;" FIGI", $AO$1)))</f>
        <v>Real Estate Oper/Develop</v>
      </c>
      <c r="AP68" s="13" t="str">
        <f>IF(OR(T68="Cash",T68="Cash Adjustments"), T68, IF(_xll.BDP(R68&amp;" FIGI", $AP$1)="#N/A Field Not Applicable","N",_xll.BDP(R68&amp;" FIGI", $AP$1)))</f>
        <v>N</v>
      </c>
      <c r="AQ68" s="1" t="str">
        <f>IF(OR(T68="Cash",T68="Cash Adjustments"), T68, IF(_xll.BDP(R68&amp;" FIGI", $AQ$1)="#N/A Field Not Applicable"," ",_xll.BDP(R68&amp;" FIGI", $AQ$1)))</f>
        <v xml:space="preserve"> </v>
      </c>
      <c r="AR68" s="1" t="str">
        <f>IF(OR(T68="Cash",T68="Cash Adjustments"), T68, IF(_xll.BDP(R68&amp;" FIGI", $AR$1)="#N/A Field Not Applicable"," ",_xll.BDP(R68&amp;" FIGI", $AR$1)))</f>
        <v>ACTV</v>
      </c>
      <c r="AS68" s="1" t="str">
        <f>VLOOKUP(T68,'SFC Classifcation'!$F$2:$H$7,3,0)</f>
        <v>Corporate</v>
      </c>
      <c r="AT68" s="22" t="str">
        <f t="shared" si="12"/>
        <v>Financial</v>
      </c>
      <c r="AU68" s="1" t="str">
        <f t="shared" si="13"/>
        <v>Non-Investment Grade</v>
      </c>
      <c r="AV68" s="1" t="str">
        <f>IF(OR(T68="Cash",T68="Cash Adjustments"),T68,VLOOKUP(AL68,'SFC Classifcation'!$A:$C,3,0))</f>
        <v>China</v>
      </c>
      <c r="AW68" s="22" t="str">
        <f t="shared" si="14"/>
        <v>High</v>
      </c>
      <c r="AX68" s="22" t="str">
        <f t="shared" si="15"/>
        <v>High</v>
      </c>
      <c r="AY68" s="45" t="str">
        <f>IF(OR(T68="Cash",T68="Cash Adjustments"), T68, _xll.BDP(R68&amp;" FIGI", $AY$1))</f>
        <v>#N/A Field Not Applicable</v>
      </c>
      <c r="AZ68" s="45" t="str">
        <f>IF(OR(T68="Cash",T68="Cash Adjustments"), T68, _xll.BDP(R68&amp;" FIGI", $AZ$1))</f>
        <v>SPECIAL PURPOSE</v>
      </c>
      <c r="BA68" s="45" t="str">
        <f>IF(OR(T68="Cash",T68="Cash Adjustments"), T68, _xll.BDP(R68&amp;" FIGI", $BA$1))</f>
        <v>#N/A Field Not Applicable</v>
      </c>
      <c r="BB68" s="16">
        <f>IF(OR(AS68="Government",AS68="Corporate"),(AK68*AB68/'SFC Report'!$C$20),"")</f>
        <v>5.8740319314364194E-2</v>
      </c>
      <c r="BC68" s="174" t="str">
        <f>IF(OR(T68="Cash",T68="Cash Adjustments", T68="FX Forward", T68="Repo", T68="Equity", T68="M-Mkt"), "", _xll.BDP(R68&amp;" FIGI", $BC$1))</f>
        <v>12/5/2022</v>
      </c>
      <c r="BD68" s="125">
        <f ca="1">IF(OR(T68="Cash",T68="Cash Adjustments",T68="FX Forward",T68="Repo", T68="Equity", T68="M-Mkt"),"",(BC68-'SFC Report'!$B$13)/365)</f>
        <v>2.6</v>
      </c>
      <c r="BE68" s="82" t="str">
        <f t="shared" ca="1" si="9"/>
        <v>2 - 3 yrs</v>
      </c>
      <c r="BF68" s="5">
        <f ca="1">IF(BC68="","",BD68*AB68/'SFC Report'!$C$20)</f>
        <v>1.6969425579705214E-2</v>
      </c>
      <c r="BG68" s="14" cm="1">
        <f t="array" ref="BG68">IF(OR(AS68="Corporate",AS68="Government"),_xll.BDP(G68&amp;" ISIN", $BG$1),"")</f>
        <v>2.1753439778957193</v>
      </c>
      <c r="BH68" s="140">
        <f>IF(OR(AS68="Corporate",AS68="Government"),BG68*BN68/'SFC Report'!$C$20,"")</f>
        <v>1.4197822208908195E-2</v>
      </c>
      <c r="BI68" s="140">
        <f>IF(OR(AS68="Corporate",AS68="Government"),_xll.BDP(G68&amp;" ISIN", $BI$1),"")</f>
        <v>9.0206104242045004</v>
      </c>
      <c r="BJ68" s="140">
        <f>IF(OR(AS68="Corporate",AS68="Government"),BI68*AB68/'SFC Report'!$C$20,"")</f>
        <v>5.8874837414250515E-2</v>
      </c>
      <c r="BK68" s="153" t="str">
        <f>IF(OR(T68="Cash",T68="Cash Adjustments"),"-",_xll.BDP(R68&amp;" FIGI",$BK$1))</f>
        <v>XS2078814147</v>
      </c>
      <c r="BL68" s="11" t="str">
        <f>IF(OR(AS68="Cash", AS68="Cash Adjustments"),"-",IF(ISNA(VLOOKUP(BK68,'BBG - VaR Data (Sample, Indus )'!C:N,5,0)),"-",VLOOKUP(BK68,'BBG - VaR Data (Sample, Indus )'!C:N,5,0)))</f>
        <v>-</v>
      </c>
      <c r="BM68" s="11">
        <f>IF(OR(AS68="Cash", AS68="Cash Adjustments"),"-",IF(ISNA(VLOOKUP(BK68,'BBG - Scenarios (Sample View)'!C:Z,14,0)),"-",VLOOKUP(BK68,'BBG - Scenarios (Sample View)'!C:Z,14,0)))</f>
        <v>-5.32</v>
      </c>
      <c r="BN68" s="14">
        <f t="shared" si="16"/>
        <v>3592495.2463880293</v>
      </c>
      <c r="BO68" s="1">
        <f t="shared" si="17"/>
        <v>7.0472142494620339E-3</v>
      </c>
      <c r="BP68" t="str">
        <f>IF(BC68&lt;&gt;0,MaturityBucket(BG68),"")</f>
        <v>2 - 3 yrs</v>
      </c>
      <c r="BQ68" s="11" t="str">
        <f>IF(OR(T68="Cash",T68="Cash Adjustments"),T68,VLOOKUP(AL68,'SFC Classifcation'!$A:$C,2,0))</f>
        <v>China</v>
      </c>
      <c r="BR68" s="1" t="e">
        <f>IF(S68="Bond",BH68/'SFC Report'!$B$7,"")</f>
        <v>#VALUE!</v>
      </c>
      <c r="BS68" t="str">
        <f>IF(OR(T68="Cash",T68="Cash Adjustments"),"-",_xll.BDP(R68&amp;" FIGI",$BS$1))</f>
        <v>#N/A N/A</v>
      </c>
      <c r="BT68" t="str">
        <f>IF(OR(T68="Cash",T68="Cash Adjustments"),"-",_xll.BDP(R68&amp;" FIGI",$BT$1))</f>
        <v>11/22/2019</v>
      </c>
      <c r="BU68" t="str">
        <f>IF(OR(T68="Cash",T68="Cash Adjustments"),"-",_xll.BDP(R68&amp;" FIGI",$BU$1))</f>
        <v>11/22/2019</v>
      </c>
    </row>
    <row r="69" spans="1:73">
      <c r="A69" s="254" t="s">
        <v>15</v>
      </c>
      <c r="B69" s="254" t="s">
        <v>25</v>
      </c>
      <c r="C69" s="254" t="s">
        <v>46</v>
      </c>
      <c r="D69" s="254" t="s">
        <v>22</v>
      </c>
      <c r="E69" s="254"/>
      <c r="F69" s="254" t="s">
        <v>1207</v>
      </c>
      <c r="G69" s="254" t="s">
        <v>1208</v>
      </c>
      <c r="H69" s="270">
        <v>7500000</v>
      </c>
      <c r="I69" s="270">
        <v>93.070999999999998</v>
      </c>
      <c r="J69" s="270">
        <v>7248992</v>
      </c>
      <c r="K69" s="270">
        <v>56346568.990000002</v>
      </c>
      <c r="L69" s="270">
        <v>-2247654.17</v>
      </c>
      <c r="M69" s="270">
        <v>335680.54</v>
      </c>
      <c r="N69" s="270">
        <v>54098914.82</v>
      </c>
      <c r="O69" s="255">
        <v>1.1900000000000001E-2</v>
      </c>
      <c r="P69" s="1"/>
      <c r="Q69" s="1" t="str">
        <f t="shared" si="11"/>
        <v>Investments</v>
      </c>
      <c r="R69" s="1" t="str">
        <f>_xll.BDP(G69&amp;" ISIN",$R$1)</f>
        <v>BBG00RTNXBH9</v>
      </c>
      <c r="S69" s="1" t="str">
        <f>IF(Q69="Cash",Q69,IF(OR(Q69="Receivable Investments",Q69="Payable Investments"),"Cash Adjustments",_xll.BDP(R69&amp;" FIGI",$S$1)))</f>
        <v>BOND</v>
      </c>
      <c r="T69" s="1" t="str">
        <f>IF(Q69="Cash",Q69,IF(OR(Q69="Receivable Investments",Q69="Payable Investments"),"Cash Adjustments",VLOOKUP(R69,LQA!E:S,3,0)))</f>
        <v>Corp</v>
      </c>
      <c r="U69" s="1" t="str">
        <f>IF(Q69="Cash",Q69,IF(OR(Q69="Receivable Investments",Q69="Payable Investments"),"Cash Adjustments",_xll.BDP(R69&amp;" FIGI",$U$1)))</f>
        <v>#N/A Field Not Applicable</v>
      </c>
      <c r="V69" s="10">
        <f>IF(OR(Q69="Cash",Q69="Receivable Investments",Q69="Payable Investments"),0,IF(Q69="Investments",VLOOKUP(R69,LQA!E:Q,12,0),"Not Covered"))</f>
        <v>0.3</v>
      </c>
      <c r="W69" s="76">
        <f>IF(OR(Q69="Cash",Q69="Receivable Investments",Q69="Payable Investments"),0,IF(Q69="Investments",VLOOKUP(R69,LQA!E:Q,9,0),"Not Covered"))</f>
        <v>9.8169999999999993E-3</v>
      </c>
      <c r="X69" s="13" t="str">
        <f>IF(OR(H69=0,T69="Comdty"),"High",IF(V69&lt;='Liquidity Bucket'!$A$4,'Liquidity Bucket'!$I$4,IF(V69&lt;='Liquidity Bucket'!$A$5,'Liquidity Bucket'!$I$5,IF(V69&lt;='Liquidity Bucket'!$A$6,'Liquidity Bucket'!$I$6,IF(V69='Liquidity Bucket'!$A$8,'Liquidity Bucket'!$I$8,'Liquidity Bucket'!$I$7)))))</f>
        <v>High</v>
      </c>
      <c r="Y69" s="153">
        <f>IF(OR(Q69="Cash",Q69="Receivable Investments",Q69="Payable Investments"),0,IF(Q69="Investments",VLOOKUP(R69,'LQA Stress'!E:Q,12,0),"Not Covered"))</f>
        <v>1.4</v>
      </c>
      <c r="Z69" s="75">
        <f>IF(OR(Q69="Cash",Q69="Receivable Investments",Q69="Payable Investments"),0,IF(Q69="Investments",VLOOKUP(R69,'LQA Stress'!E:Q,9,0),"Not Covered"))</f>
        <v>2.579E-2</v>
      </c>
      <c r="AA69" s="13" t="str">
        <f>IF(T69="Comdty","High",IF(Y69&lt;='Liquidity Bucket'!$A$4,'Liquidity Bucket'!$I$4,IF(Y69&lt;='Liquidity Bucket'!$A$5,'Liquidity Bucket'!$I$5,IF(Y69&lt;='Liquidity Bucket'!$A$6,'Liquidity Bucket'!$I$6,IF(Y69='Liquidity Bucket'!$A$8,'Liquidity Bucket'!$I$8,'Liquidity Bucket'!$I$7)))))</f>
        <v>High</v>
      </c>
      <c r="AB69" s="14">
        <f>(N69+M69)/'FX Rates'!$C$5</f>
        <v>7022006.6253869971</v>
      </c>
      <c r="AC69" s="15" t="str">
        <f>IF(X69="Not Covered", (H69/_xll.BDP(R69&amp;" FIGI",$AC$1)),"")</f>
        <v/>
      </c>
      <c r="AD69" s="16" t="str">
        <f>IF(X69="Not Covered", _xll.BDP(R69&amp;" FIGI",$AD$1),"")</f>
        <v/>
      </c>
      <c r="AE69" s="16" t="str">
        <f>IF(OR(T69="Corp",T69="Govt"),IF(_xll.BDP(R69&amp;" FIGI",$AE$1)="#N/A N/A","",_xll.BDP(R69&amp;" FIGI",$AE$1)),"")</f>
        <v/>
      </c>
      <c r="AF69" s="1" t="str">
        <f>IF(OR(T69="Corp",T69="Govt"),IF(_xll.BDP(R69&amp;" FIGI",$AF$1)="#N/A N/A","",_xll.BDP(R69&amp;" FIGI",$AF$1)),"")</f>
        <v>Baa1</v>
      </c>
      <c r="AG69" s="16" t="str">
        <f>IF(OR(T69="Corp",T69="Govt"),IF(_xll.BDP(R69&amp;" FIGI",$AG$1)="#N/A N/A","",_xll.BDP(R69&amp;" FIGI",$AG$1)),"")</f>
        <v>BBB+ *-</v>
      </c>
      <c r="AH69" s="125">
        <f>IF(OR(S69="Cash",S69="M-Mkt"),21,IF(AE69="",0,VLOOKUP(AE69,'Rating Scale'!A:B,2,0)))</f>
        <v>0</v>
      </c>
      <c r="AI69" s="125">
        <f>IF(OR(S69="Cash",S69="M-Mkt"),21,IF(AF69="",0,VLOOKUP(AF69,'Rating Scale'!D:E,2,0)))</f>
        <v>14</v>
      </c>
      <c r="AJ69" s="125">
        <f>IF(OR(S69="Cash",S69="M-Mkt"),21,IF(AG69="",0,VLOOKUP(AG69,'Rating Scale'!G:H,2,0)))</f>
        <v>14</v>
      </c>
      <c r="AK69">
        <f t="shared" si="10"/>
        <v>14</v>
      </c>
      <c r="AL69" s="1" t="str">
        <f>IF(OR(U69="Cash",U69="Cash Adjustments"),_xll.BDP(G69&amp;" Curncy","Country"),IF(T69="Equity",_xll.BDP(R69&amp;" FIGI","CNTRY_ISSUE_ISO"),_xll.BDP(R69&amp;" FIGI",$AL$1)))</f>
        <v>SG</v>
      </c>
      <c r="AM69" s="126" t="str">
        <f>IF(OR(T69="Cash",T69="Cash Adjustments",T69="M-Mkt"), T69, IF(T69="Comdty",AS69, _xll.BDP(R69&amp;" FIGI", $AM$1)))</f>
        <v>Financial</v>
      </c>
      <c r="AN69" s="126" t="str">
        <f>IF(OR(T69="Cash",T69="Cash Adjustments",T69="M-Mkt"), T69,  IF(T69="Comdty",AS69,_xll.BDP(R69&amp;" FIGI", $AN$1)))</f>
        <v>Banks</v>
      </c>
      <c r="AO69" s="126" t="str">
        <f>IF(OR(T69="Cash",T69="Cash Adjustments",T69="M-Mkt"), T69,  IF(T69="Comdty",AS69,_xll.BDP(R69&amp;" FIGI", $AO$1)))</f>
        <v>Commer Banks Non-US</v>
      </c>
      <c r="AP69" s="13" t="str">
        <f>IF(OR(T69="Cash",T69="Cash Adjustments"), T69, IF(_xll.BDP(R69&amp;" FIGI", $AP$1)="#N/A Field Not Applicable","N",_xll.BDP(R69&amp;" FIGI", $AP$1)))</f>
        <v>N</v>
      </c>
      <c r="AQ69" s="1" t="str">
        <f>IF(OR(T69="Cash",T69="Cash Adjustments"), T69, IF(_xll.BDP(R69&amp;" FIGI", $AQ$1)="#N/A Field Not Applicable"," ",_xll.BDP(R69&amp;" FIGI", $AQ$1)))</f>
        <v xml:space="preserve"> </v>
      </c>
      <c r="AR69" s="1" t="str">
        <f>IF(OR(T69="Cash",T69="Cash Adjustments"), T69, IF(_xll.BDP(R69&amp;" FIGI", $AR$1)="#N/A Field Not Applicable"," ",_xll.BDP(R69&amp;" FIGI", $AR$1)))</f>
        <v>ACTV</v>
      </c>
      <c r="AS69" s="1" t="str">
        <f>VLOOKUP(T69,'SFC Classifcation'!$F$2:$H$7,3,0)</f>
        <v>Corporate</v>
      </c>
      <c r="AT69" s="22" t="str">
        <f t="shared" si="12"/>
        <v>Financial</v>
      </c>
      <c r="AU69" s="1" t="str">
        <f t="shared" si="13"/>
        <v>Investment Grade</v>
      </c>
      <c r="AV69" s="1" t="str">
        <f>IF(OR(T69="Cash",T69="Cash Adjustments"),T69,VLOOKUP(AL69,'SFC Classifcation'!$A:$C,3,0))</f>
        <v>Singapore</v>
      </c>
      <c r="AW69" s="22" t="str">
        <f t="shared" si="14"/>
        <v>High</v>
      </c>
      <c r="AX69" s="22" t="str">
        <f t="shared" si="15"/>
        <v>High</v>
      </c>
      <c r="AY69" s="45" t="str">
        <f>IF(OR(T69="Cash",T69="Cash Adjustments"), T69, _xll.BDP(R69&amp;" FIGI", $AY$1))</f>
        <v>Financials</v>
      </c>
      <c r="AZ69" s="45" t="str">
        <f>IF(OR(T69="Cash",T69="Cash Adjustments"), T69, _xll.BDP(R69&amp;" FIGI", $AZ$1))</f>
        <v>BANK</v>
      </c>
      <c r="BA69" s="45" t="str">
        <f>IF(OR(T69="Cash",T69="Cash Adjustments"), T69, _xll.BDP(R69&amp;" FIGI", $BA$1))</f>
        <v>#N/A Field Not Applicable</v>
      </c>
      <c r="BB69" s="16">
        <f>IF(OR(AS69="Government",AS69="Corporate"),(AK69*AB69/'SFC Report'!$C$20),"")</f>
        <v>0.17860222379000712</v>
      </c>
      <c r="BC69" s="174" t="str">
        <f>IF(OR(T69="Cash",T69="Cash Adjustments", T69="FX Forward", T69="Repo", T69="Equity", T69="M-Mkt"), "", _xll.BDP(R69&amp;" FIGI", $BC$1))</f>
        <v>8/27/2168</v>
      </c>
      <c r="BD69" s="125">
        <f ca="1">IF(OR(T69="Cash",T69="Cash Adjustments",T69="FX Forward",T69="Repo", T69="Equity", T69="M-Mkt"),"",(BC69-'SFC Report'!$B$13)/365)</f>
        <v>148.42465753424656</v>
      </c>
      <c r="BE69" s="82" t="str">
        <f t="shared" ca="1" si="9"/>
        <v>10 yrs or Above</v>
      </c>
      <c r="BF69" s="5">
        <f ca="1">IF(BC69="","",BD69*AB69/'SFC Report'!$C$20)</f>
        <v>1.8934981357776195</v>
      </c>
      <c r="BG69" s="14" cm="1">
        <f t="array" ref="BG69">IF(OR(AS69="Corporate",AS69="Government"),_xll.BDP(G69&amp;" ISIN", $BG$1),"")</f>
        <v>4.3029580474457214</v>
      </c>
      <c r="BH69" s="140">
        <f>IF(OR(AS69="Corporate",AS69="Government"),BG69*BN69/'SFC Report'!$C$20,"")</f>
        <v>5.4894134010636628E-2</v>
      </c>
      <c r="BI69" s="140">
        <f>IF(OR(AS69="Corporate",AS69="Government"),_xll.BDP(G69&amp;" ISIN", $BI$1),"")</f>
        <v>2.4629189755784155</v>
      </c>
      <c r="BJ69" s="140">
        <f>IF(OR(AS69="Corporate",AS69="Government"),BI69*AB69/'SFC Report'!$C$20,"")</f>
        <v>3.1420200432350803E-2</v>
      </c>
      <c r="BK69" s="153" t="str">
        <f>IF(OR(T69="Cash",T69="Cash Adjustments"),"-",_xll.BDP(R69&amp;" FIGI",$BK$1))</f>
        <v>XS2122408854</v>
      </c>
      <c r="BL69" s="11" t="str">
        <f>IF(OR(AS69="Cash", AS69="Cash Adjustments"),"-",IF(ISNA(VLOOKUP(BK69,'BBG - VaR Data (Sample, Indus )'!C:N,5,0)),"-",VLOOKUP(BK69,'BBG - VaR Data (Sample, Indus )'!C:N,5,0)))</f>
        <v>-</v>
      </c>
      <c r="BM69" s="11">
        <f>IF(OR(AS69="Cash", AS69="Cash Adjustments"),"-",IF(ISNA(VLOOKUP(BK69,'BBG - Scenarios (Sample View)'!C:Z,14,0)),"-",VLOOKUP(BK69,'BBG - Scenarios (Sample View)'!C:Z,14,0)))</f>
        <v>-5.54</v>
      </c>
      <c r="BN69" s="14">
        <f t="shared" si="16"/>
        <v>7022006.6253869971</v>
      </c>
      <c r="BO69" s="1">
        <f t="shared" si="17"/>
        <v>1.3774711379228104E-2</v>
      </c>
      <c r="BP69" t="str">
        <f>IF(BC69&lt;&gt;0,MaturityBucket(BG69),"")</f>
        <v>3 - 5 yrs</v>
      </c>
      <c r="BQ69" s="11" t="str">
        <f>IF(OR(T69="Cash",T69="Cash Adjustments"),T69,VLOOKUP(AL69,'SFC Classifcation'!$A:$C,2,0))</f>
        <v>Singapore</v>
      </c>
      <c r="BR69" s="1" t="e">
        <f>IF(S69="Bond",BH69/'SFC Report'!$B$7,"")</f>
        <v>#VALUE!</v>
      </c>
      <c r="BS69" t="str">
        <f>IF(OR(T69="Cash",T69="Cash Adjustments"),"-",_xll.BDP(R69&amp;" FIGI",$BS$1))</f>
        <v>#N/A N/A</v>
      </c>
      <c r="BT69" t="str">
        <f>IF(OR(T69="Cash",T69="Cash Adjustments"),"-",_xll.BDP(R69&amp;" FIGI",$BT$1))</f>
        <v>2/27/2020</v>
      </c>
      <c r="BU69" t="str">
        <f>IF(OR(T69="Cash",T69="Cash Adjustments"),"-",_xll.BDP(R69&amp;" FIGI",$BU$1))</f>
        <v>4/29/2020</v>
      </c>
    </row>
    <row r="70" spans="1:73">
      <c r="A70" s="254" t="s">
        <v>15</v>
      </c>
      <c r="B70" s="254" t="s">
        <v>25</v>
      </c>
      <c r="C70" s="254" t="s">
        <v>46</v>
      </c>
      <c r="D70" s="254" t="s">
        <v>22</v>
      </c>
      <c r="E70" s="254"/>
      <c r="F70" s="254" t="s">
        <v>1926</v>
      </c>
      <c r="G70" s="254" t="s">
        <v>1927</v>
      </c>
      <c r="H70" s="270">
        <v>15000000</v>
      </c>
      <c r="I70" s="270">
        <v>99.275000000000006</v>
      </c>
      <c r="J70" s="270">
        <v>15000000</v>
      </c>
      <c r="K70" s="270">
        <v>116257500</v>
      </c>
      <c r="L70" s="270">
        <v>-847334.25</v>
      </c>
      <c r="M70" s="270">
        <v>219589</v>
      </c>
      <c r="N70" s="270">
        <v>115410165.75</v>
      </c>
      <c r="O70" s="255">
        <v>2.5399999999999999E-2</v>
      </c>
      <c r="P70" s="1"/>
      <c r="Q70" s="1" t="str">
        <f t="shared" si="11"/>
        <v>Investments</v>
      </c>
      <c r="R70" s="1" t="str">
        <f>_xll.BDP(G70&amp;" ISIN",$R$1)</f>
        <v>BBG00T8645P1</v>
      </c>
      <c r="S70" s="1" t="str">
        <f>IF(Q70="Cash",Q70,IF(OR(Q70="Receivable Investments",Q70="Payable Investments"),"Cash Adjustments",_xll.BDP(R70&amp;" FIGI",$S$1)))</f>
        <v>BOND</v>
      </c>
      <c r="T70" s="1" t="str">
        <f>IF(Q70="Cash",Q70,IF(OR(Q70="Receivable Investments",Q70="Payable Investments"),"Cash Adjustments",VLOOKUP(R70,LQA!E:S,3,0)))</f>
        <v>Corp</v>
      </c>
      <c r="U70" s="1" t="str">
        <f>IF(Q70="Cash",Q70,IF(OR(Q70="Receivable Investments",Q70="Payable Investments"),"Cash Adjustments",_xll.BDP(R70&amp;" FIGI",$U$1)))</f>
        <v>#N/A Field Not Applicable</v>
      </c>
      <c r="V70" s="10">
        <f>IF(OR(Q70="Cash",Q70="Receivable Investments",Q70="Payable Investments"),0,IF(Q70="Investments",VLOOKUP(R70,LQA!E:Q,12,0),"Not Covered"))</f>
        <v>0.3</v>
      </c>
      <c r="W70" s="76">
        <f>IF(OR(Q70="Cash",Q70="Receivable Investments",Q70="Payable Investments"),0,IF(Q70="Investments",VLOOKUP(R70,LQA!E:Q,9,0),"Not Covered"))</f>
        <v>1.9984999999999999E-2</v>
      </c>
      <c r="X70" s="13" t="str">
        <f>IF(OR(H70=0,T70="Comdty"),"High",IF(V70&lt;='Liquidity Bucket'!$A$4,'Liquidity Bucket'!$I$4,IF(V70&lt;='Liquidity Bucket'!$A$5,'Liquidity Bucket'!$I$5,IF(V70&lt;='Liquidity Bucket'!$A$6,'Liquidity Bucket'!$I$6,IF(V70='Liquidity Bucket'!$A$8,'Liquidity Bucket'!$I$8,'Liquidity Bucket'!$I$7)))))</f>
        <v>High</v>
      </c>
      <c r="Y70" s="153">
        <f>IF(OR(Q70="Cash",Q70="Receivable Investments",Q70="Payable Investments"),0,IF(Q70="Investments",VLOOKUP(R70,'LQA Stress'!E:Q,12,0),"Not Covered"))</f>
        <v>1.7</v>
      </c>
      <c r="Z70" s="75">
        <f>IF(OR(Q70="Cash",Q70="Receivable Investments",Q70="Payable Investments"),0,IF(Q70="Investments",VLOOKUP(R70,'LQA Stress'!E:Q,9,0),"Not Covered"))</f>
        <v>5.5153000000000001E-2</v>
      </c>
      <c r="AA70" s="13" t="str">
        <f>IF(T70="Comdty","High",IF(Y70&lt;='Liquidity Bucket'!$A$4,'Liquidity Bucket'!$I$4,IF(Y70&lt;='Liquidity Bucket'!$A$5,'Liquidity Bucket'!$I$5,IF(Y70&lt;='Liquidity Bucket'!$A$6,'Liquidity Bucket'!$I$6,IF(Y70='Liquidity Bucket'!$A$8,'Liquidity Bucket'!$I$8,'Liquidity Bucket'!$I$7)))))</f>
        <v>High</v>
      </c>
      <c r="AB70" s="14">
        <f>(N70+M70)/'FX Rates'!$C$5</f>
        <v>14916119.03379773</v>
      </c>
      <c r="AC70" s="15" t="str">
        <f>IF(X70="Not Covered", (H70/_xll.BDP(R70&amp;" FIGI",$AC$1)),"")</f>
        <v/>
      </c>
      <c r="AD70" s="16" t="str">
        <f>IF(X70="Not Covered", _xll.BDP(R70&amp;" FIGI",$AD$1),"")</f>
        <v/>
      </c>
      <c r="AE70" s="16" t="str">
        <f>IF(OR(T70="Corp",T70="Govt"),IF(_xll.BDP(R70&amp;" FIGI",$AE$1)="#N/A N/A","",_xll.BDP(R70&amp;" FIGI",$AE$1)),"")</f>
        <v>BB+ *-</v>
      </c>
      <c r="AF70" s="1" t="str">
        <f>IF(OR(T70="Corp",T70="Govt"),IF(_xll.BDP(R70&amp;" FIGI",$AF$1)="#N/A N/A","",_xll.BDP(R70&amp;" FIGI",$AF$1)),"")</f>
        <v>Ba2 *-</v>
      </c>
      <c r="AG70" s="16" t="str">
        <f>IF(OR(T70="Corp",T70="Govt"),IF(_xll.BDP(R70&amp;" FIGI",$AG$1)="#N/A N/A","",_xll.BDP(R70&amp;" FIGI",$AG$1)),"")</f>
        <v>BB+</v>
      </c>
      <c r="AH70" s="125">
        <f>IF(OR(S70="Cash",S70="M-Mkt"),21,IF(AE70="",0,VLOOKUP(AE70,'Rating Scale'!A:B,2,0)))</f>
        <v>11</v>
      </c>
      <c r="AI70" s="125">
        <f>IF(OR(S70="Cash",S70="M-Mkt"),21,IF(AF70="",0,VLOOKUP(AF70,'Rating Scale'!D:E,2,0)))</f>
        <v>10</v>
      </c>
      <c r="AJ70" s="125">
        <f>IF(OR(S70="Cash",S70="M-Mkt"),21,IF(AG70="",0,VLOOKUP(AG70,'Rating Scale'!G:H,2,0)))</f>
        <v>11</v>
      </c>
      <c r="AK70">
        <f t="shared" si="10"/>
        <v>11</v>
      </c>
      <c r="AL70" s="1" t="str">
        <f>IF(OR(U70="Cash",U70="Cash Adjustments"),_xll.BDP(G70&amp;" Curncy","Country"),IF(T70="Equity",_xll.BDP(R70&amp;" FIGI","CNTRY_ISSUE_ISO"),_xll.BDP(R70&amp;" FIGI",$AL$1)))</f>
        <v>US</v>
      </c>
      <c r="AM70" s="126" t="str">
        <f>IF(OR(T70="Cash",T70="Cash Adjustments",T70="M-Mkt"), T70, IF(T70="Comdty",AS70, _xll.BDP(R70&amp;" FIGI", $AM$1)))</f>
        <v>Consumer, Cyclical</v>
      </c>
      <c r="AN70" s="126" t="str">
        <f>IF(OR(T70="Cash",T70="Cash Adjustments",T70="M-Mkt"), T70,  IF(T70="Comdty",AS70,_xll.BDP(R70&amp;" FIGI", $AN$1)))</f>
        <v>Auto Manufacturers</v>
      </c>
      <c r="AO70" s="126" t="str">
        <f>IF(OR(T70="Cash",T70="Cash Adjustments",T70="M-Mkt"), T70,  IF(T70="Comdty",AS70,_xll.BDP(R70&amp;" FIGI", $AO$1)))</f>
        <v>Auto-Cars/Light Trucks</v>
      </c>
      <c r="AP70" s="13" t="str">
        <f>IF(OR(T70="Cash",T70="Cash Adjustments"), T70, IF(_xll.BDP(R70&amp;" FIGI", $AP$1)="#N/A Field Not Applicable","N",_xll.BDP(R70&amp;" FIGI", $AP$1)))</f>
        <v>N</v>
      </c>
      <c r="AQ70" s="1" t="str">
        <f>IF(OR(T70="Cash",T70="Cash Adjustments"), T70, IF(_xll.BDP(R70&amp;" FIGI", $AQ$1)="#N/A Field Not Applicable"," ",_xll.BDP(R70&amp;" FIGI", $AQ$1)))</f>
        <v xml:space="preserve"> </v>
      </c>
      <c r="AR70" s="1" t="str">
        <f>IF(OR(T70="Cash",T70="Cash Adjustments"), T70, IF(_xll.BDP(R70&amp;" FIGI", $AR$1)="#N/A Field Not Applicable"," ",_xll.BDP(R70&amp;" FIGI", $AR$1)))</f>
        <v>ACTV</v>
      </c>
      <c r="AS70" s="1" t="str">
        <f>VLOOKUP(T70,'SFC Classifcation'!$F$2:$H$7,3,0)</f>
        <v>Corporate</v>
      </c>
      <c r="AT70" s="22" t="str">
        <f t="shared" si="12"/>
        <v>Non-Financial</v>
      </c>
      <c r="AU70" s="1" t="str">
        <f t="shared" si="13"/>
        <v>Non-Investment Grade</v>
      </c>
      <c r="AV70" s="1" t="str">
        <f>IF(OR(T70="Cash",T70="Cash Adjustments"),T70,VLOOKUP(AL70,'SFC Classifcation'!$A:$C,3,0))</f>
        <v>United States of America</v>
      </c>
      <c r="AW70" s="22" t="str">
        <f t="shared" si="14"/>
        <v>High</v>
      </c>
      <c r="AX70" s="22" t="str">
        <f t="shared" si="15"/>
        <v>High</v>
      </c>
      <c r="AY70" s="45" t="str">
        <f>IF(OR(T70="Cash",T70="Cash Adjustments"), T70, _xll.BDP(R70&amp;" FIGI", $AY$1))</f>
        <v>Consumer Discretionary</v>
      </c>
      <c r="AZ70" s="45" t="str">
        <f>IF(OR(T70="Cash",T70="Cash Adjustments"), T70, _xll.BDP(R70&amp;" FIGI", $AZ$1))</f>
        <v>INDUSTRIAL</v>
      </c>
      <c r="BA70" s="45" t="str">
        <f>IF(OR(T70="Cash",T70="Cash Adjustments"), T70, _xll.BDP(R70&amp;" FIGI", $BA$1))</f>
        <v>#N/A Field Not Applicable</v>
      </c>
      <c r="BB70" s="16">
        <f>IF(OR(AS70="Government",AS70="Corporate"),(AK70*AB70/'SFC Report'!$C$20),"")</f>
        <v>0.29808911459799387</v>
      </c>
      <c r="BC70" s="174" t="str">
        <f>IF(OR(T70="Cash",T70="Cash Adjustments", T70="FX Forward", T70="Repo", T70="Equity", T70="M-Mkt"), "", _xll.BDP(R70&amp;" FIGI", $BC$1))</f>
        <v>4/21/2023</v>
      </c>
      <c r="BD70" s="125">
        <f ca="1">IF(OR(T70="Cash",T70="Cash Adjustments",T70="FX Forward",T70="Repo", T70="Equity", T70="M-Mkt"),"",(BC70-'SFC Report'!$B$13)/365)</f>
        <v>2.9753424657534246</v>
      </c>
      <c r="BE70" s="82" t="str">
        <f t="shared" ca="1" si="9"/>
        <v>2 - 3 yrs</v>
      </c>
      <c r="BF70" s="5">
        <f ca="1">IF(BC70="","",BD70*AB70/'SFC Report'!$C$20)</f>
        <v>8.0628836476568211E-2</v>
      </c>
      <c r="BG70" s="14" cm="1">
        <f t="array" ref="BG70">IF(OR(AS70="Corporate",AS70="Government"),_xll.BDP(G70&amp;" ISIN", $BG$1),"")</f>
        <v>2.5119644620772958</v>
      </c>
      <c r="BH70" s="140">
        <f>IF(OR(AS70="Corporate",AS70="Government"),BG70*BN70/'SFC Report'!$C$20,"")</f>
        <v>6.8071751127477015E-2</v>
      </c>
      <c r="BI70" s="140">
        <f>IF(OR(AS70="Corporate",AS70="Government"),_xll.BDP(G70&amp;" ISIN", $BI$1),"")</f>
        <v>8.0355306406657032</v>
      </c>
      <c r="BJ70" s="140">
        <f>IF(OR(AS70="Corporate",AS70="Government"),BI70*AB70/'SFC Report'!$C$20,"")</f>
        <v>0.21775492854555364</v>
      </c>
      <c r="BK70" s="153" t="str">
        <f>IF(OR(T70="Cash",T70="Cash Adjustments"),"-",_xll.BDP(R70&amp;" FIGI",$BK$1))</f>
        <v>US345370CV02</v>
      </c>
      <c r="BL70" s="11" t="str">
        <f>IF(OR(AS70="Cash", AS70="Cash Adjustments"),"-",IF(ISNA(VLOOKUP(BK70,'BBG - VaR Data (Sample, Indus )'!C:N,5,0)),"-",VLOOKUP(BK70,'BBG - VaR Data (Sample, Indus )'!C:N,5,0)))</f>
        <v>-</v>
      </c>
      <c r="BM70" s="11">
        <f>IF(OR(AS70="Cash", AS70="Cash Adjustments"),"-",IF(ISNA(VLOOKUP(BK70,'BBG - Scenarios (Sample View)'!C:Z,14,0)),"-",VLOOKUP(BK70,'BBG - Scenarios (Sample View)'!C:Z,14,0)))</f>
        <v>-5.37</v>
      </c>
      <c r="BN70" s="14">
        <f t="shared" si="16"/>
        <v>14916119.03379773</v>
      </c>
      <c r="BO70" s="1">
        <f t="shared" si="17"/>
        <v>2.9260188084406842E-2</v>
      </c>
      <c r="BP70" t="str">
        <f>IF(BC70&lt;&gt;0,MaturityBucket(BG70),"")</f>
        <v>2 - 3 yrs</v>
      </c>
      <c r="BQ70" s="11" t="str">
        <f>IF(OR(T70="Cash",T70="Cash Adjustments"),T70,VLOOKUP(AL70,'SFC Classifcation'!$A:$C,2,0))</f>
        <v>United States of America</v>
      </c>
      <c r="BR70" s="1" t="e">
        <f>IF(S70="Bond",BH70/'SFC Report'!$B$7,"")</f>
        <v>#VALUE!</v>
      </c>
      <c r="BS70" t="str">
        <f>IF(OR(T70="Cash",T70="Cash Adjustments"),"-",_xll.BDP(R70&amp;" FIGI",$BS$1))</f>
        <v>4/17/2020</v>
      </c>
      <c r="BT70" t="str">
        <f>IF(OR(T70="Cash",T70="Cash Adjustments"),"-",_xll.BDP(R70&amp;" FIGI",$BT$1))</f>
        <v>4/29/2020</v>
      </c>
      <c r="BU70" t="str">
        <f>IF(OR(T70="Cash",T70="Cash Adjustments"),"-",_xll.BDP(R70&amp;" FIGI",$BU$1))</f>
        <v>5/7/2020</v>
      </c>
    </row>
    <row r="71" spans="1:73">
      <c r="A71" s="254" t="s">
        <v>15</v>
      </c>
      <c r="B71" s="254" t="s">
        <v>25</v>
      </c>
      <c r="C71" s="254" t="s">
        <v>46</v>
      </c>
      <c r="D71" s="254" t="s">
        <v>22</v>
      </c>
      <c r="E71" s="254"/>
      <c r="F71" s="254" t="s">
        <v>1928</v>
      </c>
      <c r="G71" s="254" t="s">
        <v>1929</v>
      </c>
      <c r="H71" s="270">
        <v>3000000</v>
      </c>
      <c r="I71" s="270">
        <v>97.423000000000002</v>
      </c>
      <c r="J71" s="270">
        <v>3000000</v>
      </c>
      <c r="K71" s="270">
        <v>23251500</v>
      </c>
      <c r="L71" s="270">
        <v>-600067.96</v>
      </c>
      <c r="M71" s="270">
        <v>46501.2</v>
      </c>
      <c r="N71" s="270">
        <v>22651432.039999999</v>
      </c>
      <c r="O71" s="255">
        <v>5.0000000000000001E-3</v>
      </c>
      <c r="P71" s="1"/>
      <c r="Q71" s="1" t="str">
        <f t="shared" si="11"/>
        <v>Investments</v>
      </c>
      <c r="R71" s="1" t="str">
        <f>_xll.BDP(G71&amp;" ISIN",$R$1)</f>
        <v>BBG00T8646V2</v>
      </c>
      <c r="S71" s="1" t="str">
        <f>IF(Q71="Cash",Q71,IF(OR(Q71="Receivable Investments",Q71="Payable Investments"),"Cash Adjustments",_xll.BDP(R71&amp;" FIGI",$S$1)))</f>
        <v>BOND</v>
      </c>
      <c r="T71" s="1" t="str">
        <f>IF(Q71="Cash",Q71,IF(OR(Q71="Receivable Investments",Q71="Payable Investments"),"Cash Adjustments",VLOOKUP(R71,LQA!E:S,3,0)))</f>
        <v>Corp</v>
      </c>
      <c r="U71" s="1" t="str">
        <f>IF(Q71="Cash",Q71,IF(OR(Q71="Receivable Investments",Q71="Payable Investments"),"Cash Adjustments",_xll.BDP(R71&amp;" FIGI",$U$1)))</f>
        <v>#N/A Field Not Applicable</v>
      </c>
      <c r="V71" s="10">
        <f>IF(OR(Q71="Cash",Q71="Receivable Investments",Q71="Payable Investments"),0,IF(Q71="Investments",VLOOKUP(R71,LQA!E:Q,12,0),"Not Covered"))</f>
        <v>0.3</v>
      </c>
      <c r="W71" s="76">
        <f>IF(OR(Q71="Cash",Q71="Receivable Investments",Q71="Payable Investments"),0,IF(Q71="Investments",VLOOKUP(R71,LQA!E:Q,9,0),"Not Covered"))</f>
        <v>2.5694000000000002E-2</v>
      </c>
      <c r="X71" s="13" t="str">
        <f>IF(OR(H71=0,T71="Comdty"),"High",IF(V71&lt;='Liquidity Bucket'!$A$4,'Liquidity Bucket'!$I$4,IF(V71&lt;='Liquidity Bucket'!$A$5,'Liquidity Bucket'!$I$5,IF(V71&lt;='Liquidity Bucket'!$A$6,'Liquidity Bucket'!$I$6,IF(V71='Liquidity Bucket'!$A$8,'Liquidity Bucket'!$I$8,'Liquidity Bucket'!$I$7)))))</f>
        <v>High</v>
      </c>
      <c r="Y71" s="153">
        <f>IF(OR(Q71="Cash",Q71="Receivable Investments",Q71="Payable Investments"),0,IF(Q71="Investments",VLOOKUP(R71,'LQA Stress'!E:Q,12,0),"Not Covered"))</f>
        <v>1.1000000000000001</v>
      </c>
      <c r="Z71" s="75">
        <f>IF(OR(Q71="Cash",Q71="Receivable Investments",Q71="Payable Investments"),0,IF(Q71="Investments",VLOOKUP(R71,'LQA Stress'!E:Q,9,0),"Not Covered"))</f>
        <v>7.1544999999999997E-2</v>
      </c>
      <c r="AA71" s="13" t="str">
        <f>IF(T71="Comdty","High",IF(Y71&lt;='Liquidity Bucket'!$A$4,'Liquidity Bucket'!$I$4,IF(Y71&lt;='Liquidity Bucket'!$A$5,'Liquidity Bucket'!$I$5,IF(Y71&lt;='Liquidity Bucket'!$A$6,'Liquidity Bucket'!$I$6,IF(Y71='Liquidity Bucket'!$A$8,'Liquidity Bucket'!$I$8,'Liquidity Bucket'!$I$7)))))</f>
        <v>High</v>
      </c>
      <c r="AB71" s="14">
        <f>(N71+M71)/'FX Rates'!$C$5</f>
        <v>2928009.9638802889</v>
      </c>
      <c r="AC71" s="15" t="str">
        <f>IF(X71="Not Covered", (H71/_xll.BDP(R71&amp;" FIGI",$AC$1)),"")</f>
        <v/>
      </c>
      <c r="AD71" s="16" t="str">
        <f>IF(X71="Not Covered", _xll.BDP(R71&amp;" FIGI",$AD$1),"")</f>
        <v/>
      </c>
      <c r="AE71" s="16" t="str">
        <f>IF(OR(T71="Corp",T71="Govt"),IF(_xll.BDP(R71&amp;" FIGI",$AE$1)="#N/A N/A","",_xll.BDP(R71&amp;" FIGI",$AE$1)),"")</f>
        <v>BB+ *-</v>
      </c>
      <c r="AF71" s="1" t="str">
        <f>IF(OR(T71="Corp",T71="Govt"),IF(_xll.BDP(R71&amp;" FIGI",$AF$1)="#N/A N/A","",_xll.BDP(R71&amp;" FIGI",$AF$1)),"")</f>
        <v>Ba2 *-</v>
      </c>
      <c r="AG71" s="16" t="str">
        <f>IF(OR(T71="Corp",T71="Govt"),IF(_xll.BDP(R71&amp;" FIGI",$AG$1)="#N/A N/A","",_xll.BDP(R71&amp;" FIGI",$AG$1)),"")</f>
        <v>BB+</v>
      </c>
      <c r="AH71" s="125">
        <f>IF(OR(S71="Cash",S71="M-Mkt"),21,IF(AE71="",0,VLOOKUP(AE71,'Rating Scale'!A:B,2,0)))</f>
        <v>11</v>
      </c>
      <c r="AI71" s="125">
        <f>IF(OR(S71="Cash",S71="M-Mkt"),21,IF(AF71="",0,VLOOKUP(AF71,'Rating Scale'!D:E,2,0)))</f>
        <v>10</v>
      </c>
      <c r="AJ71" s="125">
        <f>IF(OR(S71="Cash",S71="M-Mkt"),21,IF(AG71="",0,VLOOKUP(AG71,'Rating Scale'!G:H,2,0)))</f>
        <v>11</v>
      </c>
      <c r="AK71">
        <f t="shared" si="10"/>
        <v>11</v>
      </c>
      <c r="AL71" s="1" t="str">
        <f>IF(OR(U71="Cash",U71="Cash Adjustments"),_xll.BDP(G71&amp;" Curncy","Country"),IF(T71="Equity",_xll.BDP(R71&amp;" FIGI","CNTRY_ISSUE_ISO"),_xll.BDP(R71&amp;" FIGI",$AL$1)))</f>
        <v>US</v>
      </c>
      <c r="AM71" s="126" t="str">
        <f>IF(OR(T71="Cash",T71="Cash Adjustments",T71="M-Mkt"), T71, IF(T71="Comdty",AS71, _xll.BDP(R71&amp;" FIGI", $AM$1)))</f>
        <v>Consumer, Cyclical</v>
      </c>
      <c r="AN71" s="126" t="str">
        <f>IF(OR(T71="Cash",T71="Cash Adjustments",T71="M-Mkt"), T71,  IF(T71="Comdty",AS71,_xll.BDP(R71&amp;" FIGI", $AN$1)))</f>
        <v>Auto Manufacturers</v>
      </c>
      <c r="AO71" s="126" t="str">
        <f>IF(OR(T71="Cash",T71="Cash Adjustments",T71="M-Mkt"), T71,  IF(T71="Comdty",AS71,_xll.BDP(R71&amp;" FIGI", $AO$1)))</f>
        <v>Auto-Cars/Light Trucks</v>
      </c>
      <c r="AP71" s="13" t="str">
        <f>IF(OR(T71="Cash",T71="Cash Adjustments"), T71, IF(_xll.BDP(R71&amp;" FIGI", $AP$1)="#N/A Field Not Applicable","N",_xll.BDP(R71&amp;" FIGI", $AP$1)))</f>
        <v>N</v>
      </c>
      <c r="AQ71" s="1" t="str">
        <f>IF(OR(T71="Cash",T71="Cash Adjustments"), T71, IF(_xll.BDP(R71&amp;" FIGI", $AQ$1)="#N/A Field Not Applicable"," ",_xll.BDP(R71&amp;" FIGI", $AQ$1)))</f>
        <v xml:space="preserve"> </v>
      </c>
      <c r="AR71" s="1" t="str">
        <f>IF(OR(T71="Cash",T71="Cash Adjustments"), T71, IF(_xll.BDP(R71&amp;" FIGI", $AR$1)="#N/A Field Not Applicable"," ",_xll.BDP(R71&amp;" FIGI", $AR$1)))</f>
        <v>ACTV</v>
      </c>
      <c r="AS71" s="1" t="str">
        <f>VLOOKUP(T71,'SFC Classifcation'!$F$2:$H$7,3,0)</f>
        <v>Corporate</v>
      </c>
      <c r="AT71" s="22" t="str">
        <f t="shared" si="12"/>
        <v>Non-Financial</v>
      </c>
      <c r="AU71" s="1" t="str">
        <f t="shared" si="13"/>
        <v>Non-Investment Grade</v>
      </c>
      <c r="AV71" s="1" t="str">
        <f>IF(OR(T71="Cash",T71="Cash Adjustments"),T71,VLOOKUP(AL71,'SFC Classifcation'!$A:$C,3,0))</f>
        <v>United States of America</v>
      </c>
      <c r="AW71" s="22" t="str">
        <f t="shared" si="14"/>
        <v>High</v>
      </c>
      <c r="AX71" s="22" t="str">
        <f t="shared" si="15"/>
        <v>High</v>
      </c>
      <c r="AY71" s="45" t="str">
        <f>IF(OR(T71="Cash",T71="Cash Adjustments"), T71, _xll.BDP(R71&amp;" FIGI", $AY$1))</f>
        <v>Consumer Discretionary</v>
      </c>
      <c r="AZ71" s="45" t="str">
        <f>IF(OR(T71="Cash",T71="Cash Adjustments"), T71, _xll.BDP(R71&amp;" FIGI", $AZ$1))</f>
        <v>INDUSTRIAL</v>
      </c>
      <c r="BA71" s="45" t="str">
        <f>IF(OR(T71="Cash",T71="Cash Adjustments"), T71, _xll.BDP(R71&amp;" FIGI", $BA$1))</f>
        <v>#N/A Field Not Applicable</v>
      </c>
      <c r="BB71" s="16">
        <f>IF(OR(AS71="Government",AS71="Corporate"),(AK71*AB71/'SFC Report'!$C$20),"")</f>
        <v>5.851440952499274E-2</v>
      </c>
      <c r="BC71" s="174" t="str">
        <f>IF(OR(T71="Cash",T71="Cash Adjustments", T71="FX Forward", T71="Repo", T71="Equity", T71="M-Mkt"), "", _xll.BDP(R71&amp;" FIGI", $BC$1))</f>
        <v>4/22/2025</v>
      </c>
      <c r="BD71" s="125">
        <f ca="1">IF(OR(T71="Cash",T71="Cash Adjustments",T71="FX Forward",T71="Repo", T71="Equity", T71="M-Mkt"),"",(BC71-'SFC Report'!$B$13)/365)</f>
        <v>4.9808219178082194</v>
      </c>
      <c r="BE71" s="82" t="str">
        <f t="shared" ca="1" si="9"/>
        <v>3 - 5 yrs</v>
      </c>
      <c r="BF71" s="5">
        <f ca="1">IF(BC71="","",BD71*AB71/'SFC Report'!$C$20)</f>
        <v>2.649544122451726E-2</v>
      </c>
      <c r="BG71" s="14" cm="1">
        <f t="array" ref="BG71">IF(OR(AS71="Corporate",AS71="Government"),_xll.BDP(G71&amp;" ISIN", $BG$1),"")</f>
        <v>3.8303462306878728</v>
      </c>
      <c r="BH71" s="140">
        <f>IF(OR(AS71="Corporate",AS71="Government"),BG71*BN71/'SFC Report'!$C$20,"")</f>
        <v>2.0375495269543863E-2</v>
      </c>
      <c r="BI71" s="140">
        <f>IF(OR(AS71="Corporate",AS71="Government"),_xll.BDP(G71&amp;" ISIN", $BI$1),"")</f>
        <v>8.4399902372922071</v>
      </c>
      <c r="BJ71" s="140">
        <f>IF(OR(AS71="Corporate",AS71="Government"),BI71*AB71/'SFC Report'!$C$20,"")</f>
        <v>4.4896458648350623E-2</v>
      </c>
      <c r="BK71" s="153" t="str">
        <f>IF(OR(T71="Cash",T71="Cash Adjustments"),"-",_xll.BDP(R71&amp;" FIGI",$BK$1))</f>
        <v>US345370CW84</v>
      </c>
      <c r="BL71" s="11" t="str">
        <f>IF(OR(AS71="Cash", AS71="Cash Adjustments"),"-",IF(ISNA(VLOOKUP(BK71,'BBG - VaR Data (Sample, Indus )'!C:N,5,0)),"-",VLOOKUP(BK71,'BBG - VaR Data (Sample, Indus )'!C:N,5,0)))</f>
        <v>-</v>
      </c>
      <c r="BM71" s="11">
        <f>IF(OR(AS71="Cash", AS71="Cash Adjustments"),"-",IF(ISNA(VLOOKUP(BK71,'BBG - Scenarios (Sample View)'!C:Z,14,0)),"-",VLOOKUP(BK71,'BBG - Scenarios (Sample View)'!C:Z,14,0)))</f>
        <v>-8.4600000000000009</v>
      </c>
      <c r="BN71" s="14">
        <f t="shared" si="16"/>
        <v>2928009.9638802889</v>
      </c>
      <c r="BO71" s="1">
        <f t="shared" si="17"/>
        <v>5.7437274442520593E-3</v>
      </c>
      <c r="BP71" t="str">
        <f>IF(BC71&lt;&gt;0,MaturityBucket(BG71),"")</f>
        <v>3 - 5 yrs</v>
      </c>
      <c r="BQ71" s="11" t="str">
        <f>IF(OR(T71="Cash",T71="Cash Adjustments"),T71,VLOOKUP(AL71,'SFC Classifcation'!$A:$C,2,0))</f>
        <v>United States of America</v>
      </c>
      <c r="BR71" s="1" t="e">
        <f>IF(S71="Bond",BH71/'SFC Report'!$B$7,"")</f>
        <v>#VALUE!</v>
      </c>
      <c r="BS71" t="str">
        <f>IF(OR(T71="Cash",T71="Cash Adjustments"),"-",_xll.BDP(R71&amp;" FIGI",$BS$1))</f>
        <v>4/17/2020</v>
      </c>
      <c r="BT71" t="str">
        <f>IF(OR(T71="Cash",T71="Cash Adjustments"),"-",_xll.BDP(R71&amp;" FIGI",$BT$1))</f>
        <v>4/29/2020</v>
      </c>
      <c r="BU71" t="str">
        <f>IF(OR(T71="Cash",T71="Cash Adjustments"),"-",_xll.BDP(R71&amp;" FIGI",$BU$1))</f>
        <v>5/7/2020</v>
      </c>
    </row>
    <row r="72" spans="1:73">
      <c r="A72" s="254" t="s">
        <v>15</v>
      </c>
      <c r="B72" s="254" t="s">
        <v>25</v>
      </c>
      <c r="C72" s="254" t="s">
        <v>46</v>
      </c>
      <c r="D72" s="254" t="s">
        <v>22</v>
      </c>
      <c r="E72" s="254"/>
      <c r="F72" s="254" t="s">
        <v>1123</v>
      </c>
      <c r="G72" s="254" t="s">
        <v>1107</v>
      </c>
      <c r="H72" s="270">
        <v>500000</v>
      </c>
      <c r="I72" s="270">
        <v>99.564999999999998</v>
      </c>
      <c r="J72" s="270">
        <v>510000</v>
      </c>
      <c r="K72" s="270">
        <v>3980550</v>
      </c>
      <c r="L72" s="270">
        <v>-122306.69</v>
      </c>
      <c r="M72" s="270">
        <v>16442.259999999998</v>
      </c>
      <c r="N72" s="270">
        <v>3858243.31</v>
      </c>
      <c r="O72" s="255">
        <v>8.0000000000000004E-4</v>
      </c>
      <c r="P72" s="1"/>
      <c r="Q72" s="1" t="str">
        <f t="shared" si="11"/>
        <v>Investments</v>
      </c>
      <c r="R72" s="1" t="str">
        <f>_xll.BDP(G72&amp;" ISIN",$R$1)</f>
        <v>BBG00NV886P8</v>
      </c>
      <c r="S72" s="1" t="str">
        <f>IF(Q72="Cash",Q72,IF(OR(Q72="Receivable Investments",Q72="Payable Investments"),"Cash Adjustments",_xll.BDP(R72&amp;" FIGI",$S$1)))</f>
        <v>BOND</v>
      </c>
      <c r="T72" s="1" t="str">
        <f>IF(Q72="Cash",Q72,IF(OR(Q72="Receivable Investments",Q72="Payable Investments"),"Cash Adjustments",VLOOKUP(R72,LQA!E:S,3,0)))</f>
        <v>Corp</v>
      </c>
      <c r="U72" s="1" t="str">
        <f>IF(Q72="Cash",Q72,IF(OR(Q72="Receivable Investments",Q72="Payable Investments"),"Cash Adjustments",_xll.BDP(R72&amp;" FIGI",$U$1)))</f>
        <v>#N/A Field Not Applicable</v>
      </c>
      <c r="V72" s="10">
        <f>IF(OR(Q72="Cash",Q72="Receivable Investments",Q72="Payable Investments"),0,IF(Q72="Investments",VLOOKUP(R72,LQA!E:Q,12,0),"Not Covered"))</f>
        <v>0.2</v>
      </c>
      <c r="W72" s="76">
        <f>IF(OR(Q72="Cash",Q72="Receivable Investments",Q72="Payable Investments"),0,IF(Q72="Investments",VLOOKUP(R72,LQA!E:Q,9,0),"Not Covered"))</f>
        <v>1.8391000000000001E-2</v>
      </c>
      <c r="X72" s="13" t="str">
        <f>IF(OR(H72=0,T72="Comdty"),"High",IF(V72&lt;='Liquidity Bucket'!$A$4,'Liquidity Bucket'!$I$4,IF(V72&lt;='Liquidity Bucket'!$A$5,'Liquidity Bucket'!$I$5,IF(V72&lt;='Liquidity Bucket'!$A$6,'Liquidity Bucket'!$I$6,IF(V72='Liquidity Bucket'!$A$8,'Liquidity Bucket'!$I$8,'Liquidity Bucket'!$I$7)))))</f>
        <v>High</v>
      </c>
      <c r="Y72" s="153">
        <f>IF(OR(Q72="Cash",Q72="Receivable Investments",Q72="Payable Investments"),0,IF(Q72="Investments",VLOOKUP(R72,'LQA Stress'!E:Q,12,0),"Not Covered"))</f>
        <v>1.7</v>
      </c>
      <c r="Z72" s="75">
        <f>IF(OR(Q72="Cash",Q72="Receivable Investments",Q72="Payable Investments"),0,IF(Q72="Investments",VLOOKUP(R72,'LQA Stress'!E:Q,9,0),"Not Covered"))</f>
        <v>4.9579999999999999E-2</v>
      </c>
      <c r="AA72" s="13" t="str">
        <f>IF(T72="Comdty","High",IF(Y72&lt;='Liquidity Bucket'!$A$4,'Liquidity Bucket'!$I$4,IF(Y72&lt;='Liquidity Bucket'!$A$5,'Liquidity Bucket'!$I$5,IF(Y72&lt;='Liquidity Bucket'!$A$6,'Liquidity Bucket'!$I$6,IF(Y72='Liquidity Bucket'!$A$8,'Liquidity Bucket'!$I$8,'Liquidity Bucket'!$I$7)))))</f>
        <v>High</v>
      </c>
      <c r="AB72" s="14">
        <f>(N72+M72)/'FX Rates'!$C$5</f>
        <v>499830.43988648092</v>
      </c>
      <c r="AC72" s="15" t="str">
        <f>IF(X72="Not Covered", (H72/_xll.BDP(R72&amp;" FIGI",$AC$1)),"")</f>
        <v/>
      </c>
      <c r="AD72" s="16" t="str">
        <f>IF(X72="Not Covered", _xll.BDP(R72&amp;" FIGI",$AD$1),"")</f>
        <v/>
      </c>
      <c r="AE72" s="16" t="str">
        <f>IF(OR(T72="Corp",T72="Govt"),IF(_xll.BDP(R72&amp;" FIGI",$AE$1)="#N/A N/A","",_xll.BDP(R72&amp;" FIGI",$AE$1)),"")</f>
        <v>B</v>
      </c>
      <c r="AF72" s="1" t="str">
        <f>IF(OR(T72="Corp",T72="Govt"),IF(_xll.BDP(R72&amp;" FIGI",$AF$1)="#N/A N/A","",_xll.BDP(R72&amp;" FIGI",$AF$1)),"")</f>
        <v>B3</v>
      </c>
      <c r="AG72" s="16" t="str">
        <f>IF(OR(T72="Corp",T72="Govt"),IF(_xll.BDP(R72&amp;" FIGI",$AG$1)="#N/A N/A","",_xll.BDP(R72&amp;" FIGI",$AG$1)),"")</f>
        <v/>
      </c>
      <c r="AH72" s="125">
        <f>IF(OR(S72="Cash",S72="M-Mkt"),21,IF(AE72="",0,VLOOKUP(AE72,'Rating Scale'!A:B,2,0)))</f>
        <v>7</v>
      </c>
      <c r="AI72" s="125">
        <f>IF(OR(S72="Cash",S72="M-Mkt"),21,IF(AF72="",0,VLOOKUP(AF72,'Rating Scale'!D:E,2,0)))</f>
        <v>6</v>
      </c>
      <c r="AJ72" s="125">
        <f>IF(OR(S72="Cash",S72="M-Mkt"),21,IF(AG72="",0,VLOOKUP(AG72,'Rating Scale'!G:H,2,0)))</f>
        <v>0</v>
      </c>
      <c r="AK72">
        <f t="shared" si="10"/>
        <v>6</v>
      </c>
      <c r="AL72" s="1" t="str">
        <f>IF(OR(U72="Cash",U72="Cash Adjustments"),_xll.BDP(G72&amp;" Curncy","Country"),IF(T72="Equity",_xll.BDP(R72&amp;" FIGI","CNTRY_ISSUE_ISO"),_xll.BDP(R72&amp;" FIGI",$AL$1)))</f>
        <v>CN</v>
      </c>
      <c r="AM72" s="126" t="str">
        <f>IF(OR(T72="Cash",T72="Cash Adjustments",T72="M-Mkt"), T72, IF(T72="Comdty",AS72, _xll.BDP(R72&amp;" FIGI", $AM$1)))</f>
        <v>Financial</v>
      </c>
      <c r="AN72" s="126" t="str">
        <f>IF(OR(T72="Cash",T72="Cash Adjustments",T72="M-Mkt"), T72,  IF(T72="Comdty",AS72,_xll.BDP(R72&amp;" FIGI", $AN$1)))</f>
        <v>Real Estate</v>
      </c>
      <c r="AO72" s="126" t="str">
        <f>IF(OR(T72="Cash",T72="Cash Adjustments",T72="M-Mkt"), T72,  IF(T72="Comdty",AS72,_xll.BDP(R72&amp;" FIGI", $AO$1)))</f>
        <v>Real Estate Oper/Develop</v>
      </c>
      <c r="AP72" s="13" t="str">
        <f>IF(OR(T72="Cash",T72="Cash Adjustments"), T72, IF(_xll.BDP(R72&amp;" FIGI", $AP$1)="#N/A Field Not Applicable","N",_xll.BDP(R72&amp;" FIGI", $AP$1)))</f>
        <v>N</v>
      </c>
      <c r="AQ72" s="1" t="str">
        <f>IF(OR(T72="Cash",T72="Cash Adjustments"), T72, IF(_xll.BDP(R72&amp;" FIGI", $AQ$1)="#N/A Field Not Applicable"," ",_xll.BDP(R72&amp;" FIGI", $AQ$1)))</f>
        <v xml:space="preserve"> </v>
      </c>
      <c r="AR72" s="1" t="str">
        <f>IF(OR(T72="Cash",T72="Cash Adjustments"), T72, IF(_xll.BDP(R72&amp;" FIGI", $AR$1)="#N/A Field Not Applicable"," ",_xll.BDP(R72&amp;" FIGI", $AR$1)))</f>
        <v>ACTV</v>
      </c>
      <c r="AS72" s="1" t="str">
        <f>VLOOKUP(T72,'SFC Classifcation'!$F$2:$H$7,3,0)</f>
        <v>Corporate</v>
      </c>
      <c r="AT72" s="22" t="str">
        <f t="shared" si="12"/>
        <v>Financial</v>
      </c>
      <c r="AU72" s="1" t="str">
        <f t="shared" si="13"/>
        <v>Non-Investment Grade</v>
      </c>
      <c r="AV72" s="1" t="str">
        <f>IF(OR(T72="Cash",T72="Cash Adjustments"),T72,VLOOKUP(AL72,'SFC Classifcation'!$A:$C,3,0))</f>
        <v>China</v>
      </c>
      <c r="AW72" s="22" t="str">
        <f t="shared" si="14"/>
        <v>High</v>
      </c>
      <c r="AX72" s="22" t="str">
        <f t="shared" si="15"/>
        <v>High</v>
      </c>
      <c r="AY72" s="45" t="str">
        <f>IF(OR(T72="Cash",T72="Cash Adjustments"), T72, _xll.BDP(R72&amp;" FIGI", $AY$1))</f>
        <v>Real Estate</v>
      </c>
      <c r="AZ72" s="45" t="str">
        <f>IF(OR(T72="Cash",T72="Cash Adjustments"), T72, _xll.BDP(R72&amp;" FIGI", $AZ$1))</f>
        <v>FINANCIAL</v>
      </c>
      <c r="BA72" s="45" t="str">
        <f>IF(OR(T72="Cash",T72="Cash Adjustments"), T72, _xll.BDP(R72&amp;" FIGI", $BA$1))</f>
        <v>#N/A Field Not Applicable</v>
      </c>
      <c r="BB72" s="16">
        <f>IF(OR(AS72="Government",AS72="Corporate"),(AK72*AB72/'SFC Report'!$C$20),"")</f>
        <v>5.4484321023556669E-3</v>
      </c>
      <c r="BC72" s="174" t="str">
        <f>IF(OR(T72="Cash",T72="Cash Adjustments", T72="FX Forward", T72="Repo", T72="Equity", T72="M-Mkt"), "", _xll.BDP(R72&amp;" FIGI", $BC$1))</f>
        <v>4/17/2022</v>
      </c>
      <c r="BD72" s="125">
        <f ca="1">IF(OR(T72="Cash",T72="Cash Adjustments",T72="FX Forward",T72="Repo", T72="Equity", T72="M-Mkt"),"",(BC72-'SFC Report'!$B$13)/365)</f>
        <v>1.9643835616438357</v>
      </c>
      <c r="BE72" s="82" t="str">
        <f t="shared" ca="1" si="9"/>
        <v>1 - 2 yrs</v>
      </c>
      <c r="BF72" s="5">
        <f ca="1">IF(BC72="","",BD72*AB72/'SFC Report'!$C$20)</f>
        <v>1.7838017431000062E-3</v>
      </c>
      <c r="BG72" s="14" cm="1">
        <f t="array" ref="BG72">IF(OR(AS72="Corporate",AS72="Government"),_xll.BDP(G72&amp;" ISIN", $BG$1),"")</f>
        <v>1.6445552110803701</v>
      </c>
      <c r="BH72" s="140">
        <f>IF(OR(AS72="Corporate",AS72="Government"),BG72*BN72/'SFC Report'!$C$20,"")</f>
        <v>1.4933745676910981E-3</v>
      </c>
      <c r="BI72" s="140">
        <f>IF(OR(AS72="Corporate",AS72="Government"),_xll.BDP(G72&amp;" ISIN", $BI$1),"")</f>
        <v>10.451550237800427</v>
      </c>
      <c r="BJ72" s="140">
        <f>IF(OR(AS72="Corporate",AS72="Government"),BI72*AB72/'SFC Report'!$C$20,"")</f>
        <v>9.4907603058358089E-3</v>
      </c>
      <c r="BK72" s="153" t="str">
        <f>IF(OR(T72="Cash",T72="Cash Adjustments"),"-",_xll.BDP(R72&amp;" FIGI",$BK$1))</f>
        <v>XS1982124239</v>
      </c>
      <c r="BL72" s="11" t="str">
        <f>IF(OR(AS72="Cash", AS72="Cash Adjustments"),"-",IF(ISNA(VLOOKUP(BK72,'BBG - VaR Data (Sample, Indus )'!C:N,5,0)),"-",VLOOKUP(BK72,'BBG - VaR Data (Sample, Indus )'!C:N,5,0)))</f>
        <v>-</v>
      </c>
      <c r="BM72" s="11">
        <f>IF(OR(AS72="Cash", AS72="Cash Adjustments"),"-",IF(ISNA(VLOOKUP(BK72,'BBG - Scenarios (Sample View)'!C:Z,14,0)),"-",VLOOKUP(BK72,'BBG - Scenarios (Sample View)'!C:Z,14,0)))</f>
        <v>-4.55</v>
      </c>
      <c r="BN72" s="14">
        <f t="shared" si="16"/>
        <v>499830.43988648092</v>
      </c>
      <c r="BO72" s="1">
        <f t="shared" si="17"/>
        <v>9.8049181883382952E-4</v>
      </c>
      <c r="BP72" t="str">
        <f>IF(BC72&lt;&gt;0,MaturityBucket(BG72),"")</f>
        <v>1 - 2 yrs</v>
      </c>
      <c r="BQ72" s="11" t="str">
        <f>IF(OR(T72="Cash",T72="Cash Adjustments"),T72,VLOOKUP(AL72,'SFC Classifcation'!$A:$C,2,0))</f>
        <v>China</v>
      </c>
      <c r="BR72" s="1" t="e">
        <f>IF(S72="Bond",BH72/'SFC Report'!$B$7,"")</f>
        <v>#VALUE!</v>
      </c>
      <c r="BS72" t="str">
        <f>IF(OR(T72="Cash",T72="Cash Adjustments"),"-",_xll.BDP(R72&amp;" FIGI",$BS$1))</f>
        <v>4/9/2019</v>
      </c>
      <c r="BT72" t="str">
        <f>IF(OR(T72="Cash",T72="Cash Adjustments"),"-",_xll.BDP(R72&amp;" FIGI",$BT$1))</f>
        <v>4/10/2019</v>
      </c>
      <c r="BU72" t="str">
        <f>IF(OR(T72="Cash",T72="Cash Adjustments"),"-",_xll.BDP(R72&amp;" FIGI",$BU$1))</f>
        <v>#N/A N/A</v>
      </c>
    </row>
    <row r="73" spans="1:73">
      <c r="A73" s="254" t="s">
        <v>15</v>
      </c>
      <c r="B73" s="254" t="s">
        <v>25</v>
      </c>
      <c r="C73" s="254" t="s">
        <v>46</v>
      </c>
      <c r="D73" s="254" t="s">
        <v>22</v>
      </c>
      <c r="E73" s="254"/>
      <c r="F73" s="254" t="s">
        <v>1124</v>
      </c>
      <c r="G73" s="254" t="s">
        <v>1109</v>
      </c>
      <c r="H73" s="270">
        <v>2000000</v>
      </c>
      <c r="I73" s="270">
        <v>98.938000000000002</v>
      </c>
      <c r="J73" s="270">
        <v>2035000</v>
      </c>
      <c r="K73" s="270">
        <v>15927741.5</v>
      </c>
      <c r="L73" s="270">
        <v>-591955.75</v>
      </c>
      <c r="M73" s="270">
        <v>63293.3</v>
      </c>
      <c r="N73" s="270">
        <v>15335785.75</v>
      </c>
      <c r="O73" s="255">
        <v>3.3999999999999998E-3</v>
      </c>
      <c r="P73" s="1"/>
      <c r="Q73" s="1" t="str">
        <f t="shared" si="11"/>
        <v>Investments</v>
      </c>
      <c r="R73" s="1" t="str">
        <f>_xll.BDP(G73&amp;" ISIN",$R$1)</f>
        <v>BBG00PQ3QH67</v>
      </c>
      <c r="S73" s="1" t="str">
        <f>IF(Q73="Cash",Q73,IF(OR(Q73="Receivable Investments",Q73="Payable Investments"),"Cash Adjustments",_xll.BDP(R73&amp;" FIGI",$S$1)))</f>
        <v>BOND</v>
      </c>
      <c r="T73" s="1" t="str">
        <f>IF(Q73="Cash",Q73,IF(OR(Q73="Receivable Investments",Q73="Payable Investments"),"Cash Adjustments",VLOOKUP(R73,LQA!E:S,3,0)))</f>
        <v>Corp</v>
      </c>
      <c r="U73" s="1" t="str">
        <f>IF(Q73="Cash",Q73,IF(OR(Q73="Receivable Investments",Q73="Payable Investments"),"Cash Adjustments",_xll.BDP(R73&amp;" FIGI",$U$1)))</f>
        <v>#N/A Field Not Applicable</v>
      </c>
      <c r="V73" s="10">
        <f>IF(OR(Q73="Cash",Q73="Receivable Investments",Q73="Payable Investments"),0,IF(Q73="Investments",VLOOKUP(R73,LQA!E:Q,12,0),"Not Covered"))</f>
        <v>0.3</v>
      </c>
      <c r="W73" s="76">
        <f>IF(OR(Q73="Cash",Q73="Receivable Investments",Q73="Payable Investments"),0,IF(Q73="Investments",VLOOKUP(R73,LQA!E:Q,9,0),"Not Covered"))</f>
        <v>2.1649999999999999E-2</v>
      </c>
      <c r="X73" s="13" t="str">
        <f>IF(OR(H73=0,T73="Comdty"),"High",IF(V73&lt;='Liquidity Bucket'!$A$4,'Liquidity Bucket'!$I$4,IF(V73&lt;='Liquidity Bucket'!$A$5,'Liquidity Bucket'!$I$5,IF(V73&lt;='Liquidity Bucket'!$A$6,'Liquidity Bucket'!$I$6,IF(V73='Liquidity Bucket'!$A$8,'Liquidity Bucket'!$I$8,'Liquidity Bucket'!$I$7)))))</f>
        <v>High</v>
      </c>
      <c r="Y73" s="153">
        <f>IF(OR(Q73="Cash",Q73="Receivable Investments",Q73="Payable Investments"),0,IF(Q73="Investments",VLOOKUP(R73,'LQA Stress'!E:Q,12,0),"Not Covered"))</f>
        <v>1.9</v>
      </c>
      <c r="Z73" s="75">
        <f>IF(OR(Q73="Cash",Q73="Receivable Investments",Q73="Payable Investments"),0,IF(Q73="Investments",VLOOKUP(R73,'LQA Stress'!E:Q,9,0),"Not Covered"))</f>
        <v>5.7881000000000002E-2</v>
      </c>
      <c r="AA73" s="13" t="str">
        <f>IF(T73="Comdty","High",IF(Y73&lt;='Liquidity Bucket'!$A$4,'Liquidity Bucket'!$I$4,IF(Y73&lt;='Liquidity Bucket'!$A$5,'Liquidity Bucket'!$I$5,IF(Y73&lt;='Liquidity Bucket'!$A$6,'Liquidity Bucket'!$I$6,IF(Y73='Liquidity Bucket'!$A$8,'Liquidity Bucket'!$I$8,'Liquidity Bucket'!$I$7)))))</f>
        <v>High</v>
      </c>
      <c r="AB73" s="14">
        <f>(N73+M73)/'FX Rates'!$C$5</f>
        <v>1986465.3057275543</v>
      </c>
      <c r="AC73" s="15" t="str">
        <f>IF(X73="Not Covered", (H73/_xll.BDP(R73&amp;" FIGI",$AC$1)),"")</f>
        <v/>
      </c>
      <c r="AD73" s="16" t="str">
        <f>IF(X73="Not Covered", _xll.BDP(R73&amp;" FIGI",$AD$1),"")</f>
        <v/>
      </c>
      <c r="AE73" s="16" t="str">
        <f>IF(OR(T73="Corp",T73="Govt"),IF(_xll.BDP(R73&amp;" FIGI",$AE$1)="#N/A N/A","",_xll.BDP(R73&amp;" FIGI",$AE$1)),"")</f>
        <v/>
      </c>
      <c r="AF73" s="1" t="str">
        <f>IF(OR(T73="Corp",T73="Govt"),IF(_xll.BDP(R73&amp;" FIGI",$AF$1)="#N/A N/A","",_xll.BDP(R73&amp;" FIGI",$AF$1)),"")</f>
        <v>B3</v>
      </c>
      <c r="AG73" s="16" t="str">
        <f>IF(OR(T73="Corp",T73="Govt"),IF(_xll.BDP(R73&amp;" FIGI",$AG$1)="#N/A N/A","",_xll.BDP(R73&amp;" FIGI",$AG$1)),"")</f>
        <v>B+</v>
      </c>
      <c r="AH73" s="125">
        <f>IF(OR(S73="Cash",S73="M-Mkt"),21,IF(AE73="",0,VLOOKUP(AE73,'Rating Scale'!A:B,2,0)))</f>
        <v>0</v>
      </c>
      <c r="AI73" s="125">
        <f>IF(OR(S73="Cash",S73="M-Mkt"),21,IF(AF73="",0,VLOOKUP(AF73,'Rating Scale'!D:E,2,0)))</f>
        <v>6</v>
      </c>
      <c r="AJ73" s="125">
        <f>IF(OR(S73="Cash",S73="M-Mkt"),21,IF(AG73="",0,VLOOKUP(AG73,'Rating Scale'!G:H,2,0)))</f>
        <v>8</v>
      </c>
      <c r="AK73">
        <f t="shared" si="10"/>
        <v>6</v>
      </c>
      <c r="AL73" s="1" t="str">
        <f>IF(OR(U73="Cash",U73="Cash Adjustments"),_xll.BDP(G73&amp;" Curncy","Country"),IF(T73="Equity",_xll.BDP(R73&amp;" FIGI","CNTRY_ISSUE_ISO"),_xll.BDP(R73&amp;" FIGI",$AL$1)))</f>
        <v>CN</v>
      </c>
      <c r="AM73" s="126" t="str">
        <f>IF(OR(T73="Cash",T73="Cash Adjustments",T73="M-Mkt"), T73, IF(T73="Comdty",AS73, _xll.BDP(R73&amp;" FIGI", $AM$1)))</f>
        <v>Financial</v>
      </c>
      <c r="AN73" s="126" t="str">
        <f>IF(OR(T73="Cash",T73="Cash Adjustments",T73="M-Mkt"), T73,  IF(T73="Comdty",AS73,_xll.BDP(R73&amp;" FIGI", $AN$1)))</f>
        <v>Real Estate</v>
      </c>
      <c r="AO73" s="126" t="str">
        <f>IF(OR(T73="Cash",T73="Cash Adjustments",T73="M-Mkt"), T73,  IF(T73="Comdty",AS73,_xll.BDP(R73&amp;" FIGI", $AO$1)))</f>
        <v>Real Estate Oper/Develop</v>
      </c>
      <c r="AP73" s="13" t="str">
        <f>IF(OR(T73="Cash",T73="Cash Adjustments"), T73, IF(_xll.BDP(R73&amp;" FIGI", $AP$1)="#N/A Field Not Applicable","N",_xll.BDP(R73&amp;" FIGI", $AP$1)))</f>
        <v>N</v>
      </c>
      <c r="AQ73" s="1" t="str">
        <f>IF(OR(T73="Cash",T73="Cash Adjustments"), T73, IF(_xll.BDP(R73&amp;" FIGI", $AQ$1)="#N/A Field Not Applicable"," ",_xll.BDP(R73&amp;" FIGI", $AQ$1)))</f>
        <v xml:space="preserve"> </v>
      </c>
      <c r="AR73" s="1" t="str">
        <f>IF(OR(T73="Cash",T73="Cash Adjustments"), T73, IF(_xll.BDP(R73&amp;" FIGI", $AR$1)="#N/A Field Not Applicable"," ",_xll.BDP(R73&amp;" FIGI", $AR$1)))</f>
        <v>ACTV</v>
      </c>
      <c r="AS73" s="1" t="str">
        <f>VLOOKUP(T73,'SFC Classifcation'!$F$2:$H$7,3,0)</f>
        <v>Corporate</v>
      </c>
      <c r="AT73" s="22" t="str">
        <f t="shared" si="12"/>
        <v>Financial</v>
      </c>
      <c r="AU73" s="1" t="str">
        <f t="shared" si="13"/>
        <v>Non-Investment Grade</v>
      </c>
      <c r="AV73" s="1" t="str">
        <f>IF(OR(T73="Cash",T73="Cash Adjustments"),T73,VLOOKUP(AL73,'SFC Classifcation'!$A:$C,3,0))</f>
        <v>China</v>
      </c>
      <c r="AW73" s="22" t="str">
        <f t="shared" si="14"/>
        <v>High</v>
      </c>
      <c r="AX73" s="22" t="str">
        <f t="shared" si="15"/>
        <v>High</v>
      </c>
      <c r="AY73" s="45" t="str">
        <f>IF(OR(T73="Cash",T73="Cash Adjustments"), T73, _xll.BDP(R73&amp;" FIGI", $AY$1))</f>
        <v>Real Estate</v>
      </c>
      <c r="AZ73" s="45" t="str">
        <f>IF(OR(T73="Cash",T73="Cash Adjustments"), T73, _xll.BDP(R73&amp;" FIGI", $AZ$1))</f>
        <v>FINANCIAL</v>
      </c>
      <c r="BA73" s="45" t="str">
        <f>IF(OR(T73="Cash",T73="Cash Adjustments"), T73, _xll.BDP(R73&amp;" FIGI", $BA$1))</f>
        <v>#N/A Field Not Applicable</v>
      </c>
      <c r="BB73" s="16">
        <f>IF(OR(AS73="Government",AS73="Corporate"),(AK73*AB73/'SFC Report'!$C$20),"")</f>
        <v>2.1653585852834147E-2</v>
      </c>
      <c r="BC73" s="174" t="str">
        <f>IF(OR(T73="Cash",T73="Cash Adjustments", T73="FX Forward", T73="Repo", T73="Equity", T73="M-Mkt"), "", _xll.BDP(R73&amp;" FIGI", $BC$1))</f>
        <v>10/18/2022</v>
      </c>
      <c r="BD73" s="125">
        <f ca="1">IF(OR(T73="Cash",T73="Cash Adjustments",T73="FX Forward",T73="Repo", T73="Equity", T73="M-Mkt"),"",(BC73-'SFC Report'!$B$13)/365)</f>
        <v>2.4684931506849317</v>
      </c>
      <c r="BE73" s="82" t="str">
        <f t="shared" ca="1" si="9"/>
        <v>2 - 3 yrs</v>
      </c>
      <c r="BF73" s="5">
        <f ca="1">IF(BC73="","",BD73*AB73/'SFC Report'!$C$20)</f>
        <v>8.9086213942482055E-3</v>
      </c>
      <c r="BG73" s="14" cm="1">
        <f t="array" ref="BG73">IF(OR(AS73="Corporate",AS73="Government"),_xll.BDP(G73&amp;" ISIN", $BG$1),"")</f>
        <v>2.0140144383687382</v>
      </c>
      <c r="BH73" s="140">
        <f>IF(OR(AS73="Corporate",AS73="Government"),BG73*BN73/'SFC Report'!$C$20,"")</f>
        <v>7.2684390916775031E-3</v>
      </c>
      <c r="BI73" s="140">
        <f>IF(OR(AS73="Corporate",AS73="Government"),_xll.BDP(G73&amp;" ISIN", $BI$1),"")</f>
        <v>10.887171748287221</v>
      </c>
      <c r="BJ73" s="140">
        <f>IF(OR(AS73="Corporate",AS73="Government"),BI73*AB73/'SFC Report'!$C$20,"")</f>
        <v>3.9291051357681295E-2</v>
      </c>
      <c r="BK73" s="153" t="str">
        <f>IF(OR(T73="Cash",T73="Cash Adjustments"),"-",_xll.BDP(R73&amp;" FIGI",$BK$1))</f>
        <v>XS2030329358</v>
      </c>
      <c r="BL73" s="11" t="str">
        <f>IF(OR(AS73="Cash", AS73="Cash Adjustments"),"-",IF(ISNA(VLOOKUP(BK73,'BBG - VaR Data (Sample, Indus )'!C:N,5,0)),"-",VLOOKUP(BK73,'BBG - VaR Data (Sample, Indus )'!C:N,5,0)))</f>
        <v>-</v>
      </c>
      <c r="BM73" s="11">
        <f>IF(OR(AS73="Cash", AS73="Cash Adjustments"),"-",IF(ISNA(VLOOKUP(BK73,'BBG - Scenarios (Sample View)'!C:Z,14,0)),"-",VLOOKUP(BK73,'BBG - Scenarios (Sample View)'!C:Z,14,0)))</f>
        <v>-5.78</v>
      </c>
      <c r="BN73" s="14">
        <f t="shared" si="16"/>
        <v>1986465.3057275543</v>
      </c>
      <c r="BO73" s="1">
        <f t="shared" si="17"/>
        <v>3.8967474271984393E-3</v>
      </c>
      <c r="BP73" t="str">
        <f>IF(BC73&lt;&gt;0,MaturityBucket(BG73),"")</f>
        <v>2 - 3 yrs</v>
      </c>
      <c r="BQ73" s="11" t="str">
        <f>IF(OR(T73="Cash",T73="Cash Adjustments"),T73,VLOOKUP(AL73,'SFC Classifcation'!$A:$C,2,0))</f>
        <v>China</v>
      </c>
      <c r="BR73" s="1" t="e">
        <f>IF(S73="Bond",BH73/'SFC Report'!$B$7,"")</f>
        <v>#VALUE!</v>
      </c>
      <c r="BS73" t="str">
        <f>IF(OR(T73="Cash",T73="Cash Adjustments"),"-",_xll.BDP(R73&amp;" FIGI",$BS$1))</f>
        <v>#N/A N/A</v>
      </c>
      <c r="BT73" t="str">
        <f>IF(OR(T73="Cash",T73="Cash Adjustments"),"-",_xll.BDP(R73&amp;" FIGI",$BT$1))</f>
        <v>7/15/2019</v>
      </c>
      <c r="BU73" t="str">
        <f>IF(OR(T73="Cash",T73="Cash Adjustments"),"-",_xll.BDP(R73&amp;" FIGI",$BU$1))</f>
        <v>11/13/2019</v>
      </c>
    </row>
    <row r="74" spans="1:73">
      <c r="A74" s="254" t="s">
        <v>15</v>
      </c>
      <c r="B74" s="254" t="s">
        <v>25</v>
      </c>
      <c r="C74" s="254" t="s">
        <v>46</v>
      </c>
      <c r="D74" s="254" t="s">
        <v>22</v>
      </c>
      <c r="E74" s="254"/>
      <c r="F74" s="254" t="s">
        <v>1110</v>
      </c>
      <c r="G74" s="254" t="s">
        <v>1111</v>
      </c>
      <c r="H74" s="270">
        <v>1100000</v>
      </c>
      <c r="I74" s="270">
        <v>104.663</v>
      </c>
      <c r="J74" s="270">
        <v>1193500</v>
      </c>
      <c r="K74" s="270">
        <v>9341405.1500000004</v>
      </c>
      <c r="L74" s="270">
        <v>-418654.14</v>
      </c>
      <c r="M74" s="270">
        <v>468887.1</v>
      </c>
      <c r="N74" s="270">
        <v>8922751.0099999998</v>
      </c>
      <c r="O74" s="255">
        <v>2E-3</v>
      </c>
      <c r="P74" s="1"/>
      <c r="Q74" s="1" t="str">
        <f t="shared" si="11"/>
        <v>Investments</v>
      </c>
      <c r="R74" s="1" t="str">
        <f>_xll.BDP(G74&amp;" ISIN",$R$1)</f>
        <v>BBG00MSJ57C5</v>
      </c>
      <c r="S74" s="1" t="str">
        <f>IF(Q74="Cash",Q74,IF(OR(Q74="Receivable Investments",Q74="Payable Investments"),"Cash Adjustments",_xll.BDP(R74&amp;" FIGI",$S$1)))</f>
        <v>BOND</v>
      </c>
      <c r="T74" s="1" t="str">
        <f>IF(Q74="Cash",Q74,IF(OR(Q74="Receivable Investments",Q74="Payable Investments"),"Cash Adjustments",VLOOKUP(R74,LQA!E:S,3,0)))</f>
        <v>Corp</v>
      </c>
      <c r="U74" s="1" t="str">
        <f>IF(Q74="Cash",Q74,IF(OR(Q74="Receivable Investments",Q74="Payable Investments"),"Cash Adjustments",_xll.BDP(R74&amp;" FIGI",$U$1)))</f>
        <v>#N/A Field Not Applicable</v>
      </c>
      <c r="V74" s="10">
        <f>IF(OR(Q74="Cash",Q74="Receivable Investments",Q74="Payable Investments"),0,IF(Q74="Investments",VLOOKUP(R74,LQA!E:Q,12,0),"Not Covered"))</f>
        <v>0.3</v>
      </c>
      <c r="W74" s="76">
        <f>IF(OR(Q74="Cash",Q74="Receivable Investments",Q74="Payable Investments"),0,IF(Q74="Investments",VLOOKUP(R74,LQA!E:Q,9,0),"Not Covered"))</f>
        <v>1.5207E-2</v>
      </c>
      <c r="X74" s="13" t="str">
        <f>IF(OR(H74=0,T74="Comdty"),"High",IF(V74&lt;='Liquidity Bucket'!$A$4,'Liquidity Bucket'!$I$4,IF(V74&lt;='Liquidity Bucket'!$A$5,'Liquidity Bucket'!$I$5,IF(V74&lt;='Liquidity Bucket'!$A$6,'Liquidity Bucket'!$I$6,IF(V74='Liquidity Bucket'!$A$8,'Liquidity Bucket'!$I$8,'Liquidity Bucket'!$I$7)))))</f>
        <v>High</v>
      </c>
      <c r="Y74" s="153">
        <f>IF(OR(Q74="Cash",Q74="Receivable Investments",Q74="Payable Investments"),0,IF(Q74="Investments",VLOOKUP(R74,'LQA Stress'!E:Q,12,0),"Not Covered"))</f>
        <v>1.8</v>
      </c>
      <c r="Z74" s="75">
        <f>IF(OR(Q74="Cash",Q74="Receivable Investments",Q74="Payable Investments"),0,IF(Q74="Investments",VLOOKUP(R74,'LQA Stress'!E:Q,9,0),"Not Covered"))</f>
        <v>4.0150999999999999E-2</v>
      </c>
      <c r="AA74" s="13" t="str">
        <f>IF(T74="Comdty","High",IF(Y74&lt;='Liquidity Bucket'!$A$4,'Liquidity Bucket'!$I$4,IF(Y74&lt;='Liquidity Bucket'!$A$5,'Liquidity Bucket'!$I$5,IF(Y74&lt;='Liquidity Bucket'!$A$6,'Liquidity Bucket'!$I$6,IF(Y74='Liquidity Bucket'!$A$8,'Liquidity Bucket'!$I$8,'Liquidity Bucket'!$I$7)))))</f>
        <v>High</v>
      </c>
      <c r="AB74" s="14">
        <f>(N74+M74)/'FX Rates'!$C$5</f>
        <v>1211511.6240970071</v>
      </c>
      <c r="AC74" s="15" t="str">
        <f>IF(X74="Not Covered", (H74/_xll.BDP(R74&amp;" FIGI",$AC$1)),"")</f>
        <v/>
      </c>
      <c r="AD74" s="16" t="str">
        <f>IF(X74="Not Covered", _xll.BDP(R74&amp;" FIGI",$AD$1),"")</f>
        <v/>
      </c>
      <c r="AE74" s="16" t="str">
        <f>IF(OR(T74="Corp",T74="Govt"),IF(_xll.BDP(R74&amp;" FIGI",$AE$1)="#N/A N/A","",_xll.BDP(R74&amp;" FIGI",$AE$1)),"")</f>
        <v/>
      </c>
      <c r="AF74" s="1" t="str">
        <f>IF(OR(T74="Corp",T74="Govt"),IF(_xll.BDP(R74&amp;" FIGI",$AF$1)="#N/A N/A","",_xll.BDP(R74&amp;" FIGI",$AF$1)),"")</f>
        <v>B3</v>
      </c>
      <c r="AG74" s="16" t="str">
        <f>IF(OR(T74="Corp",T74="Govt"),IF(_xll.BDP(R74&amp;" FIGI",$AG$1)="#N/A N/A","",_xll.BDP(R74&amp;" FIGI",$AG$1)),"")</f>
        <v/>
      </c>
      <c r="AH74" s="125">
        <f>IF(OR(S74="Cash",S74="M-Mkt"),21,IF(AE74="",0,VLOOKUP(AE74,'Rating Scale'!A:B,2,0)))</f>
        <v>0</v>
      </c>
      <c r="AI74" s="125">
        <f>IF(OR(S74="Cash",S74="M-Mkt"),21,IF(AF74="",0,VLOOKUP(AF74,'Rating Scale'!D:E,2,0)))</f>
        <v>6</v>
      </c>
      <c r="AJ74" s="125">
        <f>IF(OR(S74="Cash",S74="M-Mkt"),21,IF(AG74="",0,VLOOKUP(AG74,'Rating Scale'!G:H,2,0)))</f>
        <v>0</v>
      </c>
      <c r="AK74">
        <f t="shared" si="10"/>
        <v>6</v>
      </c>
      <c r="AL74" s="1" t="str">
        <f>IF(OR(U74="Cash",U74="Cash Adjustments"),_xll.BDP(G74&amp;" Curncy","Country"),IF(T74="Equity",_xll.BDP(R74&amp;" FIGI","CNTRY_ISSUE_ISO"),_xll.BDP(R74&amp;" FIGI",$AL$1)))</f>
        <v>CN</v>
      </c>
      <c r="AM74" s="126" t="str">
        <f>IF(OR(T74="Cash",T74="Cash Adjustments",T74="M-Mkt"), T74, IF(T74="Comdty",AS74, _xll.BDP(R74&amp;" FIGI", $AM$1)))</f>
        <v>Financial</v>
      </c>
      <c r="AN74" s="126" t="str">
        <f>IF(OR(T74="Cash",T74="Cash Adjustments",T74="M-Mkt"), T74,  IF(T74="Comdty",AS74,_xll.BDP(R74&amp;" FIGI", $AN$1)))</f>
        <v>Real Estate</v>
      </c>
      <c r="AO74" s="126" t="str">
        <f>IF(OR(T74="Cash",T74="Cash Adjustments",T74="M-Mkt"), T74,  IF(T74="Comdty",AS74,_xll.BDP(R74&amp;" FIGI", $AO$1)))</f>
        <v>Real Estate Oper/Develop</v>
      </c>
      <c r="AP74" s="13" t="str">
        <f>IF(OR(T74="Cash",T74="Cash Adjustments"), T74, IF(_xll.BDP(R74&amp;" FIGI", $AP$1)="#N/A Field Not Applicable","N",_xll.BDP(R74&amp;" FIGI", $AP$1)))</f>
        <v>N</v>
      </c>
      <c r="AQ74" s="1" t="str">
        <f>IF(OR(T74="Cash",T74="Cash Adjustments"), T74, IF(_xll.BDP(R74&amp;" FIGI", $AQ$1)="#N/A Field Not Applicable"," ",_xll.BDP(R74&amp;" FIGI", $AQ$1)))</f>
        <v xml:space="preserve"> </v>
      </c>
      <c r="AR74" s="1" t="str">
        <f>IF(OR(T74="Cash",T74="Cash Adjustments"), T74, IF(_xll.BDP(R74&amp;" FIGI", $AR$1)="#N/A Field Not Applicable"," ",_xll.BDP(R74&amp;" FIGI", $AR$1)))</f>
        <v>ACTV</v>
      </c>
      <c r="AS74" s="1" t="str">
        <f>VLOOKUP(T74,'SFC Classifcation'!$F$2:$H$7,3,0)</f>
        <v>Corporate</v>
      </c>
      <c r="AT74" s="22" t="str">
        <f t="shared" si="12"/>
        <v>Financial</v>
      </c>
      <c r="AU74" s="1" t="str">
        <f t="shared" si="13"/>
        <v>Non-Investment Grade</v>
      </c>
      <c r="AV74" s="1" t="str">
        <f>IF(OR(T74="Cash",T74="Cash Adjustments"),T74,VLOOKUP(AL74,'SFC Classifcation'!$A:$C,3,0))</f>
        <v>China</v>
      </c>
      <c r="AW74" s="22" t="str">
        <f t="shared" si="14"/>
        <v>High</v>
      </c>
      <c r="AX74" s="22" t="str">
        <f t="shared" si="15"/>
        <v>High</v>
      </c>
      <c r="AY74" s="45" t="str">
        <f>IF(OR(T74="Cash",T74="Cash Adjustments"), T74, _xll.BDP(R74&amp;" FIGI", $AY$1))</f>
        <v>Real Estate</v>
      </c>
      <c r="AZ74" s="45" t="str">
        <f>IF(OR(T74="Cash",T74="Cash Adjustments"), T74, _xll.BDP(R74&amp;" FIGI", $AZ$1))</f>
        <v>FINANCIAL</v>
      </c>
      <c r="BA74" s="45" t="str">
        <f>IF(OR(T74="Cash",T74="Cash Adjustments"), T74, _xll.BDP(R74&amp;" FIGI", $BA$1))</f>
        <v>#N/A Field Not Applicable</v>
      </c>
      <c r="BB74" s="16">
        <f>IF(OR(AS74="Government",AS74="Corporate"),(AK74*AB74/'SFC Report'!$C$20),"")</f>
        <v>1.3206156124877739E-2</v>
      </c>
      <c r="BC74" s="174" t="str">
        <f>IF(OR(T74="Cash",T74="Cash Adjustments", T74="FX Forward", T74="Repo", T74="Equity", T74="M-Mkt"), "", _xll.BDP(R74&amp;" FIGI", $BC$1))</f>
        <v>12/18/2021</v>
      </c>
      <c r="BD74" s="125">
        <f ca="1">IF(OR(T74="Cash",T74="Cash Adjustments",T74="FX Forward",T74="Repo", T74="Equity", T74="M-Mkt"),"",(BC74-'SFC Report'!$B$13)/365)</f>
        <v>1.6356164383561644</v>
      </c>
      <c r="BE74" s="82" t="str">
        <f t="shared" ca="1" si="9"/>
        <v>1 - 2 yrs</v>
      </c>
      <c r="BF74" s="5">
        <f ca="1">IF(BC74="","",BD74*AB74/'SFC Report'!$C$20)</f>
        <v>3.6000343408913293E-3</v>
      </c>
      <c r="BG74" s="14" cm="1">
        <f t="array" ref="BG74">IF(OR(AS74="Corporate",AS74="Government"),_xll.BDP(G74&amp;" ISIN", $BG$1),"")</f>
        <v>1.2961329554351908</v>
      </c>
      <c r="BH74" s="140">
        <f>IF(OR(AS74="Corporate",AS74="Government"),BG74*BN74/'SFC Report'!$C$20,"")</f>
        <v>2.8528223613460556E-3</v>
      </c>
      <c r="BI74" s="140">
        <f>IF(OR(AS74="Corporate",AS74="Government"),_xll.BDP(G74&amp;" ISIN", $BI$1),"")</f>
        <v>10.812982320940961</v>
      </c>
      <c r="BJ74" s="140">
        <f>IF(OR(AS74="Corporate",AS74="Government"),BI74*AB74/'SFC Report'!$C$20,"")</f>
        <v>2.3799655450981533E-2</v>
      </c>
      <c r="BK74" s="153" t="str">
        <f>IF(OR(T74="Cash",T74="Cash Adjustments"),"-",_xll.BDP(R74&amp;" FIGI",$BK$1))</f>
        <v>XS1924249680</v>
      </c>
      <c r="BL74" s="11" t="str">
        <f>IF(OR(AS74="Cash", AS74="Cash Adjustments"),"-",IF(ISNA(VLOOKUP(BK74,'BBG - VaR Data (Sample, Indus )'!C:N,5,0)),"-",VLOOKUP(BK74,'BBG - VaR Data (Sample, Indus )'!C:N,5,0)))</f>
        <v>-</v>
      </c>
      <c r="BM74" s="11">
        <f>IF(OR(AS74="Cash", AS74="Cash Adjustments"),"-",IF(ISNA(VLOOKUP(BK74,'BBG - Scenarios (Sample View)'!C:Z,14,0)),"-",VLOOKUP(BK74,'BBG - Scenarios (Sample View)'!C:Z,14,0)))</f>
        <v>-3.39</v>
      </c>
      <c r="BN74" s="14">
        <f t="shared" si="16"/>
        <v>1211511.6240970071</v>
      </c>
      <c r="BO74" s="1">
        <f t="shared" si="17"/>
        <v>2.3765604114046879E-3</v>
      </c>
      <c r="BP74" t="str">
        <f>IF(BC74&lt;&gt;0,MaturityBucket(BG74),"")</f>
        <v>1 - 2 yrs</v>
      </c>
      <c r="BQ74" s="11" t="str">
        <f>IF(OR(T74="Cash",T74="Cash Adjustments"),T74,VLOOKUP(AL74,'SFC Classifcation'!$A:$C,2,0))</f>
        <v>China</v>
      </c>
      <c r="BR74" s="1" t="e">
        <f>IF(S74="Bond",BH74/'SFC Report'!$B$7,"")</f>
        <v>#VALUE!</v>
      </c>
      <c r="BS74" t="str">
        <f>IF(OR(T74="Cash",T74="Cash Adjustments"),"-",_xll.BDP(R74&amp;" FIGI",$BS$1))</f>
        <v>#N/A N/A</v>
      </c>
      <c r="BT74" t="str">
        <f>IF(OR(T74="Cash",T74="Cash Adjustments"),"-",_xll.BDP(R74&amp;" FIGI",$BT$1))</f>
        <v>12/13/2018</v>
      </c>
      <c r="BU74" t="str">
        <f>IF(OR(T74="Cash",T74="Cash Adjustments"),"-",_xll.BDP(R74&amp;" FIGI",$BU$1))</f>
        <v>#N/A N/A</v>
      </c>
    </row>
    <row r="75" spans="1:73">
      <c r="A75" s="254" t="s">
        <v>15</v>
      </c>
      <c r="B75" s="254" t="s">
        <v>25</v>
      </c>
      <c r="C75" s="254" t="s">
        <v>46</v>
      </c>
      <c r="D75" s="254" t="s">
        <v>22</v>
      </c>
      <c r="E75" s="254"/>
      <c r="F75" s="254" t="s">
        <v>1125</v>
      </c>
      <c r="G75" s="254" t="s">
        <v>1113</v>
      </c>
      <c r="H75" s="270">
        <v>3000000</v>
      </c>
      <c r="I75" s="270">
        <v>98.308000000000007</v>
      </c>
      <c r="J75" s="270">
        <v>3007750</v>
      </c>
      <c r="K75" s="270">
        <v>23498659.75</v>
      </c>
      <c r="L75" s="270">
        <v>-641459.9</v>
      </c>
      <c r="M75" s="270">
        <v>281267.67</v>
      </c>
      <c r="N75" s="270">
        <v>22857199.850000001</v>
      </c>
      <c r="O75" s="255">
        <v>5.0000000000000001E-3</v>
      </c>
      <c r="P75" s="1"/>
      <c r="Q75" s="1" t="str">
        <f t="shared" si="11"/>
        <v>Investments</v>
      </c>
      <c r="R75" s="1" t="str">
        <f>_xll.BDP(G75&amp;" ISIN",$R$1)</f>
        <v>BBG00K7D75S0</v>
      </c>
      <c r="S75" s="1" t="str">
        <f>IF(Q75="Cash",Q75,IF(OR(Q75="Receivable Investments",Q75="Payable Investments"),"Cash Adjustments",_xll.BDP(R75&amp;" FIGI",$S$1)))</f>
        <v>BOND</v>
      </c>
      <c r="T75" s="1" t="str">
        <f>IF(Q75="Cash",Q75,IF(OR(Q75="Receivable Investments",Q75="Payable Investments"),"Cash Adjustments",VLOOKUP(R75,LQA!E:S,3,0)))</f>
        <v>Corp</v>
      </c>
      <c r="U75" s="1" t="str">
        <f>IF(Q75="Cash",Q75,IF(OR(Q75="Receivable Investments",Q75="Payable Investments"),"Cash Adjustments",_xll.BDP(R75&amp;" FIGI",$U$1)))</f>
        <v>#N/A Field Not Applicable</v>
      </c>
      <c r="V75" s="10">
        <f>IF(OR(Q75="Cash",Q75="Receivable Investments",Q75="Payable Investments"),0,IF(Q75="Investments",VLOOKUP(R75,LQA!E:Q,12,0),"Not Covered"))</f>
        <v>0.3</v>
      </c>
      <c r="W75" s="76">
        <f>IF(OR(Q75="Cash",Q75="Receivable Investments",Q75="Payable Investments"),0,IF(Q75="Investments",VLOOKUP(R75,LQA!E:Q,9,0),"Not Covered"))</f>
        <v>9.6200000000000001E-3</v>
      </c>
      <c r="X75" s="13" t="str">
        <f>IF(OR(H75=0,T75="Comdty"),"High",IF(V75&lt;='Liquidity Bucket'!$A$4,'Liquidity Bucket'!$I$4,IF(V75&lt;='Liquidity Bucket'!$A$5,'Liquidity Bucket'!$I$5,IF(V75&lt;='Liquidity Bucket'!$A$6,'Liquidity Bucket'!$I$6,IF(V75='Liquidity Bucket'!$A$8,'Liquidity Bucket'!$I$8,'Liquidity Bucket'!$I$7)))))</f>
        <v>High</v>
      </c>
      <c r="Y75" s="153">
        <f>IF(OR(Q75="Cash",Q75="Receivable Investments",Q75="Payable Investments"),0,IF(Q75="Investments",VLOOKUP(R75,'LQA Stress'!E:Q,12,0),"Not Covered"))</f>
        <v>0.9</v>
      </c>
      <c r="Z75" s="75">
        <f>IF(OR(Q75="Cash",Q75="Receivable Investments",Q75="Payable Investments"),0,IF(Q75="Investments",VLOOKUP(R75,'LQA Stress'!E:Q,9,0),"Not Covered"))</f>
        <v>2.5468999999999999E-2</v>
      </c>
      <c r="AA75" s="13" t="str">
        <f>IF(T75="Comdty","High",IF(Y75&lt;='Liquidity Bucket'!$A$4,'Liquidity Bucket'!$I$4,IF(Y75&lt;='Liquidity Bucket'!$A$5,'Liquidity Bucket'!$I$5,IF(Y75&lt;='Liquidity Bucket'!$A$6,'Liquidity Bucket'!$I$6,IF(Y75='Liquidity Bucket'!$A$8,'Liquidity Bucket'!$I$8,'Liquidity Bucket'!$I$7)))))</f>
        <v>High</v>
      </c>
      <c r="AB75" s="14">
        <f>(N75+M75)/'FX Rates'!$C$5</f>
        <v>2984838.4313725494</v>
      </c>
      <c r="AC75" s="15" t="str">
        <f>IF(X75="Not Covered", (H75/_xll.BDP(R75&amp;" FIGI",$AC$1)),"")</f>
        <v/>
      </c>
      <c r="AD75" s="16" t="str">
        <f>IF(X75="Not Covered", _xll.BDP(R75&amp;" FIGI",$AD$1),"")</f>
        <v/>
      </c>
      <c r="AE75" s="16" t="str">
        <f>IF(OR(T75="Corp",T75="Govt"),IF(_xll.BDP(R75&amp;" FIGI",$AE$1)="#N/A N/A","",_xll.BDP(R75&amp;" FIGI",$AE$1)),"")</f>
        <v>B</v>
      </c>
      <c r="AF75" s="1" t="str">
        <f>IF(OR(T75="Corp",T75="Govt"),IF(_xll.BDP(R75&amp;" FIGI",$AF$1)="#N/A N/A","",_xll.BDP(R75&amp;" FIGI",$AF$1)),"")</f>
        <v>B3</v>
      </c>
      <c r="AG75" s="16" t="str">
        <f>IF(OR(T75="Corp",T75="Govt"),IF(_xll.BDP(R75&amp;" FIGI",$AG$1)="#N/A N/A","",_xll.BDP(R75&amp;" FIGI",$AG$1)),"")</f>
        <v/>
      </c>
      <c r="AH75" s="125">
        <f>IF(OR(S75="Cash",S75="M-Mkt"),21,IF(AE75="",0,VLOOKUP(AE75,'Rating Scale'!A:B,2,0)))</f>
        <v>7</v>
      </c>
      <c r="AI75" s="125">
        <f>IF(OR(S75="Cash",S75="M-Mkt"),21,IF(AF75="",0,VLOOKUP(AF75,'Rating Scale'!D:E,2,0)))</f>
        <v>6</v>
      </c>
      <c r="AJ75" s="125">
        <f>IF(OR(S75="Cash",S75="M-Mkt"),21,IF(AG75="",0,VLOOKUP(AG75,'Rating Scale'!G:H,2,0)))</f>
        <v>0</v>
      </c>
      <c r="AK75">
        <f t="shared" si="10"/>
        <v>6</v>
      </c>
      <c r="AL75" s="1" t="str">
        <f>IF(OR(U75="Cash",U75="Cash Adjustments"),_xll.BDP(G75&amp;" Curncy","Country"),IF(T75="Equity",_xll.BDP(R75&amp;" FIGI","CNTRY_ISSUE_ISO"),_xll.BDP(R75&amp;" FIGI",$AL$1)))</f>
        <v>CN</v>
      </c>
      <c r="AM75" s="126" t="str">
        <f>IF(OR(T75="Cash",T75="Cash Adjustments",T75="M-Mkt"), T75, IF(T75="Comdty",AS75, _xll.BDP(R75&amp;" FIGI", $AM$1)))</f>
        <v>Financial</v>
      </c>
      <c r="AN75" s="126" t="str">
        <f>IF(OR(T75="Cash",T75="Cash Adjustments",T75="M-Mkt"), T75,  IF(T75="Comdty",AS75,_xll.BDP(R75&amp;" FIGI", $AN$1)))</f>
        <v>Real Estate</v>
      </c>
      <c r="AO75" s="126" t="str">
        <f>IF(OR(T75="Cash",T75="Cash Adjustments",T75="M-Mkt"), T75,  IF(T75="Comdty",AS75,_xll.BDP(R75&amp;" FIGI", $AO$1)))</f>
        <v>Real Estate Oper/Develop</v>
      </c>
      <c r="AP75" s="13" t="str">
        <f>IF(OR(T75="Cash",T75="Cash Adjustments"), T75, IF(_xll.BDP(R75&amp;" FIGI", $AP$1)="#N/A Field Not Applicable","N",_xll.BDP(R75&amp;" FIGI", $AP$1)))</f>
        <v>N</v>
      </c>
      <c r="AQ75" s="1" t="str">
        <f>IF(OR(T75="Cash",T75="Cash Adjustments"), T75, IF(_xll.BDP(R75&amp;" FIGI", $AQ$1)="#N/A Field Not Applicable"," ",_xll.BDP(R75&amp;" FIGI", $AQ$1)))</f>
        <v xml:space="preserve"> </v>
      </c>
      <c r="AR75" s="1" t="str">
        <f>IF(OR(T75="Cash",T75="Cash Adjustments"), T75, IF(_xll.BDP(R75&amp;" FIGI", $AR$1)="#N/A Field Not Applicable"," ",_xll.BDP(R75&amp;" FIGI", $AR$1)))</f>
        <v>ACTV</v>
      </c>
      <c r="AS75" s="1" t="str">
        <f>VLOOKUP(T75,'SFC Classifcation'!$F$2:$H$7,3,0)</f>
        <v>Corporate</v>
      </c>
      <c r="AT75" s="22" t="str">
        <f t="shared" si="12"/>
        <v>Financial</v>
      </c>
      <c r="AU75" s="1" t="str">
        <f t="shared" si="13"/>
        <v>Non-Investment Grade</v>
      </c>
      <c r="AV75" s="1" t="str">
        <f>IF(OR(T75="Cash",T75="Cash Adjustments"),T75,VLOOKUP(AL75,'SFC Classifcation'!$A:$C,3,0))</f>
        <v>China</v>
      </c>
      <c r="AW75" s="22" t="str">
        <f t="shared" si="14"/>
        <v>High</v>
      </c>
      <c r="AX75" s="22" t="str">
        <f t="shared" si="15"/>
        <v>High</v>
      </c>
      <c r="AY75" s="45" t="str">
        <f>IF(OR(T75="Cash",T75="Cash Adjustments"), T75, _xll.BDP(R75&amp;" FIGI", $AY$1))</f>
        <v>Real Estate</v>
      </c>
      <c r="AZ75" s="45" t="str">
        <f>IF(OR(T75="Cash",T75="Cash Adjustments"), T75, _xll.BDP(R75&amp;" FIGI", $AZ$1))</f>
        <v>FINANCIAL</v>
      </c>
      <c r="BA75" s="45" t="str">
        <f>IF(OR(T75="Cash",T75="Cash Adjustments"), T75, _xll.BDP(R75&amp;" FIGI", $BA$1))</f>
        <v>#N/A Field Not Applicable</v>
      </c>
      <c r="BB75" s="16">
        <f>IF(OR(AS75="Government",AS75="Corporate"),(AK75*AB75/'SFC Report'!$C$20),"")</f>
        <v>3.2536412815371216E-2</v>
      </c>
      <c r="BC75" s="174" t="str">
        <f>IF(OR(T75="Cash",T75="Cash Adjustments", T75="FX Forward", T75="Repo", T75="Equity", T75="M-Mkt"), "", _xll.BDP(R75&amp;" FIGI", $BC$1))</f>
        <v>3/8/2021</v>
      </c>
      <c r="BD75" s="125">
        <f ca="1">IF(OR(T75="Cash",T75="Cash Adjustments",T75="FX Forward",T75="Repo", T75="Equity", T75="M-Mkt"),"",(BC75-'SFC Report'!$B$13)/365)</f>
        <v>0.85479452054794525</v>
      </c>
      <c r="BE75" s="82" t="str">
        <f t="shared" ca="1" si="9"/>
        <v>0 - 1 yr</v>
      </c>
      <c r="BF75" s="5">
        <f ca="1">IF(BC75="","",BD75*AB75/'SFC Report'!$C$20)</f>
        <v>4.6353245654775438E-3</v>
      </c>
      <c r="BG75" s="14" cm="1">
        <f t="array" ref="BG75">IF(OR(AS75="Corporate",AS75="Government"),_xll.BDP(G75&amp;" ISIN", $BG$1),"")</f>
        <v>0.72293567360195521</v>
      </c>
      <c r="BH75" s="140">
        <f>IF(OR(AS75="Corporate",AS75="Government"),BG75*BN75/'SFC Report'!$C$20,"")</f>
        <v>3.9202889192119462E-3</v>
      </c>
      <c r="BI75" s="140">
        <f>IF(OR(AS75="Corporate",AS75="Government"),_xll.BDP(G75&amp;" ISIN", $BI$1),"")</f>
        <v>10.330911570549782</v>
      </c>
      <c r="BJ75" s="140">
        <f>IF(OR(AS75="Corporate",AS75="Government"),BI75*AB75/'SFC Report'!$C$20,"")</f>
        <v>5.6021800603083788E-2</v>
      </c>
      <c r="BK75" s="153" t="str">
        <f>IF(OR(T75="Cash",T75="Cash Adjustments"),"-",_xll.BDP(R75&amp;" FIGI",$BK$1))</f>
        <v>XS1784286327</v>
      </c>
      <c r="BL75" s="11" t="str">
        <f>IF(OR(AS75="Cash", AS75="Cash Adjustments"),"-",IF(ISNA(VLOOKUP(BK75,'BBG - VaR Data (Sample, Indus )'!C:N,5,0)),"-",VLOOKUP(BK75,'BBG - VaR Data (Sample, Indus )'!C:N,5,0)))</f>
        <v>-</v>
      </c>
      <c r="BM75" s="11">
        <f>IF(OR(AS75="Cash", AS75="Cash Adjustments"),"-",IF(ISNA(VLOOKUP(BK75,'BBG - Scenarios (Sample View)'!C:Z,14,0)),"-",VLOOKUP(BK75,'BBG - Scenarios (Sample View)'!C:Z,14,0)))</f>
        <v>-1.91</v>
      </c>
      <c r="BN75" s="14">
        <f t="shared" si="16"/>
        <v>2984838.4313725494</v>
      </c>
      <c r="BO75" s="1">
        <f t="shared" si="17"/>
        <v>5.8552049434329421E-3</v>
      </c>
      <c r="BP75" t="str">
        <f>IF(BC75&lt;&gt;0,MaturityBucket(BG75),"")</f>
        <v>0 - 1 yr</v>
      </c>
      <c r="BQ75" s="11" t="str">
        <f>IF(OR(T75="Cash",T75="Cash Adjustments"),T75,VLOOKUP(AL75,'SFC Classifcation'!$A:$C,2,0))</f>
        <v>China</v>
      </c>
      <c r="BR75" s="1" t="e">
        <f>IF(S75="Bond",BH75/'SFC Report'!$B$7,"")</f>
        <v>#VALUE!</v>
      </c>
      <c r="BS75" t="str">
        <f>IF(OR(T75="Cash",T75="Cash Adjustments"),"-",_xll.BDP(R75&amp;" FIGI",$BS$1))</f>
        <v>4/19/2018</v>
      </c>
      <c r="BT75" t="str">
        <f>IF(OR(T75="Cash",T75="Cash Adjustments"),"-",_xll.BDP(R75&amp;" FIGI",$BT$1))</f>
        <v>3/1/2018</v>
      </c>
      <c r="BU75" t="str">
        <f>IF(OR(T75="Cash",T75="Cash Adjustments"),"-",_xll.BDP(R75&amp;" FIGI",$BU$1))</f>
        <v>#N/A N/A</v>
      </c>
    </row>
    <row r="76" spans="1:73">
      <c r="A76" s="254" t="s">
        <v>15</v>
      </c>
      <c r="B76" s="254" t="s">
        <v>25</v>
      </c>
      <c r="C76" s="254" t="s">
        <v>46</v>
      </c>
      <c r="D76" s="254" t="s">
        <v>22</v>
      </c>
      <c r="E76" s="254"/>
      <c r="F76" s="254" t="s">
        <v>1303</v>
      </c>
      <c r="G76" s="254" t="s">
        <v>1304</v>
      </c>
      <c r="H76" s="270">
        <v>800000</v>
      </c>
      <c r="I76" s="270">
        <v>98.551000000000002</v>
      </c>
      <c r="J76" s="270">
        <v>736000</v>
      </c>
      <c r="K76" s="270">
        <v>5712096</v>
      </c>
      <c r="L76" s="270">
        <v>398223.68</v>
      </c>
      <c r="M76" s="270">
        <v>131167.82999999999</v>
      </c>
      <c r="N76" s="270">
        <v>6110319.6799999997</v>
      </c>
      <c r="O76" s="255">
        <v>1.2999999999999999E-3</v>
      </c>
      <c r="P76" s="1"/>
      <c r="Q76" s="1" t="str">
        <f t="shared" si="11"/>
        <v>Investments</v>
      </c>
      <c r="R76" s="1" t="str">
        <f>_xll.BDP(G76&amp;" ISIN",$R$1)</f>
        <v>BBG00PCCVDV7</v>
      </c>
      <c r="S76" s="1" t="str">
        <f>IF(Q76="Cash",Q76,IF(OR(Q76="Receivable Investments",Q76="Payable Investments"),"Cash Adjustments",_xll.BDP(R76&amp;" FIGI",$S$1)))</f>
        <v>BOND</v>
      </c>
      <c r="T76" s="1" t="str">
        <f>IF(Q76="Cash",Q76,IF(OR(Q76="Receivable Investments",Q76="Payable Investments"),"Cash Adjustments",VLOOKUP(R76,LQA!E:S,3,0)))</f>
        <v>Corp</v>
      </c>
      <c r="U76" s="1" t="str">
        <f>IF(Q76="Cash",Q76,IF(OR(Q76="Receivable Investments",Q76="Payable Investments"),"Cash Adjustments",_xll.BDP(R76&amp;" FIGI",$U$1)))</f>
        <v>#N/A Field Not Applicable</v>
      </c>
      <c r="V76" s="10">
        <f>IF(OR(Q76="Cash",Q76="Receivable Investments",Q76="Payable Investments"),0,IF(Q76="Investments",VLOOKUP(R76,LQA!E:Q,12,0),"Not Covered"))</f>
        <v>0.3</v>
      </c>
      <c r="W76" s="76">
        <f>IF(OR(Q76="Cash",Q76="Receivable Investments",Q76="Payable Investments"),0,IF(Q76="Investments",VLOOKUP(R76,LQA!E:Q,9,0),"Not Covered"))</f>
        <v>7.8189999999999996E-3</v>
      </c>
      <c r="X76" s="13" t="str">
        <f>IF(OR(H76=0,T76="Comdty"),"High",IF(V76&lt;='Liquidity Bucket'!$A$4,'Liquidity Bucket'!$I$4,IF(V76&lt;='Liquidity Bucket'!$A$5,'Liquidity Bucket'!$I$5,IF(V76&lt;='Liquidity Bucket'!$A$6,'Liquidity Bucket'!$I$6,IF(V76='Liquidity Bucket'!$A$8,'Liquidity Bucket'!$I$8,'Liquidity Bucket'!$I$7)))))</f>
        <v>High</v>
      </c>
      <c r="Y76" s="153">
        <f>IF(OR(Q76="Cash",Q76="Receivable Investments",Q76="Payable Investments"),0,IF(Q76="Investments",VLOOKUP(R76,'LQA Stress'!E:Q,12,0),"Not Covered"))</f>
        <v>0.7</v>
      </c>
      <c r="Z76" s="75">
        <f>IF(OR(Q76="Cash",Q76="Receivable Investments",Q76="Payable Investments"),0,IF(Q76="Investments",VLOOKUP(R76,'LQA Stress'!E:Q,9,0),"Not Covered"))</f>
        <v>2.1146999999999999E-2</v>
      </c>
      <c r="AA76" s="13" t="str">
        <f>IF(T76="Comdty","High",IF(Y76&lt;='Liquidity Bucket'!$A$4,'Liquidity Bucket'!$I$4,IF(Y76&lt;='Liquidity Bucket'!$A$5,'Liquidity Bucket'!$I$5,IF(Y76&lt;='Liquidity Bucket'!$A$6,'Liquidity Bucket'!$I$6,IF(Y76='Liquidity Bucket'!$A$8,'Liquidity Bucket'!$I$8,'Liquidity Bucket'!$I$7)))))</f>
        <v>High</v>
      </c>
      <c r="AB76" s="14">
        <f>(N76+M76)/'FX Rates'!$C$5</f>
        <v>805145.44762641902</v>
      </c>
      <c r="AC76" s="15" t="str">
        <f>IF(X76="Not Covered", (H76/_xll.BDP(R76&amp;" FIGI",$AC$1)),"")</f>
        <v/>
      </c>
      <c r="AD76" s="16" t="str">
        <f>IF(X76="Not Covered", _xll.BDP(R76&amp;" FIGI",$AD$1),"")</f>
        <v/>
      </c>
      <c r="AE76" s="16" t="str">
        <f>IF(OR(T76="Corp",T76="Govt"),IF(_xll.BDP(R76&amp;" FIGI",$AE$1)="#N/A N/A","",_xll.BDP(R76&amp;" FIGI",$AE$1)),"")</f>
        <v/>
      </c>
      <c r="AF76" s="1" t="str">
        <f>IF(OR(T76="Corp",T76="Govt"),IF(_xll.BDP(R76&amp;" FIGI",$AF$1)="#N/A N/A","",_xll.BDP(R76&amp;" FIGI",$AF$1)),"")</f>
        <v>Ba3</v>
      </c>
      <c r="AG76" s="16" t="str">
        <f>IF(OR(T76="Corp",T76="Govt"),IF(_xll.BDP(R76&amp;" FIGI",$AG$1)="#N/A N/A","",_xll.BDP(R76&amp;" FIGI",$AG$1)),"")</f>
        <v/>
      </c>
      <c r="AH76" s="125">
        <f>IF(OR(S76="Cash",S76="M-Mkt"),21,IF(AE76="",0,VLOOKUP(AE76,'Rating Scale'!A:B,2,0)))</f>
        <v>0</v>
      </c>
      <c r="AI76" s="125">
        <f>IF(OR(S76="Cash",S76="M-Mkt"),21,IF(AF76="",0,VLOOKUP(AF76,'Rating Scale'!D:E,2,0)))</f>
        <v>9</v>
      </c>
      <c r="AJ76" s="125">
        <f>IF(OR(S76="Cash",S76="M-Mkt"),21,IF(AG76="",0,VLOOKUP(AG76,'Rating Scale'!G:H,2,0)))</f>
        <v>0</v>
      </c>
      <c r="AK76">
        <f t="shared" si="10"/>
        <v>9</v>
      </c>
      <c r="AL76" s="1" t="str">
        <f>IF(OR(U76="Cash",U76="Cash Adjustments"),_xll.BDP(G76&amp;" Curncy","Country"),IF(T76="Equity",_xll.BDP(R76&amp;" FIGI","CNTRY_ISSUE_ISO"),_xll.BDP(R76&amp;" FIGI",$AL$1)))</f>
        <v>CN</v>
      </c>
      <c r="AM76" s="126" t="str">
        <f>IF(OR(T76="Cash",T76="Cash Adjustments",T76="M-Mkt"), T76, IF(T76="Comdty",AS76, _xll.BDP(R76&amp;" FIGI", $AM$1)))</f>
        <v>Financial</v>
      </c>
      <c r="AN76" s="126" t="str">
        <f>IF(OR(T76="Cash",T76="Cash Adjustments",T76="M-Mkt"), T76,  IF(T76="Comdty",AS76,_xll.BDP(R76&amp;" FIGI", $AN$1)))</f>
        <v>Real Estate</v>
      </c>
      <c r="AO76" s="126" t="str">
        <f>IF(OR(T76="Cash",T76="Cash Adjustments",T76="M-Mkt"), T76,  IF(T76="Comdty",AS76,_xll.BDP(R76&amp;" FIGI", $AO$1)))</f>
        <v>Real Estate Oper/Develop</v>
      </c>
      <c r="AP76" s="13" t="str">
        <f>IF(OR(T76="Cash",T76="Cash Adjustments"), T76, IF(_xll.BDP(R76&amp;" FIGI", $AP$1)="#N/A Field Not Applicable","N",_xll.BDP(R76&amp;" FIGI", $AP$1)))</f>
        <v>N</v>
      </c>
      <c r="AQ76" s="1" t="str">
        <f>IF(OR(T76="Cash",T76="Cash Adjustments"), T76, IF(_xll.BDP(R76&amp;" FIGI", $AQ$1)="#N/A Field Not Applicable"," ",_xll.BDP(R76&amp;" FIGI", $AQ$1)))</f>
        <v xml:space="preserve"> </v>
      </c>
      <c r="AR76" s="1" t="str">
        <f>IF(OR(T76="Cash",T76="Cash Adjustments"), T76, IF(_xll.BDP(R76&amp;" FIGI", $AR$1)="#N/A Field Not Applicable"," ",_xll.BDP(R76&amp;" FIGI", $AR$1)))</f>
        <v>ACTV</v>
      </c>
      <c r="AS76" s="1" t="str">
        <f>VLOOKUP(T76,'SFC Classifcation'!$F$2:$H$7,3,0)</f>
        <v>Corporate</v>
      </c>
      <c r="AT76" s="22" t="str">
        <f t="shared" si="12"/>
        <v>Financial</v>
      </c>
      <c r="AU76" s="1" t="str">
        <f t="shared" si="13"/>
        <v>Non-Investment Grade</v>
      </c>
      <c r="AV76" s="1" t="str">
        <f>IF(OR(T76="Cash",T76="Cash Adjustments"),T76,VLOOKUP(AL76,'SFC Classifcation'!$A:$C,3,0))</f>
        <v>China</v>
      </c>
      <c r="AW76" s="22" t="str">
        <f t="shared" si="14"/>
        <v>High</v>
      </c>
      <c r="AX76" s="22" t="str">
        <f t="shared" si="15"/>
        <v>High</v>
      </c>
      <c r="AY76" s="45" t="str">
        <f>IF(OR(T76="Cash",T76="Cash Adjustments"), T76, _xll.BDP(R76&amp;" FIGI", $AY$1))</f>
        <v>#N/A Field Not Applicable</v>
      </c>
      <c r="AZ76" s="45" t="str">
        <f>IF(OR(T76="Cash",T76="Cash Adjustments"), T76, _xll.BDP(R76&amp;" FIGI", $AZ$1))</f>
        <v>SPECIAL PURPOSE</v>
      </c>
      <c r="BA76" s="45" t="str">
        <f>IF(OR(T76="Cash",T76="Cash Adjustments"), T76, _xll.BDP(R76&amp;" FIGI", $BA$1))</f>
        <v>#N/A Field Not Applicable</v>
      </c>
      <c r="BB76" s="16">
        <f>IF(OR(AS76="Government",AS76="Corporate"),(AK76*AB76/'SFC Report'!$C$20),"")</f>
        <v>1.3164805363523706E-2</v>
      </c>
      <c r="BC76" s="174" t="str">
        <f>IF(OR(T76="Cash",T76="Cash Adjustments", T76="FX Forward", T76="Repo", T76="Equity", T76="M-Mkt"), "", _xll.BDP(R76&amp;" FIGI", $BC$1))</f>
        <v>6/14/2022</v>
      </c>
      <c r="BD76" s="125">
        <f ca="1">IF(OR(T76="Cash",T76="Cash Adjustments",T76="FX Forward",T76="Repo", T76="Equity", T76="M-Mkt"),"",(BC76-'SFC Report'!$B$13)/365)</f>
        <v>2.1232876712328768</v>
      </c>
      <c r="BE76" s="82" t="str">
        <f t="shared" ca="1" si="9"/>
        <v>2 - 3 yrs</v>
      </c>
      <c r="BF76" s="5">
        <f ca="1">IF(BC76="","",BD76*AB76/'SFC Report'!$C$20)</f>
        <v>3.1058521025055926E-3</v>
      </c>
      <c r="BG76" s="14" cm="1">
        <f t="array" ref="BG76">IF(OR(AS76="Corporate",AS76="Government"),_xll.BDP(G76&amp;" ISIN", $BG$1),"")</f>
        <v>1.8624604219970047</v>
      </c>
      <c r="BH76" s="140">
        <f>IF(OR(AS76="Corporate",AS76="Government"),BG76*BN76/'SFC Report'!$C$20,"")</f>
        <v>2.7243254392063103E-3</v>
      </c>
      <c r="BI76" s="140">
        <f>IF(OR(AS76="Corporate",AS76="Government"),_xll.BDP(G76&amp;" ISIN", $BI$1),"")</f>
        <v>5.6076883831447004</v>
      </c>
      <c r="BJ76" s="140">
        <f>IF(OR(AS76="Corporate",AS76="Government"),BI76*AB76/'SFC Report'!$C$20,"")</f>
        <v>8.2026806781547706E-3</v>
      </c>
      <c r="BK76" s="153" t="str">
        <f>IF(OR(T76="Cash",T76="Cash Adjustments"),"-",_xll.BDP(R76&amp;" FIGI",$BK$1))</f>
        <v>XS2009869897</v>
      </c>
      <c r="BL76" s="11" t="str">
        <f>IF(OR(AS76="Cash", AS76="Cash Adjustments"),"-",IF(ISNA(VLOOKUP(BK76,'BBG - VaR Data (Sample, Indus )'!C:N,5,0)),"-",VLOOKUP(BK76,'BBG - VaR Data (Sample, Indus )'!C:N,5,0)))</f>
        <v>-</v>
      </c>
      <c r="BM76" s="11">
        <f>IF(OR(AS76="Cash", AS76="Cash Adjustments"),"-",IF(ISNA(VLOOKUP(BK76,'BBG - Scenarios (Sample View)'!C:Z,14,0)),"-",VLOOKUP(BK76,'BBG - Scenarios (Sample View)'!C:Z,14,0)))</f>
        <v>-2.92</v>
      </c>
      <c r="BN76" s="14">
        <f t="shared" si="16"/>
        <v>805145.44762641902</v>
      </c>
      <c r="BO76" s="1">
        <f t="shared" si="17"/>
        <v>1.5794126595176932E-3</v>
      </c>
      <c r="BP76" t="str">
        <f>IF(BC76&lt;&gt;0,MaturityBucket(BG76),"")</f>
        <v>1 - 2 yrs</v>
      </c>
      <c r="BQ76" s="11" t="str">
        <f>IF(OR(T76="Cash",T76="Cash Adjustments"),T76,VLOOKUP(AL76,'SFC Classifcation'!$A:$C,2,0))</f>
        <v>China</v>
      </c>
      <c r="BR76" s="1" t="e">
        <f>IF(S76="Bond",BH76/'SFC Report'!$B$7,"")</f>
        <v>#VALUE!</v>
      </c>
      <c r="BS76" t="str">
        <f>IF(OR(T76="Cash",T76="Cash Adjustments"),"-",_xll.BDP(R76&amp;" FIGI",$BS$1))</f>
        <v>#N/A N/A</v>
      </c>
      <c r="BT76" t="str">
        <f>IF(OR(T76="Cash",T76="Cash Adjustments"),"-",_xll.BDP(R76&amp;" FIGI",$BT$1))</f>
        <v>6/6/2019</v>
      </c>
      <c r="BU76" t="str">
        <f>IF(OR(T76="Cash",T76="Cash Adjustments"),"-",_xll.BDP(R76&amp;" FIGI",$BU$1))</f>
        <v>#N/A N/A</v>
      </c>
    </row>
    <row r="77" spans="1:73">
      <c r="A77" s="254" t="s">
        <v>15</v>
      </c>
      <c r="B77" s="254" t="s">
        <v>25</v>
      </c>
      <c r="C77" s="254" t="s">
        <v>46</v>
      </c>
      <c r="D77" s="254" t="s">
        <v>22</v>
      </c>
      <c r="E77" s="254"/>
      <c r="F77" s="254" t="s">
        <v>1305</v>
      </c>
      <c r="G77" s="254" t="s">
        <v>1306</v>
      </c>
      <c r="H77" s="270">
        <v>2200000</v>
      </c>
      <c r="I77" s="270">
        <v>100.413</v>
      </c>
      <c r="J77" s="270">
        <v>2139600</v>
      </c>
      <c r="K77" s="270">
        <v>16587736.800000001</v>
      </c>
      <c r="L77" s="270">
        <v>533121.52</v>
      </c>
      <c r="M77" s="270">
        <v>153453.96</v>
      </c>
      <c r="N77" s="270">
        <v>17120858.32</v>
      </c>
      <c r="O77" s="255">
        <v>3.8E-3</v>
      </c>
      <c r="P77" s="1"/>
      <c r="Q77" s="1" t="str">
        <f t="shared" si="11"/>
        <v>Investments</v>
      </c>
      <c r="R77" s="1" t="str">
        <f>_xll.BDP(G77&amp;" ISIN",$R$1)</f>
        <v>BBG00LVCGFZ3</v>
      </c>
      <c r="S77" s="1" t="str">
        <f>IF(Q77="Cash",Q77,IF(OR(Q77="Receivable Investments",Q77="Payable Investments"),"Cash Adjustments",_xll.BDP(R77&amp;" FIGI",$S$1)))</f>
        <v>BOND</v>
      </c>
      <c r="T77" s="1" t="str">
        <f>IF(Q77="Cash",Q77,IF(OR(Q77="Receivable Investments",Q77="Payable Investments"),"Cash Adjustments",VLOOKUP(R77,LQA!E:S,3,0)))</f>
        <v>Corp</v>
      </c>
      <c r="U77" s="1" t="str">
        <f>IF(Q77="Cash",Q77,IF(OR(Q77="Receivable Investments",Q77="Payable Investments"),"Cash Adjustments",_xll.BDP(R77&amp;" FIGI",$U$1)))</f>
        <v>#N/A Field Not Applicable</v>
      </c>
      <c r="V77" s="10">
        <f>IF(OR(Q77="Cash",Q77="Receivable Investments",Q77="Payable Investments"),0,IF(Q77="Investments",VLOOKUP(R77,LQA!E:Q,12,0),"Not Covered"))</f>
        <v>0.3</v>
      </c>
      <c r="W77" s="76">
        <f>IF(OR(Q77="Cash",Q77="Receivable Investments",Q77="Payable Investments"),0,IF(Q77="Investments",VLOOKUP(R77,LQA!E:Q,9,0),"Not Covered"))</f>
        <v>5.1159999999999999E-3</v>
      </c>
      <c r="X77" s="13" t="str">
        <f>IF(OR(H77=0,T77="Comdty"),"High",IF(V77&lt;='Liquidity Bucket'!$A$4,'Liquidity Bucket'!$I$4,IF(V77&lt;='Liquidity Bucket'!$A$5,'Liquidity Bucket'!$I$5,IF(V77&lt;='Liquidity Bucket'!$A$6,'Liquidity Bucket'!$I$6,IF(V77='Liquidity Bucket'!$A$8,'Liquidity Bucket'!$I$8,'Liquidity Bucket'!$I$7)))))</f>
        <v>High</v>
      </c>
      <c r="Y77" s="153">
        <f>IF(OR(Q77="Cash",Q77="Receivable Investments",Q77="Payable Investments"),0,IF(Q77="Investments",VLOOKUP(R77,'LQA Stress'!E:Q,12,0),"Not Covered"))</f>
        <v>1.6</v>
      </c>
      <c r="Z77" s="75">
        <f>IF(OR(Q77="Cash",Q77="Receivable Investments",Q77="Payable Investments"),0,IF(Q77="Investments",VLOOKUP(R77,'LQA Stress'!E:Q,9,0),"Not Covered"))</f>
        <v>1.2997E-2</v>
      </c>
      <c r="AA77" s="13" t="str">
        <f>IF(T77="Comdty","High",IF(Y77&lt;='Liquidity Bucket'!$A$4,'Liquidity Bucket'!$I$4,IF(Y77&lt;='Liquidity Bucket'!$A$5,'Liquidity Bucket'!$I$5,IF(Y77&lt;='Liquidity Bucket'!$A$6,'Liquidity Bucket'!$I$6,IF(Y77='Liquidity Bucket'!$A$8,'Liquidity Bucket'!$I$8,'Liquidity Bucket'!$I$7)))))</f>
        <v>High</v>
      </c>
      <c r="AB77" s="14">
        <f>(N77+M77)/'FX Rates'!$C$5</f>
        <v>2228368.457172343</v>
      </c>
      <c r="AC77" s="15" t="str">
        <f>IF(X77="Not Covered", (H77/_xll.BDP(R77&amp;" FIGI",$AC$1)),"")</f>
        <v/>
      </c>
      <c r="AD77" s="16" t="str">
        <f>IF(X77="Not Covered", _xll.BDP(R77&amp;" FIGI",$AD$1),"")</f>
        <v/>
      </c>
      <c r="AE77" s="16" t="str">
        <f>IF(OR(T77="Corp",T77="Govt"),IF(_xll.BDP(R77&amp;" FIGI",$AE$1)="#N/A N/A","",_xll.BDP(R77&amp;" FIGI",$AE$1)),"")</f>
        <v>BB-</v>
      </c>
      <c r="AF77" s="1" t="str">
        <f>IF(OR(T77="Corp",T77="Govt"),IF(_xll.BDP(R77&amp;" FIGI",$AF$1)="#N/A N/A","",_xll.BDP(R77&amp;" FIGI",$AF$1)),"")</f>
        <v>Ba3</v>
      </c>
      <c r="AG77" s="16" t="str">
        <f>IF(OR(T77="Corp",T77="Govt"),IF(_xll.BDP(R77&amp;" FIGI",$AG$1)="#N/A N/A","",_xll.BDP(R77&amp;" FIGI",$AG$1)),"")</f>
        <v/>
      </c>
      <c r="AH77" s="125">
        <f>IF(OR(S77="Cash",S77="M-Mkt"),21,IF(AE77="",0,VLOOKUP(AE77,'Rating Scale'!A:B,2,0)))</f>
        <v>9</v>
      </c>
      <c r="AI77" s="125">
        <f>IF(OR(S77="Cash",S77="M-Mkt"),21,IF(AF77="",0,VLOOKUP(AF77,'Rating Scale'!D:E,2,0)))</f>
        <v>9</v>
      </c>
      <c r="AJ77" s="125">
        <f>IF(OR(S77="Cash",S77="M-Mkt"),21,IF(AG77="",0,VLOOKUP(AG77,'Rating Scale'!G:H,2,0)))</f>
        <v>0</v>
      </c>
      <c r="AK77">
        <f t="shared" si="10"/>
        <v>9</v>
      </c>
      <c r="AL77" s="1" t="str">
        <f>IF(OR(U77="Cash",U77="Cash Adjustments"),_xll.BDP(G77&amp;" Curncy","Country"),IF(T77="Equity",_xll.BDP(R77&amp;" FIGI","CNTRY_ISSUE_ISO"),_xll.BDP(R77&amp;" FIGI",$AL$1)))</f>
        <v>CN</v>
      </c>
      <c r="AM77" s="126" t="str">
        <f>IF(OR(T77="Cash",T77="Cash Adjustments",T77="M-Mkt"), T77, IF(T77="Comdty",AS77, _xll.BDP(R77&amp;" FIGI", $AM$1)))</f>
        <v>Financial</v>
      </c>
      <c r="AN77" s="126" t="str">
        <f>IF(OR(T77="Cash",T77="Cash Adjustments",T77="M-Mkt"), T77,  IF(T77="Comdty",AS77,_xll.BDP(R77&amp;" FIGI", $AN$1)))</f>
        <v>Real Estate</v>
      </c>
      <c r="AO77" s="126" t="str">
        <f>IF(OR(T77="Cash",T77="Cash Adjustments",T77="M-Mkt"), T77,  IF(T77="Comdty",AS77,_xll.BDP(R77&amp;" FIGI", $AO$1)))</f>
        <v>Real Estate Oper/Develop</v>
      </c>
      <c r="AP77" s="13" t="str">
        <f>IF(OR(T77="Cash",T77="Cash Adjustments"), T77, IF(_xll.BDP(R77&amp;" FIGI", $AP$1)="#N/A Field Not Applicable","N",_xll.BDP(R77&amp;" FIGI", $AP$1)))</f>
        <v>N</v>
      </c>
      <c r="AQ77" s="1" t="str">
        <f>IF(OR(T77="Cash",T77="Cash Adjustments"), T77, IF(_xll.BDP(R77&amp;" FIGI", $AQ$1)="#N/A Field Not Applicable"," ",_xll.BDP(R77&amp;" FIGI", $AQ$1)))</f>
        <v xml:space="preserve"> </v>
      </c>
      <c r="AR77" s="1" t="str">
        <f>IF(OR(T77="Cash",T77="Cash Adjustments"), T77, IF(_xll.BDP(R77&amp;" FIGI", $AR$1)="#N/A Field Not Applicable"," ",_xll.BDP(R77&amp;" FIGI", $AR$1)))</f>
        <v>ACTV</v>
      </c>
      <c r="AS77" s="1" t="str">
        <f>VLOOKUP(T77,'SFC Classifcation'!$F$2:$H$7,3,0)</f>
        <v>Corporate</v>
      </c>
      <c r="AT77" s="22" t="str">
        <f t="shared" si="12"/>
        <v>Financial</v>
      </c>
      <c r="AU77" s="1" t="str">
        <f t="shared" si="13"/>
        <v>Non-Investment Grade</v>
      </c>
      <c r="AV77" s="1" t="str">
        <f>IF(OR(T77="Cash",T77="Cash Adjustments"),T77,VLOOKUP(AL77,'SFC Classifcation'!$A:$C,3,0))</f>
        <v>China</v>
      </c>
      <c r="AW77" s="22" t="str">
        <f t="shared" si="14"/>
        <v>High</v>
      </c>
      <c r="AX77" s="22" t="str">
        <f t="shared" si="15"/>
        <v>High</v>
      </c>
      <c r="AY77" s="45" t="str">
        <f>IF(OR(T77="Cash",T77="Cash Adjustments"), T77, _xll.BDP(R77&amp;" FIGI", $AY$1))</f>
        <v>#N/A Field Not Applicable</v>
      </c>
      <c r="AZ77" s="45" t="str">
        <f>IF(OR(T77="Cash",T77="Cash Adjustments"), T77, _xll.BDP(R77&amp;" FIGI", $AZ$1))</f>
        <v>SPECIAL PURPOSE</v>
      </c>
      <c r="BA77" s="45" t="str">
        <f>IF(OR(T77="Cash",T77="Cash Adjustments"), T77, _xll.BDP(R77&amp;" FIGI", $BA$1))</f>
        <v>#N/A Field Not Applicable</v>
      </c>
      <c r="BB77" s="16">
        <f>IF(OR(AS77="Government",AS77="Corporate"),(AK77*AB77/'SFC Report'!$C$20),"")</f>
        <v>3.6435698796251768E-2</v>
      </c>
      <c r="BC77" s="174" t="str">
        <f>IF(OR(T77="Cash",T77="Cash Adjustments", T77="FX Forward", T77="Repo", T77="Equity", T77="M-Mkt"), "", _xll.BDP(R77&amp;" FIGI", $BC$1))</f>
        <v>9/6/2021</v>
      </c>
      <c r="BD77" s="125">
        <f ca="1">IF(OR(T77="Cash",T77="Cash Adjustments",T77="FX Forward",T77="Repo", T77="Equity", T77="M-Mkt"),"",(BC77-'SFC Report'!$B$13)/365)</f>
        <v>1.3534246575342466</v>
      </c>
      <c r="BE77" s="82" t="str">
        <f t="shared" ca="1" si="9"/>
        <v>1 - 2 yrs</v>
      </c>
      <c r="BF77" s="5">
        <f ca="1">IF(BC77="","",BD77*AB77/'SFC Report'!$C$20)</f>
        <v>5.4792192405931119E-3</v>
      </c>
      <c r="BG77" s="14" cm="1">
        <f t="array" ref="BG77">IF(OR(AS77="Corporate",AS77="Government"),_xll.BDP(G77&amp;" ISIN", $BG$1),"")</f>
        <v>1.1999852318600248</v>
      </c>
      <c r="BH77" s="140">
        <f>IF(OR(AS77="Corporate",AS77="Government"),BG77*BN77/'SFC Report'!$C$20,"")</f>
        <v>4.8580333853335779E-3</v>
      </c>
      <c r="BI77" s="140">
        <f>IF(OR(AS77="Corporate",AS77="Government"),_xll.BDP(G77&amp;" ISIN", $BI$1),"")</f>
        <v>5.3289035183048394</v>
      </c>
      <c r="BJ77" s="140">
        <f>IF(OR(AS77="Corporate",AS77="Government"),BI77*AB77/'SFC Report'!$C$20,"")</f>
        <v>2.1573591500804606E-2</v>
      </c>
      <c r="BK77" s="153" t="str">
        <f>IF(OR(T77="Cash",T77="Cash Adjustments"),"-",_xll.BDP(R77&amp;" FIGI",$BK$1))</f>
        <v>XS1820761556</v>
      </c>
      <c r="BL77" s="11" t="str">
        <f>IF(OR(AS77="Cash", AS77="Cash Adjustments"),"-",IF(ISNA(VLOOKUP(BK77,'BBG - VaR Data (Sample, Indus )'!C:N,5,0)),"-",VLOOKUP(BK77,'BBG - VaR Data (Sample, Indus )'!C:N,5,0)))</f>
        <v>-</v>
      </c>
      <c r="BM77" s="11">
        <f>IF(OR(AS77="Cash", AS77="Cash Adjustments"),"-",IF(ISNA(VLOOKUP(BK77,'BBG - Scenarios (Sample View)'!C:Z,14,0)),"-",VLOOKUP(BK77,'BBG - Scenarios (Sample View)'!C:Z,14,0)))</f>
        <v>-1.78</v>
      </c>
      <c r="BN77" s="14">
        <f t="shared" si="16"/>
        <v>2228368.457172343</v>
      </c>
      <c r="BO77" s="1">
        <f t="shared" si="17"/>
        <v>4.3712764714791442E-3</v>
      </c>
      <c r="BP77" t="str">
        <f>IF(BC77&lt;&gt;0,MaturityBucket(BG77),"")</f>
        <v>1 - 2 yrs</v>
      </c>
      <c r="BQ77" s="11" t="str">
        <f>IF(OR(T77="Cash",T77="Cash Adjustments"),T77,VLOOKUP(AL77,'SFC Classifcation'!$A:$C,2,0))</f>
        <v>China</v>
      </c>
      <c r="BR77" s="1" t="e">
        <f>IF(S77="Bond",BH77/'SFC Report'!$B$7,"")</f>
        <v>#VALUE!</v>
      </c>
      <c r="BS77" t="str">
        <f>IF(OR(T77="Cash",T77="Cash Adjustments"),"-",_xll.BDP(R77&amp;" FIGI",$BS$1))</f>
        <v>8/30/2018</v>
      </c>
      <c r="BT77" t="str">
        <f>IF(OR(T77="Cash",T77="Cash Adjustments"),"-",_xll.BDP(R77&amp;" FIGI",$BT$1))</f>
        <v>8/30/2018</v>
      </c>
      <c r="BU77" t="str">
        <f>IF(OR(T77="Cash",T77="Cash Adjustments"),"-",_xll.BDP(R77&amp;" FIGI",$BU$1))</f>
        <v>#N/A N/A</v>
      </c>
    </row>
    <row r="78" spans="1:73">
      <c r="A78" s="254" t="s">
        <v>15</v>
      </c>
      <c r="B78" s="254" t="s">
        <v>25</v>
      </c>
      <c r="C78" s="254" t="s">
        <v>46</v>
      </c>
      <c r="D78" s="254" t="s">
        <v>22</v>
      </c>
      <c r="E78" s="254"/>
      <c r="F78" s="254" t="s">
        <v>1307</v>
      </c>
      <c r="G78" s="254" t="s">
        <v>1308</v>
      </c>
      <c r="H78" s="270">
        <v>1000000</v>
      </c>
      <c r="I78" s="270">
        <v>90.111999999999995</v>
      </c>
      <c r="J78" s="270">
        <v>800200</v>
      </c>
      <c r="K78" s="270">
        <v>6203390.46</v>
      </c>
      <c r="L78" s="270">
        <v>780469.76000000001</v>
      </c>
      <c r="M78" s="270">
        <v>77663.460000000006</v>
      </c>
      <c r="N78" s="270">
        <v>6983860.2199999997</v>
      </c>
      <c r="O78" s="255">
        <v>1.5E-3</v>
      </c>
      <c r="P78" s="1"/>
      <c r="Q78" s="1" t="str">
        <f t="shared" si="11"/>
        <v>Investments</v>
      </c>
      <c r="R78" s="1" t="str">
        <f>_xll.BDP(G78&amp;" ISIN",$R$1)</f>
        <v>BBG00DKQ0MQ4</v>
      </c>
      <c r="S78" s="1" t="str">
        <f>IF(Q78="Cash",Q78,IF(OR(Q78="Receivable Investments",Q78="Payable Investments"),"Cash Adjustments",_xll.BDP(R78&amp;" FIGI",$S$1)))</f>
        <v>BOND</v>
      </c>
      <c r="T78" s="1" t="str">
        <f>IF(Q78="Cash",Q78,IF(OR(Q78="Receivable Investments",Q78="Payable Investments"),"Cash Adjustments",VLOOKUP(R78,LQA!E:S,3,0)))</f>
        <v>Corp</v>
      </c>
      <c r="U78" s="1" t="str">
        <f>IF(Q78="Cash",Q78,IF(OR(Q78="Receivable Investments",Q78="Payable Investments"),"Cash Adjustments",_xll.BDP(R78&amp;" FIGI",$U$1)))</f>
        <v>#N/A Field Not Applicable</v>
      </c>
      <c r="V78" s="10">
        <f>IF(OR(Q78="Cash",Q78="Receivable Investments",Q78="Payable Investments"),0,IF(Q78="Investments",VLOOKUP(R78,LQA!E:Q,12,0),"Not Covered"))</f>
        <v>0.3</v>
      </c>
      <c r="W78" s="76">
        <f>IF(OR(Q78="Cash",Q78="Receivable Investments",Q78="Payable Investments"),0,IF(Q78="Investments",VLOOKUP(R78,LQA!E:Q,9,0),"Not Covered"))</f>
        <v>2.2818999999999999E-2</v>
      </c>
      <c r="X78" s="13" t="str">
        <f>IF(OR(H78=0,T78="Comdty"),"High",IF(V78&lt;='Liquidity Bucket'!$A$4,'Liquidity Bucket'!$I$4,IF(V78&lt;='Liquidity Bucket'!$A$5,'Liquidity Bucket'!$I$5,IF(V78&lt;='Liquidity Bucket'!$A$6,'Liquidity Bucket'!$I$6,IF(V78='Liquidity Bucket'!$A$8,'Liquidity Bucket'!$I$8,'Liquidity Bucket'!$I$7)))))</f>
        <v>High</v>
      </c>
      <c r="Y78" s="153">
        <f>IF(OR(Q78="Cash",Q78="Receivable Investments",Q78="Payable Investments"),0,IF(Q78="Investments",VLOOKUP(R78,'LQA Stress'!E:Q,12,0),"Not Covered"))</f>
        <v>1.7</v>
      </c>
      <c r="Z78" s="75">
        <f>IF(OR(Q78="Cash",Q78="Receivable Investments",Q78="Payable Investments"),0,IF(Q78="Investments",VLOOKUP(R78,'LQA Stress'!E:Q,9,0),"Not Covered"))</f>
        <v>6.1168E-2</v>
      </c>
      <c r="AA78" s="13" t="str">
        <f>IF(T78="Comdty","High",IF(Y78&lt;='Liquidity Bucket'!$A$4,'Liquidity Bucket'!$I$4,IF(Y78&lt;='Liquidity Bucket'!$A$5,'Liquidity Bucket'!$I$5,IF(Y78&lt;='Liquidity Bucket'!$A$6,'Liquidity Bucket'!$I$6,IF(Y78='Liquidity Bucket'!$A$8,'Liquidity Bucket'!$I$8,'Liquidity Bucket'!$I$7)))))</f>
        <v>High</v>
      </c>
      <c r="AB78" s="14">
        <f>(N78+M78)/'FX Rates'!$C$5</f>
        <v>910929.26728586166</v>
      </c>
      <c r="AC78" s="15" t="str">
        <f>IF(X78="Not Covered", (H78/_xll.BDP(R78&amp;" FIGI",$AC$1)),"")</f>
        <v/>
      </c>
      <c r="AD78" s="16" t="str">
        <f>IF(X78="Not Covered", _xll.BDP(R78&amp;" FIGI",$AD$1),"")</f>
        <v/>
      </c>
      <c r="AE78" s="16" t="str">
        <f>IF(OR(T78="Corp",T78="Govt"),IF(_xll.BDP(R78&amp;" FIGI",$AE$1)="#N/A N/A","",_xll.BDP(R78&amp;" FIGI",$AE$1)),"")</f>
        <v>B+</v>
      </c>
      <c r="AF78" s="1" t="str">
        <f>IF(OR(T78="Corp",T78="Govt"),IF(_xll.BDP(R78&amp;" FIGI",$AF$1)="#N/A N/A","",_xll.BDP(R78&amp;" FIGI",$AF$1)),"")</f>
        <v/>
      </c>
      <c r="AG78" s="16" t="str">
        <f>IF(OR(T78="Corp",T78="Govt"),IF(_xll.BDP(R78&amp;" FIGI",$AG$1)="#N/A N/A","",_xll.BDP(R78&amp;" FIGI",$AG$1)),"")</f>
        <v>BB-</v>
      </c>
      <c r="AH78" s="125">
        <f>IF(OR(S78="Cash",S78="M-Mkt"),21,IF(AE78="",0,VLOOKUP(AE78,'Rating Scale'!A:B,2,0)))</f>
        <v>8</v>
      </c>
      <c r="AI78" s="125">
        <f>IF(OR(S78="Cash",S78="M-Mkt"),21,IF(AF78="",0,VLOOKUP(AF78,'Rating Scale'!D:E,2,0)))</f>
        <v>0</v>
      </c>
      <c r="AJ78" s="125">
        <f>IF(OR(S78="Cash",S78="M-Mkt"),21,IF(AG78="",0,VLOOKUP(AG78,'Rating Scale'!G:H,2,0)))</f>
        <v>9</v>
      </c>
      <c r="AK78">
        <f t="shared" si="10"/>
        <v>8</v>
      </c>
      <c r="AL78" s="1" t="str">
        <f>IF(OR(U78="Cash",U78="Cash Adjustments"),_xll.BDP(G78&amp;" Curncy","Country"),IF(T78="Equity",_xll.BDP(R78&amp;" FIGI","CNTRY_ISSUE_ISO"),_xll.BDP(R78&amp;" FIGI",$AL$1)))</f>
        <v>IN</v>
      </c>
      <c r="AM78" s="126" t="str">
        <f>IF(OR(T78="Cash",T78="Cash Adjustments",T78="M-Mkt"), T78, IF(T78="Comdty",AS78, _xll.BDP(R78&amp;" FIGI", $AM$1)))</f>
        <v>Utilities</v>
      </c>
      <c r="AN78" s="126" t="str">
        <f>IF(OR(T78="Cash",T78="Cash Adjustments",T78="M-Mkt"), T78,  IF(T78="Comdty",AS78,_xll.BDP(R78&amp;" FIGI", $AN$1)))</f>
        <v>Electric</v>
      </c>
      <c r="AO78" s="126" t="str">
        <f>IF(OR(T78="Cash",T78="Cash Adjustments",T78="M-Mkt"), T78,  IF(T78="Comdty",AS78,_xll.BDP(R78&amp;" FIGI", $AO$1)))</f>
        <v>Electric-Generation</v>
      </c>
      <c r="AP78" s="13" t="str">
        <f>IF(OR(T78="Cash",T78="Cash Adjustments"), T78, IF(_xll.BDP(R78&amp;" FIGI", $AP$1)="#N/A Field Not Applicable","N",_xll.BDP(R78&amp;" FIGI", $AP$1)))</f>
        <v>N</v>
      </c>
      <c r="AQ78" s="1" t="str">
        <f>IF(OR(T78="Cash",T78="Cash Adjustments"), T78, IF(_xll.BDP(R78&amp;" FIGI", $AQ$1)="#N/A Field Not Applicable"," ",_xll.BDP(R78&amp;" FIGI", $AQ$1)))</f>
        <v xml:space="preserve"> </v>
      </c>
      <c r="AR78" s="1" t="str">
        <f>IF(OR(T78="Cash",T78="Cash Adjustments"), T78, IF(_xll.BDP(R78&amp;" FIGI", $AR$1)="#N/A Field Not Applicable"," ",_xll.BDP(R78&amp;" FIGI", $AR$1)))</f>
        <v>ACTV</v>
      </c>
      <c r="AS78" s="1" t="str">
        <f>VLOOKUP(T78,'SFC Classifcation'!$F$2:$H$7,3,0)</f>
        <v>Corporate</v>
      </c>
      <c r="AT78" s="22" t="str">
        <f t="shared" si="12"/>
        <v>Non-Financial</v>
      </c>
      <c r="AU78" s="1" t="str">
        <f t="shared" si="13"/>
        <v>Non-Investment Grade</v>
      </c>
      <c r="AV78" s="1" t="str">
        <f>IF(OR(T78="Cash",T78="Cash Adjustments"),T78,VLOOKUP(AL78,'SFC Classifcation'!$A:$C,3,0))</f>
        <v>India</v>
      </c>
      <c r="AW78" s="22" t="str">
        <f t="shared" si="14"/>
        <v>High</v>
      </c>
      <c r="AX78" s="22" t="str">
        <f t="shared" si="15"/>
        <v>High</v>
      </c>
      <c r="AY78" s="45" t="str">
        <f>IF(OR(T78="Cash",T78="Cash Adjustments"), T78, _xll.BDP(R78&amp;" FIGI", $AY$1))</f>
        <v>#N/A Field Not Applicable</v>
      </c>
      <c r="AZ78" s="45" t="str">
        <f>IF(OR(T78="Cash",T78="Cash Adjustments"), T78, _xll.BDP(R78&amp;" FIGI", $AZ$1))</f>
        <v>SPECIAL PURPOSE</v>
      </c>
      <c r="BA78" s="45" t="str">
        <f>IF(OR(T78="Cash",T78="Cash Adjustments"), T78, _xll.BDP(R78&amp;" FIGI", $BA$1))</f>
        <v>#N/A Field Not Applicable</v>
      </c>
      <c r="BB78" s="16">
        <f>IF(OR(AS78="Government",AS78="Corporate"),(AK78*AB78/'SFC Report'!$C$20),"")</f>
        <v>1.3239519823249975E-2</v>
      </c>
      <c r="BC78" s="174" t="str">
        <f>IF(OR(T78="Cash",T78="Cash Adjustments", T78="FX Forward", T78="Repo", T78="Equity", T78="M-Mkt"), "", _xll.BDP(R78&amp;" FIGI", $BC$1))</f>
        <v>8/16/2023</v>
      </c>
      <c r="BD78" s="125">
        <f ca="1">IF(OR(T78="Cash",T78="Cash Adjustments",T78="FX Forward",T78="Repo", T78="Equity", T78="M-Mkt"),"",(BC78-'SFC Report'!$B$13)/365)</f>
        <v>3.2958904109589042</v>
      </c>
      <c r="BE78" s="82" t="str">
        <f t="shared" ca="1" si="9"/>
        <v>3 - 5 yrs</v>
      </c>
      <c r="BF78" s="5">
        <f ca="1">IF(BC78="","",BD78*AB78/'SFC Report'!$C$20)</f>
        <v>5.4545008038937399E-3</v>
      </c>
      <c r="BG78" s="14" cm="1">
        <f t="array" ref="BG78">IF(OR(AS78="Corporate",AS78="Government"),_xll.BDP(G78&amp;" ISIN", $BG$1),"")</f>
        <v>2.8847837432149634</v>
      </c>
      <c r="BH78" s="140">
        <f>IF(OR(AS78="Corporate",AS78="Government"),BG78*BN78/'SFC Report'!$C$20,"")</f>
        <v>4.7741439442604717E-3</v>
      </c>
      <c r="BI78" s="140">
        <f>IF(OR(AS78="Corporate",AS78="Government"),_xll.BDP(G78&amp;" ISIN", $BI$1),"")</f>
        <v>6.1442334231757121</v>
      </c>
      <c r="BJ78" s="140">
        <f>IF(OR(AS78="Corporate",AS78="Government"),BI78*AB78/'SFC Report'!$C$20,"")</f>
        <v>1.0168337525601237E-2</v>
      </c>
      <c r="BK78" s="153" t="str">
        <f>IF(OR(T78="Cash",T78="Cash Adjustments"),"-",_xll.BDP(R78&amp;" FIGI",$BK$1))</f>
        <v>USV3854PAA94</v>
      </c>
      <c r="BL78" s="11" t="str">
        <f>IF(OR(AS78="Cash", AS78="Cash Adjustments"),"-",IF(ISNA(VLOOKUP(BK78,'BBG - VaR Data (Sample, Indus )'!C:N,5,0)),"-",VLOOKUP(BK78,'BBG - VaR Data (Sample, Indus )'!C:N,5,0)))</f>
        <v>-</v>
      </c>
      <c r="BM78" s="11">
        <f>IF(OR(AS78="Cash", AS78="Cash Adjustments"),"-",IF(ISNA(VLOOKUP(BK78,'BBG - Scenarios (Sample View)'!C:Z,14,0)),"-",VLOOKUP(BK78,'BBG - Scenarios (Sample View)'!C:Z,14,0)))</f>
        <v>-3.34</v>
      </c>
      <c r="BN78" s="14">
        <f t="shared" si="16"/>
        <v>910929.26728586166</v>
      </c>
      <c r="BO78" s="1">
        <f t="shared" si="17"/>
        <v>1.7869233700791251E-3</v>
      </c>
      <c r="BP78" t="str">
        <f>IF(BC78&lt;&gt;0,MaturityBucket(BG78),"")</f>
        <v>2 - 3 yrs</v>
      </c>
      <c r="BQ78" s="11" t="str">
        <f>IF(OR(T78="Cash",T78="Cash Adjustments"),T78,VLOOKUP(AL78,'SFC Classifcation'!$A:$C,2,0))</f>
        <v>India</v>
      </c>
      <c r="BR78" s="1" t="e">
        <f>IF(S78="Bond",BH78/'SFC Report'!$B$7,"")</f>
        <v>#VALUE!</v>
      </c>
      <c r="BS78" t="str">
        <f>IF(OR(T78="Cash",T78="Cash Adjustments"),"-",_xll.BDP(R78&amp;" FIGI",$BS$1))</f>
        <v>8/2/2016</v>
      </c>
      <c r="BT78" t="str">
        <f>IF(OR(T78="Cash",T78="Cash Adjustments"),"-",_xll.BDP(R78&amp;" FIGI",$BT$1))</f>
        <v>#N/A N/A</v>
      </c>
      <c r="BU78" t="str">
        <f>IF(OR(T78="Cash",T78="Cash Adjustments"),"-",_xll.BDP(R78&amp;" FIGI",$BU$1))</f>
        <v>7/27/2018</v>
      </c>
    </row>
    <row r="79" spans="1:73">
      <c r="A79" s="254" t="s">
        <v>15</v>
      </c>
      <c r="B79" s="254" t="s">
        <v>25</v>
      </c>
      <c r="C79" s="254" t="s">
        <v>46</v>
      </c>
      <c r="D79" s="254" t="s">
        <v>22</v>
      </c>
      <c r="E79" s="254"/>
      <c r="F79" s="254" t="s">
        <v>74</v>
      </c>
      <c r="G79" s="254" t="s">
        <v>75</v>
      </c>
      <c r="H79" s="270">
        <v>9600000</v>
      </c>
      <c r="I79" s="270">
        <v>98.197000000000003</v>
      </c>
      <c r="J79" s="270">
        <v>9969669.7400000002</v>
      </c>
      <c r="K79" s="270">
        <v>78100334.280000001</v>
      </c>
      <c r="L79" s="270">
        <v>-5039880.87</v>
      </c>
      <c r="M79" s="270">
        <v>1376952.2</v>
      </c>
      <c r="N79" s="270">
        <v>73060453.409999996</v>
      </c>
      <c r="O79" s="255">
        <v>1.61E-2</v>
      </c>
      <c r="P79" s="1"/>
      <c r="Q79" s="1" t="str">
        <f t="shared" si="11"/>
        <v>Investments</v>
      </c>
      <c r="R79" s="1" t="str">
        <f>_xll.BDP(G79&amp;" ISIN",$R$1)</f>
        <v>BBG00N6M20C8</v>
      </c>
      <c r="S79" s="1" t="str">
        <f>IF(Q79="Cash",Q79,IF(OR(Q79="Receivable Investments",Q79="Payable Investments"),"Cash Adjustments",_xll.BDP(R79&amp;" FIGI",$S$1)))</f>
        <v>BOND</v>
      </c>
      <c r="T79" s="1" t="str">
        <f>IF(Q79="Cash",Q79,IF(OR(Q79="Receivable Investments",Q79="Payable Investments"),"Cash Adjustments",VLOOKUP(R79,LQA!E:S,3,0)))</f>
        <v>Corp</v>
      </c>
      <c r="U79" s="1" t="str">
        <f>IF(Q79="Cash",Q79,IF(OR(Q79="Receivable Investments",Q79="Payable Investments"),"Cash Adjustments",_xll.BDP(R79&amp;" FIGI",$U$1)))</f>
        <v>#N/A Field Not Applicable</v>
      </c>
      <c r="V79" s="10">
        <f>IF(OR(Q79="Cash",Q79="Receivable Investments",Q79="Payable Investments"),0,IF(Q79="Investments",VLOOKUP(R79,LQA!E:Q,12,0),"Not Covered"))</f>
        <v>2</v>
      </c>
      <c r="W79" s="76">
        <f>IF(OR(Q79="Cash",Q79="Receivable Investments",Q79="Payable Investments"),0,IF(Q79="Investments",VLOOKUP(R79,LQA!E:Q,9,0),"Not Covered"))</f>
        <v>5.8060000000000004E-3</v>
      </c>
      <c r="X79" s="13" t="str">
        <f>IF(OR(H79=0,T79="Comdty"),"High",IF(V79&lt;='Liquidity Bucket'!$A$4,'Liquidity Bucket'!$I$4,IF(V79&lt;='Liquidity Bucket'!$A$5,'Liquidity Bucket'!$I$5,IF(V79&lt;='Liquidity Bucket'!$A$6,'Liquidity Bucket'!$I$6,IF(V79='Liquidity Bucket'!$A$8,'Liquidity Bucket'!$I$8,'Liquidity Bucket'!$I$7)))))</f>
        <v>High</v>
      </c>
      <c r="Y79" s="153">
        <f>IF(OR(Q79="Cash",Q79="Receivable Investments",Q79="Payable Investments"),0,IF(Q79="Investments",VLOOKUP(R79,'LQA Stress'!E:Q,12,0),"Not Covered"))</f>
        <v>6</v>
      </c>
      <c r="Z79" s="75">
        <f>IF(OR(Q79="Cash",Q79="Receivable Investments",Q79="Payable Investments"),0,IF(Q79="Investments",VLOOKUP(R79,'LQA Stress'!E:Q,9,0),"Not Covered"))</f>
        <v>1.4616000000000001E-2</v>
      </c>
      <c r="AA79" s="13" t="str">
        <f>IF(T79="Comdty","High",IF(Y79&lt;='Liquidity Bucket'!$A$4,'Liquidity Bucket'!$I$4,IF(Y79&lt;='Liquidity Bucket'!$A$5,'Liquidity Bucket'!$I$5,IF(Y79&lt;='Liquidity Bucket'!$A$6,'Liquidity Bucket'!$I$6,IF(Y79='Liquidity Bucket'!$A$8,'Liquidity Bucket'!$I$8,'Liquidity Bucket'!$I$7)))))</f>
        <v>Medium</v>
      </c>
      <c r="AB79" s="14">
        <f>(N79+M79)/'FX Rates'!$C$5</f>
        <v>9602348.5049019605</v>
      </c>
      <c r="AC79" s="15" t="str">
        <f>IF(X79="Not Covered", (H79/_xll.BDP(R79&amp;" FIGI",$AC$1)),"")</f>
        <v/>
      </c>
      <c r="AD79" s="16" t="str">
        <f>IF(X79="Not Covered", _xll.BDP(R79&amp;" FIGI",$AD$1),"")</f>
        <v/>
      </c>
      <c r="AE79" s="16" t="str">
        <f>IF(OR(T79="Corp",T79="Govt"),IF(_xll.BDP(R79&amp;" FIGI",$AE$1)="#N/A N/A","",_xll.BDP(R79&amp;" FIGI",$AE$1)),"")</f>
        <v/>
      </c>
      <c r="AF79" s="1" t="str">
        <f>IF(OR(T79="Corp",T79="Govt"),IF(_xll.BDP(R79&amp;" FIGI",$AF$1)="#N/A N/A","",_xll.BDP(R79&amp;" FIGI",$AF$1)),"")</f>
        <v>Ba3</v>
      </c>
      <c r="AG79" s="16" t="str">
        <f>IF(OR(T79="Corp",T79="Govt"),IF(_xll.BDP(R79&amp;" FIGI",$AG$1)="#N/A N/A","",_xll.BDP(R79&amp;" FIGI",$AG$1)),"")</f>
        <v/>
      </c>
      <c r="AH79" s="125">
        <f>IF(OR(S79="Cash",S79="M-Mkt"),21,IF(AE79="",0,VLOOKUP(AE79,'Rating Scale'!A:B,2,0)))</f>
        <v>0</v>
      </c>
      <c r="AI79" s="125">
        <f>IF(OR(S79="Cash",S79="M-Mkt"),21,IF(AF79="",0,VLOOKUP(AF79,'Rating Scale'!D:E,2,0)))</f>
        <v>9</v>
      </c>
      <c r="AJ79" s="125">
        <f>IF(OR(S79="Cash",S79="M-Mkt"),21,IF(AG79="",0,VLOOKUP(AG79,'Rating Scale'!G:H,2,0)))</f>
        <v>0</v>
      </c>
      <c r="AK79">
        <f t="shared" si="10"/>
        <v>9</v>
      </c>
      <c r="AL79" s="1" t="str">
        <f>IF(OR(U79="Cash",U79="Cash Adjustments"),_xll.BDP(G79&amp;" Curncy","Country"),IF(T79="Equity",_xll.BDP(R79&amp;" FIGI","CNTRY_ISSUE_ISO"),_xll.BDP(R79&amp;" FIGI",$AL$1)))</f>
        <v>CN</v>
      </c>
      <c r="AM79" s="126" t="str">
        <f>IF(OR(T79="Cash",T79="Cash Adjustments",T79="M-Mkt"), T79, IF(T79="Comdty",AS79, _xll.BDP(R79&amp;" FIGI", $AM$1)))</f>
        <v>Financial</v>
      </c>
      <c r="AN79" s="126" t="str">
        <f>IF(OR(T79="Cash",T79="Cash Adjustments",T79="M-Mkt"), T79,  IF(T79="Comdty",AS79,_xll.BDP(R79&amp;" FIGI", $AN$1)))</f>
        <v>Real Estate</v>
      </c>
      <c r="AO79" s="126" t="str">
        <f>IF(OR(T79="Cash",T79="Cash Adjustments",T79="M-Mkt"), T79,  IF(T79="Comdty",AS79,_xll.BDP(R79&amp;" FIGI", $AO$1)))</f>
        <v>Real Estate Oper/Develop</v>
      </c>
      <c r="AP79" s="13" t="str">
        <f>IF(OR(T79="Cash",T79="Cash Adjustments"), T79, IF(_xll.BDP(R79&amp;" FIGI", $AP$1)="#N/A Field Not Applicable","N",_xll.BDP(R79&amp;" FIGI", $AP$1)))</f>
        <v>N</v>
      </c>
      <c r="AQ79" s="1" t="str">
        <f>IF(OR(T79="Cash",T79="Cash Adjustments"), T79, IF(_xll.BDP(R79&amp;" FIGI", $AQ$1)="#N/A Field Not Applicable"," ",_xll.BDP(R79&amp;" FIGI", $AQ$1)))</f>
        <v xml:space="preserve"> </v>
      </c>
      <c r="AR79" s="1" t="str">
        <f>IF(OR(T79="Cash",T79="Cash Adjustments"), T79, IF(_xll.BDP(R79&amp;" FIGI", $AR$1)="#N/A Field Not Applicable"," ",_xll.BDP(R79&amp;" FIGI", $AR$1)))</f>
        <v>ACTV</v>
      </c>
      <c r="AS79" s="1" t="str">
        <f>VLOOKUP(T79,'SFC Classifcation'!$F$2:$H$7,3,0)</f>
        <v>Corporate</v>
      </c>
      <c r="AT79" s="22" t="str">
        <f t="shared" si="12"/>
        <v>Financial</v>
      </c>
      <c r="AU79" s="1" t="str">
        <f t="shared" si="13"/>
        <v>Non-Investment Grade</v>
      </c>
      <c r="AV79" s="1" t="str">
        <f>IF(OR(T79="Cash",T79="Cash Adjustments"),T79,VLOOKUP(AL79,'SFC Classifcation'!$A:$C,3,0))</f>
        <v>China</v>
      </c>
      <c r="AW79" s="22" t="str">
        <f t="shared" si="14"/>
        <v>High</v>
      </c>
      <c r="AX79" s="22" t="str">
        <f t="shared" si="15"/>
        <v>Medium</v>
      </c>
      <c r="AY79" s="45" t="str">
        <f>IF(OR(T79="Cash",T79="Cash Adjustments"), T79, _xll.BDP(R79&amp;" FIGI", $AY$1))</f>
        <v>#N/A Field Not Applicable</v>
      </c>
      <c r="AZ79" s="45" t="str">
        <f>IF(OR(T79="Cash",T79="Cash Adjustments"), T79, _xll.BDP(R79&amp;" FIGI", $AZ$1))</f>
        <v>SPECIAL PURPOSE</v>
      </c>
      <c r="BA79" s="45" t="str">
        <f>IF(OR(T79="Cash",T79="Cash Adjustments"), T79, _xll.BDP(R79&amp;" FIGI", $BA$1))</f>
        <v>#N/A Field Not Applicable</v>
      </c>
      <c r="BB79" s="16">
        <f>IF(OR(AS79="Government",AS79="Corporate"),(AK79*AB79/'SFC Report'!$C$20),"")</f>
        <v>0.15700647562800579</v>
      </c>
      <c r="BC79" s="174" t="str">
        <f>IF(OR(T79="Cash",T79="Cash Adjustments", T79="FX Forward", T79="Repo", T79="Equity", T79="M-Mkt"), "", _xll.BDP(R79&amp;" FIGI", $BC$1))</f>
        <v>8/8/2168</v>
      </c>
      <c r="BD79" s="125">
        <f ca="1">IF(OR(T79="Cash",T79="Cash Adjustments",T79="FX Forward",T79="Repo", T79="Equity", T79="M-Mkt"),"",(BC79-'SFC Report'!$B$13)/365)</f>
        <v>148.37260273972603</v>
      </c>
      <c r="BE79" s="82" t="str">
        <f t="shared" ca="1" si="9"/>
        <v>10 yrs or Above</v>
      </c>
      <c r="BF79" s="5">
        <f ca="1">IF(BC79="","",BD79*AB79/'SFC Report'!$C$20)</f>
        <v>2.5883843817687309</v>
      </c>
      <c r="BG79" s="14" cm="1">
        <f t="array" ref="BG79">IF(OR(AS79="Corporate",AS79="Government"),_xll.BDP(G79&amp;" ISIN", $BG$1),"")</f>
        <v>1.5200710621548255</v>
      </c>
      <c r="BH79" s="140">
        <f>IF(OR(AS79="Corporate",AS79="Government"),BG79*BN79/'SFC Report'!$C$20,"")</f>
        <v>2.6517888908116499E-2</v>
      </c>
      <c r="BI79" s="140">
        <f>IF(OR(AS79="Corporate",AS79="Government"),_xll.BDP(G79&amp;" ISIN", $BI$1),"")</f>
        <v>10.390775141883507</v>
      </c>
      <c r="BJ79" s="140">
        <f>IF(OR(AS79="Corporate",AS79="Government"),BI79*AB79/'SFC Report'!$C$20,"")</f>
        <v>0.18126877600780239</v>
      </c>
      <c r="BK79" s="153" t="str">
        <f>IF(OR(T79="Cash",T79="Cash Adjustments"),"-",_xll.BDP(R79&amp;" FIGI",$BK$1))</f>
        <v>XS1940394502</v>
      </c>
      <c r="BL79" s="11" t="str">
        <f>IF(OR(AS79="Cash", AS79="Cash Adjustments"),"-",IF(ISNA(VLOOKUP(BK79,'BBG - VaR Data (Sample, Indus )'!C:N,5,0)),"-",VLOOKUP(BK79,'BBG - VaR Data (Sample, Indus )'!C:N,5,0)))</f>
        <v>-</v>
      </c>
      <c r="BM79" s="11">
        <f>IF(OR(AS79="Cash", AS79="Cash Adjustments"),"-",IF(ISNA(VLOOKUP(BK79,'BBG - Scenarios (Sample View)'!C:Z,14,0)),"-",VLOOKUP(BK79,'BBG - Scenarios (Sample View)'!C:Z,14,0)))</f>
        <v>-3.53</v>
      </c>
      <c r="BN79" s="14">
        <f t="shared" si="16"/>
        <v>9602348.5049019605</v>
      </c>
      <c r="BO79" s="1">
        <f t="shared" si="17"/>
        <v>1.8836436117788107E-2</v>
      </c>
      <c r="BP79" t="str">
        <f>IF(BC79&lt;&gt;0,MaturityBucket(BG79),"")</f>
        <v>1 - 2 yrs</v>
      </c>
      <c r="BQ79" s="11" t="str">
        <f>IF(OR(T79="Cash",T79="Cash Adjustments"),T79,VLOOKUP(AL79,'SFC Classifcation'!$A:$C,2,0))</f>
        <v>China</v>
      </c>
      <c r="BR79" s="1" t="e">
        <f>IF(S79="Bond",BH79/'SFC Report'!$B$7,"")</f>
        <v>#VALUE!</v>
      </c>
      <c r="BS79" t="str">
        <f>IF(OR(T79="Cash",T79="Cash Adjustments"),"-",_xll.BDP(R79&amp;" FIGI",$BS$1))</f>
        <v>#N/A N/A</v>
      </c>
      <c r="BT79" t="str">
        <f>IF(OR(T79="Cash",T79="Cash Adjustments"),"-",_xll.BDP(R79&amp;" FIGI",$BT$1))</f>
        <v>1/25/2019</v>
      </c>
      <c r="BU79" t="str">
        <f>IF(OR(T79="Cash",T79="Cash Adjustments"),"-",_xll.BDP(R79&amp;" FIGI",$BU$1))</f>
        <v>#N/A N/A</v>
      </c>
    </row>
    <row r="80" spans="1:73">
      <c r="A80" s="254" t="s">
        <v>15</v>
      </c>
      <c r="B80" s="254" t="s">
        <v>25</v>
      </c>
      <c r="C80" s="254" t="s">
        <v>46</v>
      </c>
      <c r="D80" s="254" t="s">
        <v>22</v>
      </c>
      <c r="E80" s="254"/>
      <c r="F80" s="254" t="s">
        <v>1309</v>
      </c>
      <c r="G80" s="254" t="s">
        <v>1310</v>
      </c>
      <c r="H80" s="270">
        <v>400000</v>
      </c>
      <c r="I80" s="270">
        <v>89.593999999999994</v>
      </c>
      <c r="J80" s="270">
        <v>304000</v>
      </c>
      <c r="K80" s="270">
        <v>2356699.2000000002</v>
      </c>
      <c r="L80" s="270">
        <v>420786.48</v>
      </c>
      <c r="M80" s="270">
        <v>43401.120000000003</v>
      </c>
      <c r="N80" s="270">
        <v>2777485.68</v>
      </c>
      <c r="O80" s="255">
        <v>5.9999999999999995E-4</v>
      </c>
      <c r="P80" s="1"/>
      <c r="Q80" s="1" t="str">
        <f t="shared" si="11"/>
        <v>Investments</v>
      </c>
      <c r="R80" s="1" t="str">
        <f>_xll.BDP(G80&amp;" ISIN",$R$1)</f>
        <v>BBG00H5KNJZ7</v>
      </c>
      <c r="S80" s="1" t="str">
        <f>IF(Q80="Cash",Q80,IF(OR(Q80="Receivable Investments",Q80="Payable Investments"),"Cash Adjustments",_xll.BDP(R80&amp;" FIGI",$S$1)))</f>
        <v>BOND</v>
      </c>
      <c r="T80" s="1" t="str">
        <f>IF(Q80="Cash",Q80,IF(OR(Q80="Receivable Investments",Q80="Payable Investments"),"Cash Adjustments",VLOOKUP(R80,LQA!E:S,3,0)))</f>
        <v>Corp</v>
      </c>
      <c r="U80" s="1" t="str">
        <f>IF(Q80="Cash",Q80,IF(OR(Q80="Receivable Investments",Q80="Payable Investments"),"Cash Adjustments",_xll.BDP(R80&amp;" FIGI",$U$1)))</f>
        <v>#N/A Field Not Applicable</v>
      </c>
      <c r="V80" s="10">
        <f>IF(OR(Q80="Cash",Q80="Receivable Investments",Q80="Payable Investments"),0,IF(Q80="Investments",VLOOKUP(R80,LQA!E:Q,12,0),"Not Covered"))</f>
        <v>0.2</v>
      </c>
      <c r="W80" s="76">
        <f>IF(OR(Q80="Cash",Q80="Receivable Investments",Q80="Payable Investments"),0,IF(Q80="Investments",VLOOKUP(R80,LQA!E:Q,9,0),"Not Covered"))</f>
        <v>2.3300999999999999E-2</v>
      </c>
      <c r="X80" s="13" t="str">
        <f>IF(OR(H80=0,T80="Comdty"),"High",IF(V80&lt;='Liquidity Bucket'!$A$4,'Liquidity Bucket'!$I$4,IF(V80&lt;='Liquidity Bucket'!$A$5,'Liquidity Bucket'!$I$5,IF(V80&lt;='Liquidity Bucket'!$A$6,'Liquidity Bucket'!$I$6,IF(V80='Liquidity Bucket'!$A$8,'Liquidity Bucket'!$I$8,'Liquidity Bucket'!$I$7)))))</f>
        <v>High</v>
      </c>
      <c r="Y80" s="153">
        <f>IF(OR(Q80="Cash",Q80="Receivable Investments",Q80="Payable Investments"),0,IF(Q80="Investments",VLOOKUP(R80,'LQA Stress'!E:Q,12,0),"Not Covered"))</f>
        <v>1.2</v>
      </c>
      <c r="Z80" s="75">
        <f>IF(OR(Q80="Cash",Q80="Receivable Investments",Q80="Payable Investments"),0,IF(Q80="Investments",VLOOKUP(R80,'LQA Stress'!E:Q,9,0),"Not Covered"))</f>
        <v>6.3492999999999994E-2</v>
      </c>
      <c r="AA80" s="13" t="str">
        <f>IF(T80="Comdty","High",IF(Y80&lt;='Liquidity Bucket'!$A$4,'Liquidity Bucket'!$I$4,IF(Y80&lt;='Liquidity Bucket'!$A$5,'Liquidity Bucket'!$I$5,IF(Y80&lt;='Liquidity Bucket'!$A$6,'Liquidity Bucket'!$I$6,IF(Y80='Liquidity Bucket'!$A$8,'Liquidity Bucket'!$I$8,'Liquidity Bucket'!$I$7)))))</f>
        <v>High</v>
      </c>
      <c r="AB80" s="14">
        <f>(N80+M80)/'FX Rates'!$C$5</f>
        <v>363891.4860681115</v>
      </c>
      <c r="AC80" s="15" t="str">
        <f>IF(X80="Not Covered", (H80/_xll.BDP(R80&amp;" FIGI",$AC$1)),"")</f>
        <v/>
      </c>
      <c r="AD80" s="16" t="str">
        <f>IF(X80="Not Covered", _xll.BDP(R80&amp;" FIGI",$AD$1),"")</f>
        <v/>
      </c>
      <c r="AE80" s="16" t="str">
        <f>IF(OR(T80="Corp",T80="Govt"),IF(_xll.BDP(R80&amp;" FIGI",$AE$1)="#N/A N/A","",_xll.BDP(R80&amp;" FIGI",$AE$1)),"")</f>
        <v/>
      </c>
      <c r="AF80" s="1" t="str">
        <f>IF(OR(T80="Corp",T80="Govt"),IF(_xll.BDP(R80&amp;" FIGI",$AF$1)="#N/A N/A","",_xll.BDP(R80&amp;" FIGI",$AF$1)),"")</f>
        <v>Ba1</v>
      </c>
      <c r="AG80" s="16" t="str">
        <f>IF(OR(T80="Corp",T80="Govt"),IF(_xll.BDP(R80&amp;" FIGI",$AG$1)="#N/A N/A","",_xll.BDP(R80&amp;" FIGI",$AG$1)),"")</f>
        <v>BB</v>
      </c>
      <c r="AH80" s="125">
        <f>IF(OR(S80="Cash",S80="M-Mkt"),21,IF(AE80="",0,VLOOKUP(AE80,'Rating Scale'!A:B,2,0)))</f>
        <v>0</v>
      </c>
      <c r="AI80" s="125">
        <f>IF(OR(S80="Cash",S80="M-Mkt"),21,IF(AF80="",0,VLOOKUP(AF80,'Rating Scale'!D:E,2,0)))</f>
        <v>11</v>
      </c>
      <c r="AJ80" s="125">
        <f>IF(OR(S80="Cash",S80="M-Mkt"),21,IF(AG80="",0,VLOOKUP(AG80,'Rating Scale'!G:H,2,0)))</f>
        <v>10</v>
      </c>
      <c r="AK80">
        <f t="shared" si="10"/>
        <v>10</v>
      </c>
      <c r="AL80" s="1" t="str">
        <f>IF(OR(U80="Cash",U80="Cash Adjustments"),_xll.BDP(G80&amp;" Curncy","Country"),IF(T80="Equity",_xll.BDP(R80&amp;" FIGI","CNTRY_ISSUE_ISO"),_xll.BDP(R80&amp;" FIGI",$AL$1)))</f>
        <v>IN</v>
      </c>
      <c r="AM80" s="126" t="str">
        <f>IF(OR(T80="Cash",T80="Cash Adjustments",T80="M-Mkt"), T80, IF(T80="Comdty",AS80, _xll.BDP(R80&amp;" FIGI", $AM$1)))</f>
        <v>Energy</v>
      </c>
      <c r="AN80" s="126" t="str">
        <f>IF(OR(T80="Cash",T80="Cash Adjustments",T80="M-Mkt"), T80,  IF(T80="Comdty",AS80,_xll.BDP(R80&amp;" FIGI", $AN$1)))</f>
        <v>Energy-Alternate Sources</v>
      </c>
      <c r="AO80" s="126" t="str">
        <f>IF(OR(T80="Cash",T80="Cash Adjustments",T80="M-Mkt"), T80,  IF(T80="Comdty",AS80,_xll.BDP(R80&amp;" FIGI", $AO$1)))</f>
        <v>Energy-Alternate Sources</v>
      </c>
      <c r="AP80" s="13" t="str">
        <f>IF(OR(T80="Cash",T80="Cash Adjustments"), T80, IF(_xll.BDP(R80&amp;" FIGI", $AP$1)="#N/A Field Not Applicable","N",_xll.BDP(R80&amp;" FIGI", $AP$1)))</f>
        <v>N</v>
      </c>
      <c r="AQ80" s="1" t="str">
        <f>IF(OR(T80="Cash",T80="Cash Adjustments"), T80, IF(_xll.BDP(R80&amp;" FIGI", $AQ$1)="#N/A Field Not Applicable"," ",_xll.BDP(R80&amp;" FIGI", $AQ$1)))</f>
        <v xml:space="preserve"> </v>
      </c>
      <c r="AR80" s="1" t="str">
        <f>IF(OR(T80="Cash",T80="Cash Adjustments"), T80, IF(_xll.BDP(R80&amp;" FIGI", $AR$1)="#N/A Field Not Applicable"," ",_xll.BDP(R80&amp;" FIGI", $AR$1)))</f>
        <v>ACTV</v>
      </c>
      <c r="AS80" s="1" t="str">
        <f>VLOOKUP(T80,'SFC Classifcation'!$F$2:$H$7,3,0)</f>
        <v>Corporate</v>
      </c>
      <c r="AT80" s="22" t="str">
        <f t="shared" si="12"/>
        <v>Non-Financial</v>
      </c>
      <c r="AU80" s="1" t="str">
        <f t="shared" si="13"/>
        <v>Non-Investment Grade</v>
      </c>
      <c r="AV80" s="1" t="str">
        <f>IF(OR(T80="Cash",T80="Cash Adjustments"),T80,VLOOKUP(AL80,'SFC Classifcation'!$A:$C,3,0))</f>
        <v>India</v>
      </c>
      <c r="AW80" s="22" t="str">
        <f t="shared" si="14"/>
        <v>High</v>
      </c>
      <c r="AX80" s="22" t="str">
        <f t="shared" si="15"/>
        <v>High</v>
      </c>
      <c r="AY80" s="45" t="str">
        <f>IF(OR(T80="Cash",T80="Cash Adjustments"), T80, _xll.BDP(R80&amp;" FIGI", $AY$1))</f>
        <v>#N/A Field Not Applicable</v>
      </c>
      <c r="AZ80" s="45" t="str">
        <f>IF(OR(T80="Cash",T80="Cash Adjustments"), T80, _xll.BDP(R80&amp;" FIGI", $AZ$1))</f>
        <v>SPECIAL PURPOSE</v>
      </c>
      <c r="BA80" s="45" t="str">
        <f>IF(OR(T80="Cash",T80="Cash Adjustments"), T80, _xll.BDP(R80&amp;" FIGI", $BA$1))</f>
        <v>#N/A Field Not Applicable</v>
      </c>
      <c r="BB80" s="16">
        <f>IF(OR(AS80="Government",AS80="Corporate"),(AK80*AB80/'SFC Report'!$C$20),"")</f>
        <v>6.6110354507343721E-3</v>
      </c>
      <c r="BC80" s="174" t="str">
        <f>IF(OR(T80="Cash",T80="Cash Adjustments", T80="FX Forward", T80="Repo", T80="Equity", T80="M-Mkt"), "", _xll.BDP(R80&amp;" FIGI", $BC$1))</f>
        <v>7/24/2024</v>
      </c>
      <c r="BD80" s="125">
        <f ca="1">IF(OR(T80="Cash",T80="Cash Adjustments",T80="FX Forward",T80="Repo", T80="Equity", T80="M-Mkt"),"",(BC80-'SFC Report'!$B$13)/365)</f>
        <v>4.2356164383561641</v>
      </c>
      <c r="BE80" s="82" t="str">
        <f t="shared" ca="1" si="9"/>
        <v>3 - 5 yrs</v>
      </c>
      <c r="BF80" s="5">
        <f ca="1">IF(BC80="","",BD80*AB80/'SFC Report'!$C$20)</f>
        <v>2.8001810429685863E-3</v>
      </c>
      <c r="BG80" s="14" cm="1">
        <f t="array" ref="BG80">IF(OR(AS80="Corporate",AS80="Government"),_xll.BDP(G80&amp;" ISIN", $BG$1),"")</f>
        <v>3.6023496920621567</v>
      </c>
      <c r="BH80" s="140">
        <f>IF(OR(AS80="Corporate",AS80="Government"),BG80*BN80/'SFC Report'!$C$20,"")</f>
        <v>2.3815261520164972E-3</v>
      </c>
      <c r="BI80" s="140">
        <f>IF(OR(AS80="Corporate",AS80="Government"),_xll.BDP(G80&amp;" ISIN", $BI$1),"")</f>
        <v>6.2148235247665342</v>
      </c>
      <c r="BJ80" s="140">
        <f>IF(OR(AS80="Corporate",AS80="Government"),BI80*AB80/'SFC Report'!$C$20,"")</f>
        <v>4.1086418642289511E-3</v>
      </c>
      <c r="BK80" s="153" t="str">
        <f>IF(OR(T80="Cash",T80="Cash Adjustments"),"-",_xll.BDP(R80&amp;" FIGI",$BK$1))</f>
        <v>USN3700LAB10</v>
      </c>
      <c r="BL80" s="11" t="str">
        <f>IF(OR(AS80="Cash", AS80="Cash Adjustments"),"-",IF(ISNA(VLOOKUP(BK80,'BBG - VaR Data (Sample, Indus )'!C:N,5,0)),"-",VLOOKUP(BK80,'BBG - VaR Data (Sample, Indus )'!C:N,5,0)))</f>
        <v>-</v>
      </c>
      <c r="BM80" s="11">
        <f>IF(OR(AS80="Cash", AS80="Cash Adjustments"),"-",IF(ISNA(VLOOKUP(BK80,'BBG - Scenarios (Sample View)'!C:Z,14,0)),"-",VLOOKUP(BK80,'BBG - Scenarios (Sample View)'!C:Z,14,0)))</f>
        <v>-3.96</v>
      </c>
      <c r="BN80" s="14">
        <f t="shared" si="16"/>
        <v>363891.4860681115</v>
      </c>
      <c r="BO80" s="1">
        <f t="shared" si="17"/>
        <v>7.1382732335009604E-4</v>
      </c>
      <c r="BP80" t="str">
        <f>IF(BC80&lt;&gt;0,MaturityBucket(BG80),"")</f>
        <v>3 - 5 yrs</v>
      </c>
      <c r="BQ80" s="11" t="str">
        <f>IF(OR(T80="Cash",T80="Cash Adjustments"),T80,VLOOKUP(AL80,'SFC Classifcation'!$A:$C,2,0))</f>
        <v>India</v>
      </c>
      <c r="BR80" s="1" t="e">
        <f>IF(S80="Bond",BH80/'SFC Report'!$B$7,"")</f>
        <v>#VALUE!</v>
      </c>
      <c r="BS80" t="str">
        <f>IF(OR(T80="Cash",T80="Cash Adjustments"),"-",_xll.BDP(R80&amp;" FIGI",$BS$1))</f>
        <v>#N/A N/A</v>
      </c>
      <c r="BT80" t="str">
        <f>IF(OR(T80="Cash",T80="Cash Adjustments"),"-",_xll.BDP(R80&amp;" FIGI",$BT$1))</f>
        <v>7/15/2019</v>
      </c>
      <c r="BU80" t="str">
        <f>IF(OR(T80="Cash",T80="Cash Adjustments"),"-",_xll.BDP(R80&amp;" FIGI",$BU$1))</f>
        <v>7/27/2018</v>
      </c>
    </row>
    <row r="81" spans="1:73">
      <c r="A81" s="254" t="s">
        <v>15</v>
      </c>
      <c r="B81" s="254" t="s">
        <v>25</v>
      </c>
      <c r="C81" s="254" t="s">
        <v>46</v>
      </c>
      <c r="D81" s="254" t="s">
        <v>22</v>
      </c>
      <c r="E81" s="254"/>
      <c r="F81" s="254" t="s">
        <v>1930</v>
      </c>
      <c r="G81" s="254" t="s">
        <v>1931</v>
      </c>
      <c r="H81" s="270">
        <v>500000</v>
      </c>
      <c r="I81" s="270">
        <v>89.25</v>
      </c>
      <c r="J81" s="270">
        <v>440000</v>
      </c>
      <c r="K81" s="270">
        <v>3411320</v>
      </c>
      <c r="L81" s="270">
        <v>47206.75</v>
      </c>
      <c r="M81" s="270">
        <v>54364.42</v>
      </c>
      <c r="N81" s="270">
        <v>3458526.75</v>
      </c>
      <c r="O81" s="255">
        <v>8.0000000000000004E-4</v>
      </c>
      <c r="P81" s="1"/>
      <c r="Q81" s="1" t="str">
        <f t="shared" si="11"/>
        <v>Investments</v>
      </c>
      <c r="R81" s="1" t="str">
        <f>_xll.BDP(G81&amp;" ISIN",$R$1)</f>
        <v>BBG00PSJD0B5</v>
      </c>
      <c r="S81" s="1" t="str">
        <f>IF(Q81="Cash",Q81,IF(OR(Q81="Receivable Investments",Q81="Payable Investments"),"Cash Adjustments",_xll.BDP(R81&amp;" FIGI",$S$1)))</f>
        <v>BOND</v>
      </c>
      <c r="T81" s="1" t="str">
        <f>IF(Q81="Cash",Q81,IF(OR(Q81="Receivable Investments",Q81="Payable Investments"),"Cash Adjustments",VLOOKUP(R81,LQA!E:S,3,0)))</f>
        <v>Corp</v>
      </c>
      <c r="U81" s="1" t="str">
        <f>IF(Q81="Cash",Q81,IF(OR(Q81="Receivable Investments",Q81="Payable Investments"),"Cash Adjustments",_xll.BDP(R81&amp;" FIGI",$U$1)))</f>
        <v>#N/A Field Not Applicable</v>
      </c>
      <c r="V81" s="10">
        <f>IF(OR(Q81="Cash",Q81="Receivable Investments",Q81="Payable Investments"),0,IF(Q81="Investments",VLOOKUP(R81,LQA!E:Q,12,0),"Not Covered"))</f>
        <v>0.2</v>
      </c>
      <c r="W81" s="76">
        <f>IF(OR(Q81="Cash",Q81="Receivable Investments",Q81="Payable Investments"),0,IF(Q81="Investments",VLOOKUP(R81,LQA!E:Q,9,0),"Not Covered"))</f>
        <v>2.4313999999999999E-2</v>
      </c>
      <c r="X81" s="13" t="str">
        <f>IF(OR(H81=0,T81="Comdty"),"High",IF(V81&lt;='Liquidity Bucket'!$A$4,'Liquidity Bucket'!$I$4,IF(V81&lt;='Liquidity Bucket'!$A$5,'Liquidity Bucket'!$I$5,IF(V81&lt;='Liquidity Bucket'!$A$6,'Liquidity Bucket'!$I$6,IF(V81='Liquidity Bucket'!$A$8,'Liquidity Bucket'!$I$8,'Liquidity Bucket'!$I$7)))))</f>
        <v>High</v>
      </c>
      <c r="Y81" s="153">
        <f>IF(OR(Q81="Cash",Q81="Receivable Investments",Q81="Payable Investments"),0,IF(Q81="Investments",VLOOKUP(R81,'LQA Stress'!E:Q,12,0),"Not Covered"))</f>
        <v>0.8</v>
      </c>
      <c r="Z81" s="75">
        <f>IF(OR(Q81="Cash",Q81="Receivable Investments",Q81="Payable Investments"),0,IF(Q81="Investments",VLOOKUP(R81,'LQA Stress'!E:Q,9,0),"Not Covered"))</f>
        <v>6.6295000000000007E-2</v>
      </c>
      <c r="AA81" s="13" t="str">
        <f>IF(T81="Comdty","High",IF(Y81&lt;='Liquidity Bucket'!$A$4,'Liquidity Bucket'!$I$4,IF(Y81&lt;='Liquidity Bucket'!$A$5,'Liquidity Bucket'!$I$5,IF(Y81&lt;='Liquidity Bucket'!$A$6,'Liquidity Bucket'!$I$6,IF(Y81='Liquidity Bucket'!$A$8,'Liquidity Bucket'!$I$8,'Liquidity Bucket'!$I$7)))))</f>
        <v>High</v>
      </c>
      <c r="AB81" s="14">
        <f>(N81+M81)/'FX Rates'!$C$5</f>
        <v>453159.33565531479</v>
      </c>
      <c r="AC81" s="15" t="str">
        <f>IF(X81="Not Covered", (H81/_xll.BDP(R81&amp;" FIGI",$AC$1)),"")</f>
        <v/>
      </c>
      <c r="AD81" s="16" t="str">
        <f>IF(X81="Not Covered", _xll.BDP(R81&amp;" FIGI",$AD$1),"")</f>
        <v/>
      </c>
      <c r="AE81" s="16" t="str">
        <f>IF(OR(T81="Corp",T81="Govt"),IF(_xll.BDP(R81&amp;" FIGI",$AE$1)="#N/A N/A","",_xll.BDP(R81&amp;" FIGI",$AE$1)),"")</f>
        <v/>
      </c>
      <c r="AF81" s="1" t="str">
        <f>IF(OR(T81="Corp",T81="Govt"),IF(_xll.BDP(R81&amp;" FIGI",$AF$1)="#N/A N/A","",_xll.BDP(R81&amp;" FIGI",$AF$1)),"")</f>
        <v>Ba1</v>
      </c>
      <c r="AG81" s="16" t="str">
        <f>IF(OR(T81="Corp",T81="Govt"),IF(_xll.BDP(R81&amp;" FIGI",$AG$1)="#N/A N/A","",_xll.BDP(R81&amp;" FIGI",$AG$1)),"")</f>
        <v>BB-</v>
      </c>
      <c r="AH81" s="125">
        <f>IF(OR(S81="Cash",S81="M-Mkt"),21,IF(AE81="",0,VLOOKUP(AE81,'Rating Scale'!A:B,2,0)))</f>
        <v>0</v>
      </c>
      <c r="AI81" s="125">
        <f>IF(OR(S81="Cash",S81="M-Mkt"),21,IF(AF81="",0,VLOOKUP(AF81,'Rating Scale'!D:E,2,0)))</f>
        <v>11</v>
      </c>
      <c r="AJ81" s="125">
        <f>IF(OR(S81="Cash",S81="M-Mkt"),21,IF(AG81="",0,VLOOKUP(AG81,'Rating Scale'!G:H,2,0)))</f>
        <v>9</v>
      </c>
      <c r="AK81">
        <f t="shared" si="10"/>
        <v>9</v>
      </c>
      <c r="AL81" s="1" t="str">
        <f>IF(OR(U81="Cash",U81="Cash Adjustments"),_xll.BDP(G81&amp;" Curncy","Country"),IF(T81="Equity",_xll.BDP(R81&amp;" FIGI","CNTRY_ISSUE_ISO"),_xll.BDP(R81&amp;" FIGI",$AL$1)))</f>
        <v>IN</v>
      </c>
      <c r="AM81" s="126" t="str">
        <f>IF(OR(T81="Cash",T81="Cash Adjustments",T81="M-Mkt"), T81, IF(T81="Comdty",AS81, _xll.BDP(R81&amp;" FIGI", $AM$1)))</f>
        <v>Energy</v>
      </c>
      <c r="AN81" s="126" t="str">
        <f>IF(OR(T81="Cash",T81="Cash Adjustments",T81="M-Mkt"), T81,  IF(T81="Comdty",AS81,_xll.BDP(R81&amp;" FIGI", $AN$1)))</f>
        <v>Energy-Alternate Sources</v>
      </c>
      <c r="AO81" s="126" t="str">
        <f>IF(OR(T81="Cash",T81="Cash Adjustments",T81="M-Mkt"), T81,  IF(T81="Comdty",AS81,_xll.BDP(R81&amp;" FIGI", $AO$1)))</f>
        <v>Energy-Alternate Sources</v>
      </c>
      <c r="AP81" s="13" t="str">
        <f>IF(OR(T81="Cash",T81="Cash Adjustments"), T81, IF(_xll.BDP(R81&amp;" FIGI", $AP$1)="#N/A Field Not Applicable","N",_xll.BDP(R81&amp;" FIGI", $AP$1)))</f>
        <v>N</v>
      </c>
      <c r="AQ81" s="1" t="str">
        <f>IF(OR(T81="Cash",T81="Cash Adjustments"), T81, IF(_xll.BDP(R81&amp;" FIGI", $AQ$1)="#N/A Field Not Applicable"," ",_xll.BDP(R81&amp;" FIGI", $AQ$1)))</f>
        <v xml:space="preserve"> </v>
      </c>
      <c r="AR81" s="1" t="str">
        <f>IF(OR(T81="Cash",T81="Cash Adjustments"), T81, IF(_xll.BDP(R81&amp;" FIGI", $AR$1)="#N/A Field Not Applicable"," ",_xll.BDP(R81&amp;" FIGI", $AR$1)))</f>
        <v>ACTV</v>
      </c>
      <c r="AS81" s="1" t="str">
        <f>VLOOKUP(T81,'SFC Classifcation'!$F$2:$H$7,3,0)</f>
        <v>Corporate</v>
      </c>
      <c r="AT81" s="22" t="str">
        <f t="shared" si="12"/>
        <v>Non-Financial</v>
      </c>
      <c r="AU81" s="1" t="str">
        <f t="shared" si="13"/>
        <v>Non-Investment Grade</v>
      </c>
      <c r="AV81" s="1" t="str">
        <f>IF(OR(T81="Cash",T81="Cash Adjustments"),T81,VLOOKUP(AL81,'SFC Classifcation'!$A:$C,3,0))</f>
        <v>India</v>
      </c>
      <c r="AW81" s="22" t="str">
        <f t="shared" si="14"/>
        <v>High</v>
      </c>
      <c r="AX81" s="22" t="str">
        <f t="shared" si="15"/>
        <v>High</v>
      </c>
      <c r="AY81" s="45" t="str">
        <f>IF(OR(T81="Cash",T81="Cash Adjustments"), T81, _xll.BDP(R81&amp;" FIGI", $AY$1))</f>
        <v>#N/A Field Not Applicable</v>
      </c>
      <c r="AZ81" s="45" t="str">
        <f>IF(OR(T81="Cash",T81="Cash Adjustments"), T81, _xll.BDP(R81&amp;" FIGI", $AZ$1))</f>
        <v>UTILITY - ELEC</v>
      </c>
      <c r="BA81" s="45" t="str">
        <f>IF(OR(T81="Cash",T81="Cash Adjustments"), T81, _xll.BDP(R81&amp;" FIGI", $BA$1))</f>
        <v>#N/A Field Not Applicable</v>
      </c>
      <c r="BB81" s="16">
        <f>IF(OR(AS81="Government",AS81="Corporate"),(AK81*AB81/'SFC Report'!$C$20),"")</f>
        <v>7.4095363392453649E-3</v>
      </c>
      <c r="BC81" s="174" t="str">
        <f>IF(OR(T81="Cash",T81="Cash Adjustments", T81="FX Forward", T81="Repo", T81="Equity", T81="M-Mkt"), "", _xll.BDP(R81&amp;" FIGI", $BC$1))</f>
        <v>1/29/2025</v>
      </c>
      <c r="BD81" s="125">
        <f ca="1">IF(OR(T81="Cash",T81="Cash Adjustments",T81="FX Forward",T81="Repo", T81="Equity", T81="M-Mkt"),"",(BC81-'SFC Report'!$B$13)/365)</f>
        <v>4.7534246575342465</v>
      </c>
      <c r="BE81" s="82" t="str">
        <f t="shared" ca="1" si="9"/>
        <v>3 - 5 yrs</v>
      </c>
      <c r="BF81" s="5">
        <f ca="1">IF(BC81="","",BD81*AB81/'SFC Report'!$C$20)</f>
        <v>3.9134080817627729E-3</v>
      </c>
      <c r="BG81" s="14" cm="1">
        <f t="array" ref="BG81">IF(OR(AS81="Corporate",AS81="Government"),_xll.BDP(G81&amp;" ISIN", $BG$1),"")</f>
        <v>3.9704015611407382</v>
      </c>
      <c r="BH81" s="140">
        <f>IF(OR(AS81="Corporate",AS81="Government"),BG81*BN81/'SFC Report'!$C$20,"")</f>
        <v>3.2687594054076475E-3</v>
      </c>
      <c r="BI81" s="140">
        <f>IF(OR(AS81="Corporate",AS81="Government"),_xll.BDP(G81&amp;" ISIN", $BI$1),"")</f>
        <v>6.2967137217538642</v>
      </c>
      <c r="BJ81" s="140">
        <f>IF(OR(AS81="Corporate",AS81="Government"),BI81*AB81/'SFC Report'!$C$20,"")</f>
        <v>5.1839699043511314E-3</v>
      </c>
      <c r="BK81" s="153" t="str">
        <f>IF(OR(T81="Cash",T81="Cash Adjustments"),"-",_xll.BDP(R81&amp;" FIGI",$BK$1))</f>
        <v>USV3855GAA86</v>
      </c>
      <c r="BL81" s="11" t="str">
        <f>IF(OR(AS81="Cash", AS81="Cash Adjustments"),"-",IF(ISNA(VLOOKUP(BK81,'BBG - VaR Data (Sample, Indus )'!C:N,5,0)),"-",VLOOKUP(BK81,'BBG - VaR Data (Sample, Indus )'!C:N,5,0)))</f>
        <v>-</v>
      </c>
      <c r="BM81" s="11">
        <f>IF(OR(AS81="Cash", AS81="Cash Adjustments"),"-",IF(ISNA(VLOOKUP(BK81,'BBG - Scenarios (Sample View)'!C:Z,14,0)),"-",VLOOKUP(BK81,'BBG - Scenarios (Sample View)'!C:Z,14,0)))</f>
        <v>-4.38</v>
      </c>
      <c r="BN81" s="14">
        <f t="shared" si="16"/>
        <v>453159.33565531479</v>
      </c>
      <c r="BO81" s="1">
        <f t="shared" si="17"/>
        <v>8.8893949984142828E-4</v>
      </c>
      <c r="BP81" t="str">
        <f>IF(BC81&lt;&gt;0,MaturityBucket(BG81),"")</f>
        <v>3 - 5 yrs</v>
      </c>
      <c r="BQ81" s="11" t="str">
        <f>IF(OR(T81="Cash",T81="Cash Adjustments"),T81,VLOOKUP(AL81,'SFC Classifcation'!$A:$C,2,0))</f>
        <v>India</v>
      </c>
      <c r="BR81" s="1" t="e">
        <f>IF(S81="Bond",BH81/'SFC Report'!$B$7,"")</f>
        <v>#VALUE!</v>
      </c>
      <c r="BS81" t="str">
        <f>IF(OR(T81="Cash",T81="Cash Adjustments"),"-",_xll.BDP(R81&amp;" FIGI",$BS$1))</f>
        <v>#N/A N/A</v>
      </c>
      <c r="BT81" t="str">
        <f>IF(OR(T81="Cash",T81="Cash Adjustments"),"-",_xll.BDP(R81&amp;" FIGI",$BT$1))</f>
        <v>7/15/2019</v>
      </c>
      <c r="BU81" t="str">
        <f>IF(OR(T81="Cash",T81="Cash Adjustments"),"-",_xll.BDP(R81&amp;" FIGI",$BU$1))</f>
        <v>7/25/2019</v>
      </c>
    </row>
    <row r="82" spans="1:73">
      <c r="A82" s="254" t="s">
        <v>15</v>
      </c>
      <c r="B82" s="254" t="s">
        <v>25</v>
      </c>
      <c r="C82" s="254" t="s">
        <v>46</v>
      </c>
      <c r="D82" s="254" t="s">
        <v>22</v>
      </c>
      <c r="E82" s="254"/>
      <c r="F82" s="254" t="s">
        <v>1311</v>
      </c>
      <c r="G82" s="254" t="s">
        <v>1312</v>
      </c>
      <c r="H82" s="270">
        <v>300000</v>
      </c>
      <c r="I82" s="270">
        <v>88.915999999999997</v>
      </c>
      <c r="J82" s="270">
        <v>210000</v>
      </c>
      <c r="K82" s="270">
        <v>1627983</v>
      </c>
      <c r="L82" s="270">
        <v>439367.35</v>
      </c>
      <c r="M82" s="270">
        <v>34969.550000000003</v>
      </c>
      <c r="N82" s="270">
        <v>2067350.35</v>
      </c>
      <c r="O82" s="255">
        <v>5.0000000000000001E-4</v>
      </c>
      <c r="P82" s="1"/>
      <c r="Q82" s="1" t="str">
        <f t="shared" si="11"/>
        <v>Investments</v>
      </c>
      <c r="R82" s="1" t="str">
        <f>_xll.BDP(G82&amp;" ISIN",$R$1)</f>
        <v>BBG00PSJPXV8</v>
      </c>
      <c r="S82" s="1" t="str">
        <f>IF(Q82="Cash",Q82,IF(OR(Q82="Receivable Investments",Q82="Payable Investments"),"Cash Adjustments",_xll.BDP(R82&amp;" FIGI",$S$1)))</f>
        <v>BOND</v>
      </c>
      <c r="T82" s="1" t="str">
        <f>IF(Q82="Cash",Q82,IF(OR(Q82="Receivable Investments",Q82="Payable Investments"),"Cash Adjustments",VLOOKUP(R82,LQA!E:S,3,0)))</f>
        <v>Corp</v>
      </c>
      <c r="U82" s="1" t="str">
        <f>IF(Q82="Cash",Q82,IF(OR(Q82="Receivable Investments",Q82="Payable Investments"),"Cash Adjustments",_xll.BDP(R82&amp;" FIGI",$U$1)))</f>
        <v>#N/A Field Not Applicable</v>
      </c>
      <c r="V82" s="10">
        <f>IF(OR(Q82="Cash",Q82="Receivable Investments",Q82="Payable Investments"),0,IF(Q82="Investments",VLOOKUP(R82,LQA!E:Q,12,0),"Not Covered"))</f>
        <v>0.2</v>
      </c>
      <c r="W82" s="76">
        <f>IF(OR(Q82="Cash",Q82="Receivable Investments",Q82="Payable Investments"),0,IF(Q82="Investments",VLOOKUP(R82,LQA!E:Q,9,0),"Not Covered"))</f>
        <v>2.5832999999999998E-2</v>
      </c>
      <c r="X82" s="13" t="str">
        <f>IF(OR(H82=0,T82="Comdty"),"High",IF(V82&lt;='Liquidity Bucket'!$A$4,'Liquidity Bucket'!$I$4,IF(V82&lt;='Liquidity Bucket'!$A$5,'Liquidity Bucket'!$I$5,IF(V82&lt;='Liquidity Bucket'!$A$6,'Liquidity Bucket'!$I$6,IF(V82='Liquidity Bucket'!$A$8,'Liquidity Bucket'!$I$8,'Liquidity Bucket'!$I$7)))))</f>
        <v>High</v>
      </c>
      <c r="Y82" s="153">
        <f>IF(OR(Q82="Cash",Q82="Receivable Investments",Q82="Payable Investments"),0,IF(Q82="Investments",VLOOKUP(R82,'LQA Stress'!E:Q,12,0),"Not Covered"))</f>
        <v>0.7</v>
      </c>
      <c r="Z82" s="75">
        <f>IF(OR(Q82="Cash",Q82="Receivable Investments",Q82="Payable Investments"),0,IF(Q82="Investments",VLOOKUP(R82,'LQA Stress'!E:Q,9,0),"Not Covered"))</f>
        <v>7.1084999999999995E-2</v>
      </c>
      <c r="AA82" s="13" t="str">
        <f>IF(T82="Comdty","High",IF(Y82&lt;='Liquidity Bucket'!$A$4,'Liquidity Bucket'!$I$4,IF(Y82&lt;='Liquidity Bucket'!$A$5,'Liquidity Bucket'!$I$5,IF(Y82&lt;='Liquidity Bucket'!$A$6,'Liquidity Bucket'!$I$6,IF(Y82='Liquidity Bucket'!$A$8,'Liquidity Bucket'!$I$8,'Liquidity Bucket'!$I$7)))))</f>
        <v>High</v>
      </c>
      <c r="AB82" s="14">
        <f>(N82+M82)/'FX Rates'!$C$5</f>
        <v>271197.09752321983</v>
      </c>
      <c r="AC82" s="15" t="str">
        <f>IF(X82="Not Covered", (H82/_xll.BDP(R82&amp;" FIGI",$AC$1)),"")</f>
        <v/>
      </c>
      <c r="AD82" s="16" t="str">
        <f>IF(X82="Not Covered", _xll.BDP(R82&amp;" FIGI",$AD$1),"")</f>
        <v/>
      </c>
      <c r="AE82" s="16" t="str">
        <f>IF(OR(T82="Corp",T82="Govt"),IF(_xll.BDP(R82&amp;" FIGI",$AE$1)="#N/A N/A","",_xll.BDP(R82&amp;" FIGI",$AE$1)),"")</f>
        <v/>
      </c>
      <c r="AF82" s="1" t="str">
        <f>IF(OR(T82="Corp",T82="Govt"),IF(_xll.BDP(R82&amp;" FIGI",$AF$1)="#N/A N/A","",_xll.BDP(R82&amp;" FIGI",$AF$1)),"")</f>
        <v>Ba1</v>
      </c>
      <c r="AG82" s="16" t="str">
        <f>IF(OR(T82="Corp",T82="Govt"),IF(_xll.BDP(R82&amp;" FIGI",$AG$1)="#N/A N/A","",_xll.BDP(R82&amp;" FIGI",$AG$1)),"")</f>
        <v>BB-</v>
      </c>
      <c r="AH82" s="125">
        <f>IF(OR(S82="Cash",S82="M-Mkt"),21,IF(AE82="",0,VLOOKUP(AE82,'Rating Scale'!A:B,2,0)))</f>
        <v>0</v>
      </c>
      <c r="AI82" s="125">
        <f>IF(OR(S82="Cash",S82="M-Mkt"),21,IF(AF82="",0,VLOOKUP(AF82,'Rating Scale'!D:E,2,0)))</f>
        <v>11</v>
      </c>
      <c r="AJ82" s="125">
        <f>IF(OR(S82="Cash",S82="M-Mkt"),21,IF(AG82="",0,VLOOKUP(AG82,'Rating Scale'!G:H,2,0)))</f>
        <v>9</v>
      </c>
      <c r="AK82">
        <f t="shared" si="10"/>
        <v>9</v>
      </c>
      <c r="AL82" s="1" t="str">
        <f>IF(OR(U82="Cash",U82="Cash Adjustments"),_xll.BDP(G82&amp;" Curncy","Country"),IF(T82="Equity",_xll.BDP(R82&amp;" FIGI","CNTRY_ISSUE_ISO"),_xll.BDP(R82&amp;" FIGI",$AL$1)))</f>
        <v>IN</v>
      </c>
      <c r="AM82" s="126" t="str">
        <f>IF(OR(T82="Cash",T82="Cash Adjustments",T82="M-Mkt"), T82, IF(T82="Comdty",AS82, _xll.BDP(R82&amp;" FIGI", $AM$1)))</f>
        <v>Energy</v>
      </c>
      <c r="AN82" s="126" t="str">
        <f>IF(OR(T82="Cash",T82="Cash Adjustments",T82="M-Mkt"), T82,  IF(T82="Comdty",AS82,_xll.BDP(R82&amp;" FIGI", $AN$1)))</f>
        <v>Energy-Alternate Sources</v>
      </c>
      <c r="AO82" s="126" t="str">
        <f>IF(OR(T82="Cash",T82="Cash Adjustments",T82="M-Mkt"), T82,  IF(T82="Comdty",AS82,_xll.BDP(R82&amp;" FIGI", $AO$1)))</f>
        <v>Energy-Alternate Sources</v>
      </c>
      <c r="AP82" s="13" t="str">
        <f>IF(OR(T82="Cash",T82="Cash Adjustments"), T82, IF(_xll.BDP(R82&amp;" FIGI", $AP$1)="#N/A Field Not Applicable","N",_xll.BDP(R82&amp;" FIGI", $AP$1)))</f>
        <v>N</v>
      </c>
      <c r="AQ82" s="1" t="str">
        <f>IF(OR(T82="Cash",T82="Cash Adjustments"), T82, IF(_xll.BDP(R82&amp;" FIGI", $AQ$1)="#N/A Field Not Applicable"," ",_xll.BDP(R82&amp;" FIGI", $AQ$1)))</f>
        <v xml:space="preserve"> </v>
      </c>
      <c r="AR82" s="1" t="str">
        <f>IF(OR(T82="Cash",T82="Cash Adjustments"), T82, IF(_xll.BDP(R82&amp;" FIGI", $AR$1)="#N/A Field Not Applicable"," ",_xll.BDP(R82&amp;" FIGI", $AR$1)))</f>
        <v>ACTV</v>
      </c>
      <c r="AS82" s="1" t="str">
        <f>VLOOKUP(T82,'SFC Classifcation'!$F$2:$H$7,3,0)</f>
        <v>Corporate</v>
      </c>
      <c r="AT82" s="22" t="str">
        <f t="shared" si="12"/>
        <v>Non-Financial</v>
      </c>
      <c r="AU82" s="1" t="str">
        <f t="shared" si="13"/>
        <v>Non-Investment Grade</v>
      </c>
      <c r="AV82" s="1" t="str">
        <f>IF(OR(T82="Cash",T82="Cash Adjustments"),T82,VLOOKUP(AL82,'SFC Classifcation'!$A:$C,3,0))</f>
        <v>India</v>
      </c>
      <c r="AW82" s="22" t="str">
        <f t="shared" si="14"/>
        <v>High</v>
      </c>
      <c r="AX82" s="22" t="str">
        <f t="shared" si="15"/>
        <v>High</v>
      </c>
      <c r="AY82" s="45" t="str">
        <f>IF(OR(T82="Cash",T82="Cash Adjustments"), T82, _xll.BDP(R82&amp;" FIGI", $AY$1))</f>
        <v>#N/A Field Not Applicable</v>
      </c>
      <c r="AZ82" s="45" t="str">
        <f>IF(OR(T82="Cash",T82="Cash Adjustments"), T82, _xll.BDP(R82&amp;" FIGI", $AZ$1))</f>
        <v>UTILITY - ELEC</v>
      </c>
      <c r="BA82" s="45" t="str">
        <f>IF(OR(T82="Cash",T82="Cash Adjustments"), T82, _xll.BDP(R82&amp;" FIGI", $BA$1))</f>
        <v>#N/A Field Not Applicable</v>
      </c>
      <c r="BB82" s="16">
        <f>IF(OR(AS82="Government",AS82="Corporate"),(AK82*AB82/'SFC Report'!$C$20),"")</f>
        <v>4.4343006776861472E-3</v>
      </c>
      <c r="BC82" s="174" t="str">
        <f>IF(OR(T82="Cash",T82="Cash Adjustments", T82="FX Forward", T82="Repo", T82="Equity", T82="M-Mkt"), "", _xll.BDP(R82&amp;" FIGI", $BC$1))</f>
        <v>7/29/2026</v>
      </c>
      <c r="BD82" s="125">
        <f ca="1">IF(OR(T82="Cash",T82="Cash Adjustments",T82="FX Forward",T82="Repo", T82="Equity", T82="M-Mkt"),"",(BC82-'SFC Report'!$B$13)/365)</f>
        <v>6.2493150684931509</v>
      </c>
      <c r="BE82" s="82" t="str">
        <f t="shared" ca="1" si="9"/>
        <v>5 - 7 yrs</v>
      </c>
      <c r="BF82" s="5">
        <f ca="1">IF(BC82="","",BD82*AB82/'SFC Report'!$C$20)</f>
        <v>3.0790380048103809E-3</v>
      </c>
      <c r="BG82" s="14" cm="1">
        <f t="array" ref="BG82">IF(OR(AS82="Corporate",AS82="Government"),_xll.BDP(G82&amp;" ISIN", $BG$1),"")</f>
        <v>4.9787917079076038</v>
      </c>
      <c r="BH82" s="140">
        <f>IF(OR(AS82="Corporate",AS82="Government"),BG82*BN82/'SFC Report'!$C$20,"")</f>
        <v>2.4530510493814281E-3</v>
      </c>
      <c r="BI82" s="140">
        <f>IF(OR(AS82="Corporate",AS82="Government"),_xll.BDP(G82&amp;" ISIN", $BI$1),"")</f>
        <v>6.4685560257420951</v>
      </c>
      <c r="BJ82" s="140">
        <f>IF(OR(AS82="Corporate",AS82="Government"),BI82*AB82/'SFC Report'!$C$20,"")</f>
        <v>3.1870580409554426E-3</v>
      </c>
      <c r="BK82" s="153" t="str">
        <f>IF(OR(T82="Cash",T82="Cash Adjustments"),"-",_xll.BDP(R82&amp;" FIGI",$BK$1))</f>
        <v>USV3855GAB69</v>
      </c>
      <c r="BL82" s="11" t="str">
        <f>IF(OR(AS82="Cash", AS82="Cash Adjustments"),"-",IF(ISNA(VLOOKUP(BK82,'BBG - VaR Data (Sample, Indus )'!C:N,5,0)),"-",VLOOKUP(BK82,'BBG - VaR Data (Sample, Indus )'!C:N,5,0)))</f>
        <v>-</v>
      </c>
      <c r="BM82" s="11">
        <f>IF(OR(AS82="Cash", AS82="Cash Adjustments"),"-",IF(ISNA(VLOOKUP(BK82,'BBG - Scenarios (Sample View)'!C:Z,14,0)),"-",VLOOKUP(BK82,'BBG - Scenarios (Sample View)'!C:Z,14,0)))</f>
        <v>-5.33</v>
      </c>
      <c r="BN82" s="14">
        <f t="shared" si="16"/>
        <v>271197.09752321983</v>
      </c>
      <c r="BO82" s="1">
        <f t="shared" si="17"/>
        <v>5.3199348057591015E-4</v>
      </c>
      <c r="BP82" t="str">
        <f>IF(BC82&lt;&gt;0,MaturityBucket(BG82),"")</f>
        <v>3 - 5 yrs</v>
      </c>
      <c r="BQ82" s="11" t="str">
        <f>IF(OR(T82="Cash",T82="Cash Adjustments"),T82,VLOOKUP(AL82,'SFC Classifcation'!$A:$C,2,0))</f>
        <v>India</v>
      </c>
      <c r="BR82" s="1" t="e">
        <f>IF(S82="Bond",BH82/'SFC Report'!$B$7,"")</f>
        <v>#VALUE!</v>
      </c>
      <c r="BS82" t="str">
        <f>IF(OR(T82="Cash",T82="Cash Adjustments"),"-",_xll.BDP(R82&amp;" FIGI",$BS$1))</f>
        <v>#N/A N/A</v>
      </c>
      <c r="BT82" t="str">
        <f>IF(OR(T82="Cash",T82="Cash Adjustments"),"-",_xll.BDP(R82&amp;" FIGI",$BT$1))</f>
        <v>7/15/2019</v>
      </c>
      <c r="BU82" t="str">
        <f>IF(OR(T82="Cash",T82="Cash Adjustments"),"-",_xll.BDP(R82&amp;" FIGI",$BU$1))</f>
        <v>7/25/2019</v>
      </c>
    </row>
    <row r="83" spans="1:73">
      <c r="A83" s="254" t="s">
        <v>15</v>
      </c>
      <c r="B83" s="254" t="s">
        <v>25</v>
      </c>
      <c r="C83" s="254" t="s">
        <v>46</v>
      </c>
      <c r="D83" s="254" t="s">
        <v>22</v>
      </c>
      <c r="E83" s="254"/>
      <c r="F83" s="254" t="s">
        <v>76</v>
      </c>
      <c r="G83" s="254" t="s">
        <v>77</v>
      </c>
      <c r="H83" s="270">
        <v>8000000</v>
      </c>
      <c r="I83" s="270">
        <v>106.214</v>
      </c>
      <c r="J83" s="270">
        <v>7964160</v>
      </c>
      <c r="K83" s="270">
        <v>62517063.170000002</v>
      </c>
      <c r="L83" s="270">
        <v>3337316.25</v>
      </c>
      <c r="M83" s="270">
        <v>1167912.08</v>
      </c>
      <c r="N83" s="270">
        <v>65854379.420000002</v>
      </c>
      <c r="O83" s="255">
        <v>1.4500000000000001E-2</v>
      </c>
      <c r="P83" s="1"/>
      <c r="Q83" s="1" t="str">
        <f t="shared" si="11"/>
        <v>Investments</v>
      </c>
      <c r="R83" s="1" t="str">
        <f>_xll.BDP(G83&amp;" ISIN",$R$1)</f>
        <v>BBG00KVGG4W4</v>
      </c>
      <c r="S83" s="1" t="str">
        <f>IF(Q83="Cash",Q83,IF(OR(Q83="Receivable Investments",Q83="Payable Investments"),"Cash Adjustments",_xll.BDP(R83&amp;" FIGI",$S$1)))</f>
        <v>BOND</v>
      </c>
      <c r="T83" s="1" t="str">
        <f>IF(Q83="Cash",Q83,IF(OR(Q83="Receivable Investments",Q83="Payable Investments"),"Cash Adjustments",VLOOKUP(R83,LQA!E:S,3,0)))</f>
        <v>Corp</v>
      </c>
      <c r="U83" s="1" t="str">
        <f>IF(Q83="Cash",Q83,IF(OR(Q83="Receivable Investments",Q83="Payable Investments"),"Cash Adjustments",_xll.BDP(R83&amp;" FIGI",$U$1)))</f>
        <v>#N/A Field Not Applicable</v>
      </c>
      <c r="V83" s="10">
        <f>IF(OR(Q83="Cash",Q83="Receivable Investments",Q83="Payable Investments"),0,IF(Q83="Investments",VLOOKUP(R83,LQA!E:Q,12,0),"Not Covered"))</f>
        <v>1.8</v>
      </c>
      <c r="W83" s="76">
        <f>IF(OR(Q83="Cash",Q83="Receivable Investments",Q83="Payable Investments"),0,IF(Q83="Investments",VLOOKUP(R83,LQA!E:Q,9,0),"Not Covered"))</f>
        <v>2.8449999999999999E-3</v>
      </c>
      <c r="X83" s="13" t="str">
        <f>IF(OR(H83=0,T83="Comdty"),"High",IF(V83&lt;='Liquidity Bucket'!$A$4,'Liquidity Bucket'!$I$4,IF(V83&lt;='Liquidity Bucket'!$A$5,'Liquidity Bucket'!$I$5,IF(V83&lt;='Liquidity Bucket'!$A$6,'Liquidity Bucket'!$I$6,IF(V83='Liquidity Bucket'!$A$8,'Liquidity Bucket'!$I$8,'Liquidity Bucket'!$I$7)))))</f>
        <v>High</v>
      </c>
      <c r="Y83" s="153">
        <f>IF(OR(Q83="Cash",Q83="Receivable Investments",Q83="Payable Investments"),0,IF(Q83="Investments",VLOOKUP(R83,'LQA Stress'!E:Q,12,0),"Not Covered"))</f>
        <v>6.7</v>
      </c>
      <c r="Z83" s="75">
        <f>IF(OR(Q83="Cash",Q83="Receivable Investments",Q83="Payable Investments"),0,IF(Q83="Investments",VLOOKUP(R83,'LQA Stress'!E:Q,9,0),"Not Covered"))</f>
        <v>7.1679999999999999E-3</v>
      </c>
      <c r="AA83" s="13" t="str">
        <f>IF(T83="Comdty","High",IF(Y83&lt;='Liquidity Bucket'!$A$4,'Liquidity Bucket'!$I$4,IF(Y83&lt;='Liquidity Bucket'!$A$5,'Liquidity Bucket'!$I$5,IF(Y83&lt;='Liquidity Bucket'!$A$6,'Liquidity Bucket'!$I$6,IF(Y83='Liquidity Bucket'!$A$8,'Liquidity Bucket'!$I$8,'Liquidity Bucket'!$I$7)))))</f>
        <v>Medium</v>
      </c>
      <c r="AB83" s="14">
        <f>(N83+M83)/'FX Rates'!$C$5</f>
        <v>8645806.4370485041</v>
      </c>
      <c r="AC83" s="15" t="str">
        <f>IF(X83="Not Covered", (H83/_xll.BDP(R83&amp;" FIGI",$AC$1)),"")</f>
        <v/>
      </c>
      <c r="AD83" s="16" t="str">
        <f>IF(X83="Not Covered", _xll.BDP(R83&amp;" FIGI",$AD$1),"")</f>
        <v/>
      </c>
      <c r="AE83" s="16" t="str">
        <f>IF(OR(T83="Corp",T83="Govt"),IF(_xll.BDP(R83&amp;" FIGI",$AE$1)="#N/A N/A","",_xll.BDP(R83&amp;" FIGI",$AE$1)),"")</f>
        <v>BBB+</v>
      </c>
      <c r="AF83" s="1" t="str">
        <f>IF(OR(T83="Corp",T83="Govt"),IF(_xll.BDP(R83&amp;" FIGI",$AF$1)="#N/A N/A","",_xll.BDP(R83&amp;" FIGI",$AF$1)),"")</f>
        <v>Baa1</v>
      </c>
      <c r="AG83" s="16" t="str">
        <f>IF(OR(T83="Corp",T83="Govt"),IF(_xll.BDP(R83&amp;" FIGI",$AG$1)="#N/A N/A","",_xll.BDP(R83&amp;" FIGI",$AG$1)),"")</f>
        <v>A</v>
      </c>
      <c r="AH83" s="125">
        <f>IF(OR(S83="Cash",S83="M-Mkt"),21,IF(AE83="",0,VLOOKUP(AE83,'Rating Scale'!A:B,2,0)))</f>
        <v>14</v>
      </c>
      <c r="AI83" s="125">
        <f>IF(OR(S83="Cash",S83="M-Mkt"),21,IF(AF83="",0,VLOOKUP(AF83,'Rating Scale'!D:E,2,0)))</f>
        <v>14</v>
      </c>
      <c r="AJ83" s="125">
        <f>IF(OR(S83="Cash",S83="M-Mkt"),21,IF(AG83="",0,VLOOKUP(AG83,'Rating Scale'!G:H,2,0)))</f>
        <v>16</v>
      </c>
      <c r="AK83">
        <f t="shared" si="10"/>
        <v>14</v>
      </c>
      <c r="AL83" s="1" t="str">
        <f>IF(OR(U83="Cash",U83="Cash Adjustments"),_xll.BDP(G83&amp;" Curncy","Country"),IF(T83="Equity",_xll.BDP(R83&amp;" FIGI","CNTRY_ISSUE_ISO"),_xll.BDP(R83&amp;" FIGI",$AL$1)))</f>
        <v>CN</v>
      </c>
      <c r="AM83" s="126" t="str">
        <f>IF(OR(T83="Cash",T83="Cash Adjustments",T83="M-Mkt"), T83, IF(T83="Comdty",AS83, _xll.BDP(R83&amp;" FIGI", $AM$1)))</f>
        <v>Financial</v>
      </c>
      <c r="AN83" s="126" t="str">
        <f>IF(OR(T83="Cash",T83="Cash Adjustments",T83="M-Mkt"), T83,  IF(T83="Comdty",AS83,_xll.BDP(R83&amp;" FIGI", $AN$1)))</f>
        <v>Diversified Finan Serv</v>
      </c>
      <c r="AO83" s="126" t="str">
        <f>IF(OR(T83="Cash",T83="Cash Adjustments",T83="M-Mkt"), T83,  IF(T83="Comdty",AS83,_xll.BDP(R83&amp;" FIGI", $AO$1)))</f>
        <v>Invest Mgmnt/Advis Serv</v>
      </c>
      <c r="AP83" s="13" t="str">
        <f>IF(OR(T83="Cash",T83="Cash Adjustments"), T83, IF(_xll.BDP(R83&amp;" FIGI", $AP$1)="#N/A Field Not Applicable","N",_xll.BDP(R83&amp;" FIGI", $AP$1)))</f>
        <v>N</v>
      </c>
      <c r="AQ83" s="1" t="str">
        <f>IF(OR(T83="Cash",T83="Cash Adjustments"), T83, IF(_xll.BDP(R83&amp;" FIGI", $AQ$1)="#N/A Field Not Applicable"," ",_xll.BDP(R83&amp;" FIGI", $AQ$1)))</f>
        <v xml:space="preserve"> </v>
      </c>
      <c r="AR83" s="1" t="str">
        <f>IF(OR(T83="Cash",T83="Cash Adjustments"), T83, IF(_xll.BDP(R83&amp;" FIGI", $AR$1)="#N/A Field Not Applicable"," ",_xll.BDP(R83&amp;" FIGI", $AR$1)))</f>
        <v>ACTV</v>
      </c>
      <c r="AS83" s="1" t="str">
        <f>VLOOKUP(T83,'SFC Classifcation'!$F$2:$H$7,3,0)</f>
        <v>Corporate</v>
      </c>
      <c r="AT83" s="22" t="str">
        <f t="shared" si="12"/>
        <v>Financial</v>
      </c>
      <c r="AU83" s="1" t="str">
        <f t="shared" si="13"/>
        <v>Investment Grade</v>
      </c>
      <c r="AV83" s="1" t="str">
        <f>IF(OR(T83="Cash",T83="Cash Adjustments"),T83,VLOOKUP(AL83,'SFC Classifcation'!$A:$C,3,0))</f>
        <v>China</v>
      </c>
      <c r="AW83" s="22" t="str">
        <f t="shared" si="14"/>
        <v>High</v>
      </c>
      <c r="AX83" s="22" t="str">
        <f t="shared" si="15"/>
        <v>Medium</v>
      </c>
      <c r="AY83" s="45" t="str">
        <f>IF(OR(T83="Cash",T83="Cash Adjustments"), T83, _xll.BDP(R83&amp;" FIGI", $AY$1))</f>
        <v>#N/A Field Not Applicable</v>
      </c>
      <c r="AZ83" s="45" t="str">
        <f>IF(OR(T83="Cash",T83="Cash Adjustments"), T83, _xll.BDP(R83&amp;" FIGI", $AZ$1))</f>
        <v>SPECIAL PURPOSE</v>
      </c>
      <c r="BA83" s="45" t="str">
        <f>IF(OR(T83="Cash",T83="Cash Adjustments"), T83, _xll.BDP(R83&amp;" FIGI", $BA$1))</f>
        <v>#N/A Field Not Applicable</v>
      </c>
      <c r="BB83" s="16">
        <f>IF(OR(AS83="Government",AS83="Corporate"),(AK83*AB83/'SFC Report'!$C$20),"")</f>
        <v>0.21990299048311127</v>
      </c>
      <c r="BC83" s="174" t="str">
        <f>IF(OR(T83="Cash",T83="Cash Adjustments", T83="FX Forward", T83="Repo", T83="Equity", T83="M-Mkt"), "", _xll.BDP(R83&amp;" FIGI", $BC$1))</f>
        <v>5/25/2023</v>
      </c>
      <c r="BD83" s="125">
        <f ca="1">IF(OR(T83="Cash",T83="Cash Adjustments",T83="FX Forward",T83="Repo", T83="Equity", T83="M-Mkt"),"",(BC83-'SFC Report'!$B$13)/365)</f>
        <v>3.0684931506849313</v>
      </c>
      <c r="BE83" s="82" t="str">
        <f t="shared" ca="1" si="9"/>
        <v>3 - 5 yrs</v>
      </c>
      <c r="BF83" s="5">
        <f ca="1">IF(BC83="","",BD83*AB83/'SFC Report'!$C$20)</f>
        <v>4.8197915722325756E-2</v>
      </c>
      <c r="BG83" s="14" cm="1">
        <f t="array" ref="BG83">IF(OR(AS83="Corporate",AS83="Government"),_xll.BDP(G83&amp;" ISIN", $BG$1),"")</f>
        <v>2.8130271860774836</v>
      </c>
      <c r="BH83" s="140">
        <f>IF(OR(AS83="Corporate",AS83="Government"),BG83*BN83/'SFC Report'!$C$20,"")</f>
        <v>4.4185220752052154E-2</v>
      </c>
      <c r="BI83" s="140">
        <f>IF(OR(AS83="Corporate",AS83="Government"),_xll.BDP(G83&amp;" ISIN", $BI$1),"")</f>
        <v>2.1990275118419782</v>
      </c>
      <c r="BJ83" s="140">
        <f>IF(OR(AS83="Corporate",AS83="Government"),BI83*AB83/'SFC Report'!$C$20,"")</f>
        <v>3.4540909000620457E-2</v>
      </c>
      <c r="BK83" s="153" t="str">
        <f>IF(OR(T83="Cash",T83="Cash Adjustments"),"-",_xll.BDP(R83&amp;" FIGI",$BK$1))</f>
        <v>XS1819966687</v>
      </c>
      <c r="BL83" s="11" t="str">
        <f>IF(OR(AS83="Cash", AS83="Cash Adjustments"),"-",IF(ISNA(VLOOKUP(BK83,'BBG - VaR Data (Sample, Indus )'!C:N,5,0)),"-",VLOOKUP(BK83,'BBG - VaR Data (Sample, Indus )'!C:N,5,0)))</f>
        <v>-</v>
      </c>
      <c r="BM83" s="11">
        <f>IF(OR(AS83="Cash", AS83="Cash Adjustments"),"-",IF(ISNA(VLOOKUP(BK83,'BBG - Scenarios (Sample View)'!C:Z,14,0)),"-",VLOOKUP(BK83,'BBG - Scenarios (Sample View)'!C:Z,14,0)))</f>
        <v>-1.84</v>
      </c>
      <c r="BN83" s="14">
        <f t="shared" si="16"/>
        <v>8645806.4370485041</v>
      </c>
      <c r="BO83" s="1">
        <f t="shared" si="17"/>
        <v>1.6960036448904963E-2</v>
      </c>
      <c r="BP83" t="str">
        <f>IF(BC83&lt;&gt;0,MaturityBucket(BG83),"")</f>
        <v>2 - 3 yrs</v>
      </c>
      <c r="BQ83" s="11" t="str">
        <f>IF(OR(T83="Cash",T83="Cash Adjustments"),T83,VLOOKUP(AL83,'SFC Classifcation'!$A:$C,2,0))</f>
        <v>China</v>
      </c>
      <c r="BR83" s="1" t="e">
        <f>IF(S83="Bond",BH83/'SFC Report'!$B$7,"")</f>
        <v>#VALUE!</v>
      </c>
      <c r="BS83" t="str">
        <f>IF(OR(T83="Cash",T83="Cash Adjustments"),"-",_xll.BDP(R83&amp;" FIGI",$BS$1))</f>
        <v>5/16/2018</v>
      </c>
      <c r="BT83" t="str">
        <f>IF(OR(T83="Cash",T83="Cash Adjustments"),"-",_xll.BDP(R83&amp;" FIGI",$BT$1))</f>
        <v>5/18/2018</v>
      </c>
      <c r="BU83" t="str">
        <f>IF(OR(T83="Cash",T83="Cash Adjustments"),"-",_xll.BDP(R83&amp;" FIGI",$BU$1))</f>
        <v>5/28/2018</v>
      </c>
    </row>
    <row r="84" spans="1:73">
      <c r="A84" s="254" t="s">
        <v>15</v>
      </c>
      <c r="B84" s="254" t="s">
        <v>25</v>
      </c>
      <c r="C84" s="254" t="s">
        <v>46</v>
      </c>
      <c r="D84" s="254" t="s">
        <v>22</v>
      </c>
      <c r="E84" s="254"/>
      <c r="F84" s="254" t="s">
        <v>934</v>
      </c>
      <c r="G84" s="254" t="s">
        <v>935</v>
      </c>
      <c r="H84" s="270">
        <v>7450000</v>
      </c>
      <c r="I84" s="270">
        <v>85.477000000000004</v>
      </c>
      <c r="J84" s="270">
        <v>7161337.5</v>
      </c>
      <c r="K84" s="270">
        <v>56088377.890000001</v>
      </c>
      <c r="L84" s="270">
        <v>-6734821.4000000004</v>
      </c>
      <c r="M84" s="270">
        <v>1119895.83</v>
      </c>
      <c r="N84" s="270">
        <v>49353556.490000002</v>
      </c>
      <c r="O84" s="255">
        <v>1.0800000000000001E-2</v>
      </c>
      <c r="P84" s="1"/>
      <c r="Q84" s="1" t="str">
        <f t="shared" si="11"/>
        <v>Investments</v>
      </c>
      <c r="R84" s="1" t="str">
        <f>_xll.BDP(G84&amp;" ISIN",$R$1)</f>
        <v>BBG00PQ3PWZ3</v>
      </c>
      <c r="S84" s="1" t="str">
        <f>IF(Q84="Cash",Q84,IF(OR(Q84="Receivable Investments",Q84="Payable Investments"),"Cash Adjustments",_xll.BDP(R84&amp;" FIGI",$S$1)))</f>
        <v>BOND</v>
      </c>
      <c r="T84" s="1" t="str">
        <f>IF(Q84="Cash",Q84,IF(OR(Q84="Receivable Investments",Q84="Payable Investments"),"Cash Adjustments",VLOOKUP(R84,LQA!E:S,3,0)))</f>
        <v>Corp</v>
      </c>
      <c r="U84" s="1" t="str">
        <f>IF(Q84="Cash",Q84,IF(OR(Q84="Receivable Investments",Q84="Payable Investments"),"Cash Adjustments",_xll.BDP(R84&amp;" FIGI",$U$1)))</f>
        <v>#N/A Field Not Applicable</v>
      </c>
      <c r="V84" s="10">
        <f>IF(OR(Q84="Cash",Q84="Receivable Investments",Q84="Payable Investments"),0,IF(Q84="Investments",VLOOKUP(R84,LQA!E:Q,12,0),"Not Covered"))</f>
        <v>0.5</v>
      </c>
      <c r="W84" s="76">
        <f>IF(OR(Q84="Cash",Q84="Receivable Investments",Q84="Payable Investments"),0,IF(Q84="Investments",VLOOKUP(R84,LQA!E:Q,9,0),"Not Covered"))</f>
        <v>1.4635E-2</v>
      </c>
      <c r="X84" s="13" t="str">
        <f>IF(OR(H84=0,T84="Comdty"),"High",IF(V84&lt;='Liquidity Bucket'!$A$4,'Liquidity Bucket'!$I$4,IF(V84&lt;='Liquidity Bucket'!$A$5,'Liquidity Bucket'!$I$5,IF(V84&lt;='Liquidity Bucket'!$A$6,'Liquidity Bucket'!$I$6,IF(V84='Liquidity Bucket'!$A$8,'Liquidity Bucket'!$I$8,'Liquidity Bucket'!$I$7)))))</f>
        <v>High</v>
      </c>
      <c r="Y84" s="153">
        <f>IF(OR(Q84="Cash",Q84="Receivable Investments",Q84="Payable Investments"),0,IF(Q84="Investments",VLOOKUP(R84,'LQA Stress'!E:Q,12,0),"Not Covered"))</f>
        <v>5.5</v>
      </c>
      <c r="Z84" s="75">
        <f>IF(OR(Q84="Cash",Q84="Receivable Investments",Q84="Payable Investments"),0,IF(Q84="Investments",VLOOKUP(R84,'LQA Stress'!E:Q,9,0),"Not Covered"))</f>
        <v>3.5970000000000002E-2</v>
      </c>
      <c r="AA84" s="13" t="str">
        <f>IF(T84="Comdty","High",IF(Y84&lt;='Liquidity Bucket'!$A$4,'Liquidity Bucket'!$I$4,IF(Y84&lt;='Liquidity Bucket'!$A$5,'Liquidity Bucket'!$I$5,IF(Y84&lt;='Liquidity Bucket'!$A$6,'Liquidity Bucket'!$I$6,IF(Y84='Liquidity Bucket'!$A$8,'Liquidity Bucket'!$I$8,'Liquidity Bucket'!$I$7)))))</f>
        <v>Medium</v>
      </c>
      <c r="AB84" s="14">
        <f>(N84+M84)/'FX Rates'!$C$5</f>
        <v>6511023.2610939117</v>
      </c>
      <c r="AC84" s="15" t="str">
        <f>IF(X84="Not Covered", (H84/_xll.BDP(R84&amp;" FIGI",$AC$1)),"")</f>
        <v/>
      </c>
      <c r="AD84" s="16" t="str">
        <f>IF(X84="Not Covered", _xll.BDP(R84&amp;" FIGI",$AD$1),"")</f>
        <v/>
      </c>
      <c r="AE84" s="16" t="str">
        <f>IF(OR(T84="Corp",T84="Govt"),IF(_xll.BDP(R84&amp;" FIGI",$AE$1)="#N/A N/A","",_xll.BDP(R84&amp;" FIGI",$AE$1)),"")</f>
        <v/>
      </c>
      <c r="AF84" s="1" t="str">
        <f>IF(OR(T84="Corp",T84="Govt"),IF(_xll.BDP(R84&amp;" FIGI",$AF$1)="#N/A N/A","",_xll.BDP(R84&amp;" FIGI",$AF$1)),"")</f>
        <v>B2</v>
      </c>
      <c r="AG84" s="16" t="str">
        <f>IF(OR(T84="Corp",T84="Govt"),IF(_xll.BDP(R84&amp;" FIGI",$AG$1)="#N/A N/A","",_xll.BDP(R84&amp;" FIGI",$AG$1)),"")</f>
        <v>BB-</v>
      </c>
      <c r="AH84" s="125">
        <f>IF(OR(S84="Cash",S84="M-Mkt"),21,IF(AE84="",0,VLOOKUP(AE84,'Rating Scale'!A:B,2,0)))</f>
        <v>0</v>
      </c>
      <c r="AI84" s="125">
        <f>IF(OR(S84="Cash",S84="M-Mkt"),21,IF(AF84="",0,VLOOKUP(AF84,'Rating Scale'!D:E,2,0)))</f>
        <v>7</v>
      </c>
      <c r="AJ84" s="125">
        <f>IF(OR(S84="Cash",S84="M-Mkt"),21,IF(AG84="",0,VLOOKUP(AG84,'Rating Scale'!G:H,2,0)))</f>
        <v>9</v>
      </c>
      <c r="AK84">
        <f t="shared" si="10"/>
        <v>7</v>
      </c>
      <c r="AL84" s="1" t="str">
        <f>IF(OR(U84="Cash",U84="Cash Adjustments"),_xll.BDP(G84&amp;" Curncy","Country"),IF(T84="Equity",_xll.BDP(R84&amp;" FIGI","CNTRY_ISSUE_ISO"),_xll.BDP(R84&amp;" FIGI",$AL$1)))</f>
        <v>CN</v>
      </c>
      <c r="AM84" s="126" t="str">
        <f>IF(OR(T84="Cash",T84="Cash Adjustments",T84="M-Mkt"), T84, IF(T84="Comdty",AS84, _xll.BDP(R84&amp;" FIGI", $AM$1)))</f>
        <v>Basic Materials</v>
      </c>
      <c r="AN84" s="126" t="str">
        <f>IF(OR(T84="Cash",T84="Cash Adjustments",T84="M-Mkt"), T84,  IF(T84="Comdty",AS84,_xll.BDP(R84&amp;" FIGI", $AN$1)))</f>
        <v>Mining</v>
      </c>
      <c r="AO84" s="126" t="str">
        <f>IF(OR(T84="Cash",T84="Cash Adjustments",T84="M-Mkt"), T84,  IF(T84="Comdty",AS84,_xll.BDP(R84&amp;" FIGI", $AO$1)))</f>
        <v>Diversified Minerals</v>
      </c>
      <c r="AP84" s="13" t="str">
        <f>IF(OR(T84="Cash",T84="Cash Adjustments"), T84, IF(_xll.BDP(R84&amp;" FIGI", $AP$1)="#N/A Field Not Applicable","N",_xll.BDP(R84&amp;" FIGI", $AP$1)))</f>
        <v>N</v>
      </c>
      <c r="AQ84" s="1" t="str">
        <f>IF(OR(T84="Cash",T84="Cash Adjustments"), T84, IF(_xll.BDP(R84&amp;" FIGI", $AQ$1)="#N/A Field Not Applicable"," ",_xll.BDP(R84&amp;" FIGI", $AQ$1)))</f>
        <v xml:space="preserve"> </v>
      </c>
      <c r="AR84" s="1" t="str">
        <f>IF(OR(T84="Cash",T84="Cash Adjustments"), T84, IF(_xll.BDP(R84&amp;" FIGI", $AR$1)="#N/A Field Not Applicable"," ",_xll.BDP(R84&amp;" FIGI", $AR$1)))</f>
        <v>ACTV</v>
      </c>
      <c r="AS84" s="1" t="str">
        <f>VLOOKUP(T84,'SFC Classifcation'!$F$2:$H$7,3,0)</f>
        <v>Corporate</v>
      </c>
      <c r="AT84" s="22" t="str">
        <f t="shared" si="12"/>
        <v>Non-Financial</v>
      </c>
      <c r="AU84" s="1" t="str">
        <f t="shared" si="13"/>
        <v>Non-Investment Grade</v>
      </c>
      <c r="AV84" s="1" t="str">
        <f>IF(OR(T84="Cash",T84="Cash Adjustments"),T84,VLOOKUP(AL84,'SFC Classifcation'!$A:$C,3,0))</f>
        <v>China</v>
      </c>
      <c r="AW84" s="22" t="str">
        <f t="shared" si="14"/>
        <v>High</v>
      </c>
      <c r="AX84" s="22" t="str">
        <f t="shared" si="15"/>
        <v>Medium</v>
      </c>
      <c r="AY84" s="45" t="str">
        <f>IF(OR(T84="Cash",T84="Cash Adjustments"), T84, _xll.BDP(R84&amp;" FIGI", $AY$1))</f>
        <v>Materials</v>
      </c>
      <c r="AZ84" s="45" t="str">
        <f>IF(OR(T84="Cash",T84="Cash Adjustments"), T84, _xll.BDP(R84&amp;" FIGI", $AZ$1))</f>
        <v>INDUSTRIAL</v>
      </c>
      <c r="BA84" s="45" t="str">
        <f>IF(OR(T84="Cash",T84="Cash Adjustments"), T84, _xll.BDP(R84&amp;" FIGI", $BA$1))</f>
        <v>#N/A Field Not Applicable</v>
      </c>
      <c r="BB84" s="16">
        <f>IF(OR(AS84="Government",AS84="Corporate"),(AK84*AB84/'SFC Report'!$C$20),"")</f>
        <v>8.2802772456494783E-2</v>
      </c>
      <c r="BC84" s="174" t="str">
        <f>IF(OR(T84="Cash",T84="Cash Adjustments", T84="FX Forward", T84="Repo", T84="Equity", T84="M-Mkt"), "", _xll.BDP(R84&amp;" FIGI", $BC$1))</f>
        <v>7/22/2022</v>
      </c>
      <c r="BD84" s="125">
        <f ca="1">IF(OR(T84="Cash",T84="Cash Adjustments",T84="FX Forward",T84="Repo", T84="Equity", T84="M-Mkt"),"",(BC84-'SFC Report'!$B$13)/365)</f>
        <v>2.2273972602739724</v>
      </c>
      <c r="BE84" s="82" t="str">
        <f t="shared" ca="1" si="9"/>
        <v>2 - 3 yrs</v>
      </c>
      <c r="BF84" s="5">
        <f ca="1">IF(BC84="","",BD84*AB84/'SFC Report'!$C$20)</f>
        <v>2.6347809787526523E-2</v>
      </c>
      <c r="BG84" s="14" cm="1">
        <f t="array" ref="BG84">IF(OR(AS84="Corporate",AS84="Government"),_xll.BDP(G84&amp;" ISIN", $BG$1),"")</f>
        <v>1.8714149324497251</v>
      </c>
      <c r="BH84" s="140">
        <f>IF(OR(AS84="Corporate",AS84="Government"),BG84*BN84/'SFC Report'!$C$20,"")</f>
        <v>2.2136906403331595E-2</v>
      </c>
      <c r="BI84" s="140">
        <f>IF(OR(AS84="Corporate",AS84="Government"),_xll.BDP(G84&amp;" ISIN", $BI$1),"")</f>
        <v>11.320340035100331</v>
      </c>
      <c r="BJ84" s="140">
        <f>IF(OR(AS84="Corporate",AS84="Government"),BI84*AB84/'SFC Report'!$C$20,"")</f>
        <v>0.13390793429379444</v>
      </c>
      <c r="BK84" s="153" t="str">
        <f>IF(OR(T84="Cash",T84="Cash Adjustments"),"-",_xll.BDP(R84&amp;" FIGI",$BK$1))</f>
        <v>XS2024786035</v>
      </c>
      <c r="BL84" s="11" t="str">
        <f>IF(OR(AS84="Cash", AS84="Cash Adjustments"),"-",IF(ISNA(VLOOKUP(BK84,'BBG - VaR Data (Sample, Indus )'!C:N,5,0)),"-",VLOOKUP(BK84,'BBG - VaR Data (Sample, Indus )'!C:N,5,0)))</f>
        <v>-</v>
      </c>
      <c r="BM84" s="11">
        <f>IF(OR(AS84="Cash", AS84="Cash Adjustments"),"-",IF(ISNA(VLOOKUP(BK84,'BBG - Scenarios (Sample View)'!C:Z,14,0)),"-",VLOOKUP(BK84,'BBG - Scenarios (Sample View)'!C:Z,14,0)))</f>
        <v>-4.2</v>
      </c>
      <c r="BN84" s="14">
        <f t="shared" si="16"/>
        <v>6511023.2610939117</v>
      </c>
      <c r="BO84" s="1">
        <f t="shared" si="17"/>
        <v>1.2772341438807219E-2</v>
      </c>
      <c r="BP84" t="str">
        <f>IF(BC84&lt;&gt;0,MaturityBucket(BG84),"")</f>
        <v>1 - 2 yrs</v>
      </c>
      <c r="BQ84" s="11" t="str">
        <f>IF(OR(T84="Cash",T84="Cash Adjustments"),T84,VLOOKUP(AL84,'SFC Classifcation'!$A:$C,2,0))</f>
        <v>China</v>
      </c>
      <c r="BR84" s="1" t="e">
        <f>IF(S84="Bond",BH84/'SFC Report'!$B$7,"")</f>
        <v>#VALUE!</v>
      </c>
      <c r="BS84" t="str">
        <f>IF(OR(T84="Cash",T84="Cash Adjustments"),"-",_xll.BDP(R84&amp;" FIGI",$BS$1))</f>
        <v>#N/A N/A</v>
      </c>
      <c r="BT84" t="str">
        <f>IF(OR(T84="Cash",T84="Cash Adjustments"),"-",_xll.BDP(R84&amp;" FIGI",$BT$1))</f>
        <v>7/15/2019</v>
      </c>
      <c r="BU84" t="str">
        <f>IF(OR(T84="Cash",T84="Cash Adjustments"),"-",_xll.BDP(R84&amp;" FIGI",$BU$1))</f>
        <v>7/17/2019</v>
      </c>
    </row>
    <row r="85" spans="1:73">
      <c r="A85" s="254" t="s">
        <v>15</v>
      </c>
      <c r="B85" s="254" t="s">
        <v>25</v>
      </c>
      <c r="C85" s="254" t="s">
        <v>46</v>
      </c>
      <c r="D85" s="254" t="s">
        <v>22</v>
      </c>
      <c r="E85" s="254"/>
      <c r="F85" s="254" t="s">
        <v>1209</v>
      </c>
      <c r="G85" s="254" t="s">
        <v>1210</v>
      </c>
      <c r="H85" s="270">
        <v>3000000</v>
      </c>
      <c r="I85" s="270">
        <v>94.167000000000002</v>
      </c>
      <c r="J85" s="270">
        <v>2935830</v>
      </c>
      <c r="K85" s="270">
        <v>22879216.77</v>
      </c>
      <c r="L85" s="270">
        <v>-984824.27</v>
      </c>
      <c r="M85" s="270">
        <v>401799.43</v>
      </c>
      <c r="N85" s="270">
        <v>21894392.5</v>
      </c>
      <c r="O85" s="255">
        <v>4.7999999999999996E-3</v>
      </c>
      <c r="P85" s="1"/>
      <c r="Q85" s="1" t="str">
        <f t="shared" si="11"/>
        <v>Investments</v>
      </c>
      <c r="R85" s="1" t="str">
        <f>_xll.BDP(G85&amp;" ISIN",$R$1)</f>
        <v>BBG00RYDWX24</v>
      </c>
      <c r="S85" s="1" t="str">
        <f>IF(Q85="Cash",Q85,IF(OR(Q85="Receivable Investments",Q85="Payable Investments"),"Cash Adjustments",_xll.BDP(R85&amp;" FIGI",$S$1)))</f>
        <v>BOND</v>
      </c>
      <c r="T85" s="1" t="str">
        <f>IF(Q85="Cash",Q85,IF(OR(Q85="Receivable Investments",Q85="Payable Investments"),"Cash Adjustments",VLOOKUP(R85,LQA!E:S,3,0)))</f>
        <v>Corp</v>
      </c>
      <c r="U85" s="1" t="str">
        <f>IF(Q85="Cash",Q85,IF(OR(Q85="Receivable Investments",Q85="Payable Investments"),"Cash Adjustments",_xll.BDP(R85&amp;" FIGI",$U$1)))</f>
        <v>#N/A Field Not Applicable</v>
      </c>
      <c r="V85" s="10">
        <f>IF(OR(Q85="Cash",Q85="Receivable Investments",Q85="Payable Investments"),0,IF(Q85="Investments",VLOOKUP(R85,LQA!E:Q,12,0),"Not Covered"))</f>
        <v>0.7</v>
      </c>
      <c r="W85" s="76">
        <f>IF(OR(Q85="Cash",Q85="Receivable Investments",Q85="Payable Investments"),0,IF(Q85="Investments",VLOOKUP(R85,LQA!E:Q,9,0),"Not Covered"))</f>
        <v>2.1895000000000001E-2</v>
      </c>
      <c r="X85" s="13" t="str">
        <f>IF(OR(H85=0,T85="Comdty"),"High",IF(V85&lt;='Liquidity Bucket'!$A$4,'Liquidity Bucket'!$I$4,IF(V85&lt;='Liquidity Bucket'!$A$5,'Liquidity Bucket'!$I$5,IF(V85&lt;='Liquidity Bucket'!$A$6,'Liquidity Bucket'!$I$6,IF(V85='Liquidity Bucket'!$A$8,'Liquidity Bucket'!$I$8,'Liquidity Bucket'!$I$7)))))</f>
        <v>High</v>
      </c>
      <c r="Y85" s="153">
        <f>IF(OR(Q85="Cash",Q85="Receivable Investments",Q85="Payable Investments"),0,IF(Q85="Investments",VLOOKUP(R85,'LQA Stress'!E:Q,12,0),"Not Covered"))</f>
        <v>1.9</v>
      </c>
      <c r="Z85" s="75">
        <f>IF(OR(Q85="Cash",Q85="Receivable Investments",Q85="Payable Investments"),0,IF(Q85="Investments",VLOOKUP(R85,'LQA Stress'!E:Q,9,0),"Not Covered"))</f>
        <v>5.4635999999999997E-2</v>
      </c>
      <c r="AA85" s="13" t="str">
        <f>IF(T85="Comdty","High",IF(Y85&lt;='Liquidity Bucket'!$A$4,'Liquidity Bucket'!$I$4,IF(Y85&lt;='Liquidity Bucket'!$A$5,'Liquidity Bucket'!$I$5,IF(Y85&lt;='Liquidity Bucket'!$A$6,'Liquidity Bucket'!$I$6,IF(Y85='Liquidity Bucket'!$A$8,'Liquidity Bucket'!$I$8,'Liquidity Bucket'!$I$7)))))</f>
        <v>High</v>
      </c>
      <c r="AB85" s="14">
        <f>(N85+M85)/'FX Rates'!$C$5</f>
        <v>2876185.749484004</v>
      </c>
      <c r="AC85" s="15" t="str">
        <f>IF(X85="Not Covered", (H85/_xll.BDP(R85&amp;" FIGI",$AC$1)),"")</f>
        <v/>
      </c>
      <c r="AD85" s="16" t="str">
        <f>IF(X85="Not Covered", _xll.BDP(R85&amp;" FIGI",$AD$1),"")</f>
        <v/>
      </c>
      <c r="AE85" s="16" t="str">
        <f>IF(OR(T85="Corp",T85="Govt"),IF(_xll.BDP(R85&amp;" FIGI",$AE$1)="#N/A N/A","",_xll.BDP(R85&amp;" FIGI",$AE$1)),"")</f>
        <v/>
      </c>
      <c r="AF85" s="1" t="str">
        <f>IF(OR(T85="Corp",T85="Govt"),IF(_xll.BDP(R85&amp;" FIGI",$AF$1)="#N/A N/A","",_xll.BDP(R85&amp;" FIGI",$AF$1)),"")</f>
        <v/>
      </c>
      <c r="AG85" s="16" t="str">
        <f>IF(OR(T85="Corp",T85="Govt"),IF(_xll.BDP(R85&amp;" FIGI",$AG$1)="#N/A N/A","",_xll.BDP(R85&amp;" FIGI",$AG$1)),"")</f>
        <v>B+</v>
      </c>
      <c r="AH85" s="125">
        <f>IF(OR(S85="Cash",S85="M-Mkt"),21,IF(AE85="",0,VLOOKUP(AE85,'Rating Scale'!A:B,2,0)))</f>
        <v>0</v>
      </c>
      <c r="AI85" s="125">
        <f>IF(OR(S85="Cash",S85="M-Mkt"),21,IF(AF85="",0,VLOOKUP(AF85,'Rating Scale'!D:E,2,0)))</f>
        <v>0</v>
      </c>
      <c r="AJ85" s="125">
        <f>IF(OR(S85="Cash",S85="M-Mkt"),21,IF(AG85="",0,VLOOKUP(AG85,'Rating Scale'!G:H,2,0)))</f>
        <v>8</v>
      </c>
      <c r="AK85">
        <f t="shared" si="10"/>
        <v>8</v>
      </c>
      <c r="AL85" s="1" t="str">
        <f>IF(OR(U85="Cash",U85="Cash Adjustments"),_xll.BDP(G85&amp;" Curncy","Country"),IF(T85="Equity",_xll.BDP(R85&amp;" FIGI","CNTRY_ISSUE_ISO"),_xll.BDP(R85&amp;" FIGI",$AL$1)))</f>
        <v>CN</v>
      </c>
      <c r="AM85" s="126" t="str">
        <f>IF(OR(T85="Cash",T85="Cash Adjustments",T85="M-Mkt"), T85, IF(T85="Comdty",AS85, _xll.BDP(R85&amp;" FIGI", $AM$1)))</f>
        <v>Financial</v>
      </c>
      <c r="AN85" s="126" t="str">
        <f>IF(OR(T85="Cash",T85="Cash Adjustments",T85="M-Mkt"), T85,  IF(T85="Comdty",AS85,_xll.BDP(R85&amp;" FIGI", $AN$1)))</f>
        <v>Real Estate</v>
      </c>
      <c r="AO85" s="126" t="str">
        <f>IF(OR(T85="Cash",T85="Cash Adjustments",T85="M-Mkt"), T85,  IF(T85="Comdty",AS85,_xll.BDP(R85&amp;" FIGI", $AO$1)))</f>
        <v>Real Estate Oper/Develop</v>
      </c>
      <c r="AP85" s="13" t="str">
        <f>IF(OR(T85="Cash",T85="Cash Adjustments"), T85, IF(_xll.BDP(R85&amp;" FIGI", $AP$1)="#N/A Field Not Applicable","N",_xll.BDP(R85&amp;" FIGI", $AP$1)))</f>
        <v>N</v>
      </c>
      <c r="AQ85" s="1" t="str">
        <f>IF(OR(T85="Cash",T85="Cash Adjustments"), T85, IF(_xll.BDP(R85&amp;" FIGI", $AQ$1)="#N/A Field Not Applicable"," ",_xll.BDP(R85&amp;" FIGI", $AQ$1)))</f>
        <v xml:space="preserve"> </v>
      </c>
      <c r="AR85" s="1" t="str">
        <f>IF(OR(T85="Cash",T85="Cash Adjustments"), T85, IF(_xll.BDP(R85&amp;" FIGI", $AR$1)="#N/A Field Not Applicable"," ",_xll.BDP(R85&amp;" FIGI", $AR$1)))</f>
        <v>ACTV</v>
      </c>
      <c r="AS85" s="1" t="str">
        <f>VLOOKUP(T85,'SFC Classifcation'!$F$2:$H$7,3,0)</f>
        <v>Corporate</v>
      </c>
      <c r="AT85" s="22" t="str">
        <f t="shared" si="12"/>
        <v>Financial</v>
      </c>
      <c r="AU85" s="1" t="str">
        <f t="shared" si="13"/>
        <v>Non-Investment Grade</v>
      </c>
      <c r="AV85" s="1" t="str">
        <f>IF(OR(T85="Cash",T85="Cash Adjustments"),T85,VLOOKUP(AL85,'SFC Classifcation'!$A:$C,3,0))</f>
        <v>China</v>
      </c>
      <c r="AW85" s="22" t="str">
        <f t="shared" si="14"/>
        <v>High</v>
      </c>
      <c r="AX85" s="22" t="str">
        <f t="shared" si="15"/>
        <v>High</v>
      </c>
      <c r="AY85" s="45" t="str">
        <f>IF(OR(T85="Cash",T85="Cash Adjustments"), T85, _xll.BDP(R85&amp;" FIGI", $AY$1))</f>
        <v>#N/A Field Not Applicable</v>
      </c>
      <c r="AZ85" s="45" t="str">
        <f>IF(OR(T85="Cash",T85="Cash Adjustments"), T85, _xll.BDP(R85&amp;" FIGI", $AZ$1))</f>
        <v>SPECIAL PURPOSE</v>
      </c>
      <c r="BA85" s="45" t="str">
        <f>IF(OR(T85="Cash",T85="Cash Adjustments"), T85, _xll.BDP(R85&amp;" FIGI", $BA$1))</f>
        <v>#N/A Field Not Applicable</v>
      </c>
      <c r="BB85" s="16">
        <f>IF(OR(AS85="Government",AS85="Corporate"),(AK85*AB85/'SFC Report'!$C$20),"")</f>
        <v>4.1802716866371985E-2</v>
      </c>
      <c r="BC85" s="174" t="str">
        <f>IF(OR(T85="Cash",T85="Cash Adjustments", T85="FX Forward", T85="Repo", T85="Equity", T85="M-Mkt"), "", _xll.BDP(R85&amp;" FIGI", $BC$1))</f>
        <v>8/27/2022</v>
      </c>
      <c r="BD85" s="125">
        <f ca="1">IF(OR(T85="Cash",T85="Cash Adjustments",T85="FX Forward",T85="Repo", T85="Equity", T85="M-Mkt"),"",(BC85-'SFC Report'!$B$13)/365)</f>
        <v>2.3260273972602739</v>
      </c>
      <c r="BE85" s="82" t="str">
        <f t="shared" ca="1" si="9"/>
        <v>2 - 3 yrs</v>
      </c>
      <c r="BF85" s="5">
        <f ca="1">IF(BC85="","",BD85*AB85/'SFC Report'!$C$20)</f>
        <v>1.215428308888692E-2</v>
      </c>
      <c r="BG85" s="14" cm="1">
        <f t="array" ref="BG85">IF(OR(AS85="Corporate",AS85="Government"),_xll.BDP(G85&amp;" ISIN", $BG$1),"")</f>
        <v>1.8959560884894988</v>
      </c>
      <c r="BH85" s="140">
        <f>IF(OR(AS85="Corporate",AS85="Government"),BG85*BN85/'SFC Report'!$C$20,"")</f>
        <v>9.9070144447750783E-3</v>
      </c>
      <c r="BI85" s="140">
        <f>IF(OR(AS85="Corporate",AS85="Government"),_xll.BDP(G85&amp;" ISIN", $BI$1),"")</f>
        <v>12.80327744390404</v>
      </c>
      <c r="BJ85" s="140">
        <f>IF(OR(AS85="Corporate",AS85="Government"),BI85*AB85/'SFC Report'!$C$20,"")</f>
        <v>6.6901472743640916E-2</v>
      </c>
      <c r="BK85" s="153" t="str">
        <f>IF(OR(T85="Cash",T85="Cash Adjustments"),"-",_xll.BDP(R85&amp;" FIGI",$BK$1))</f>
        <v>XS2125118971</v>
      </c>
      <c r="BL85" s="11" t="str">
        <f>IF(OR(AS85="Cash", AS85="Cash Adjustments"),"-",IF(ISNA(VLOOKUP(BK85,'BBG - VaR Data (Sample, Indus )'!C:N,5,0)),"-",VLOOKUP(BK85,'BBG - VaR Data (Sample, Indus )'!C:N,5,0)))</f>
        <v>-</v>
      </c>
      <c r="BM85" s="11">
        <f>IF(OR(AS85="Cash", AS85="Cash Adjustments"),"-",IF(ISNA(VLOOKUP(BK85,'BBG - Scenarios (Sample View)'!C:Z,14,0)),"-",VLOOKUP(BK85,'BBG - Scenarios (Sample View)'!C:Z,14,0)))</f>
        <v>-5.61</v>
      </c>
      <c r="BN85" s="14">
        <f t="shared" si="16"/>
        <v>2876185.749484004</v>
      </c>
      <c r="BO85" s="1">
        <f t="shared" si="17"/>
        <v>5.6420665325144946E-3</v>
      </c>
      <c r="BP85" t="str">
        <f>IF(BC85&lt;&gt;0,MaturityBucket(BG85),"")</f>
        <v>1 - 2 yrs</v>
      </c>
      <c r="BQ85" s="11" t="str">
        <f>IF(OR(T85="Cash",T85="Cash Adjustments"),T85,VLOOKUP(AL85,'SFC Classifcation'!$A:$C,2,0))</f>
        <v>China</v>
      </c>
      <c r="BR85" s="1" t="e">
        <f>IF(S85="Bond",BH85/'SFC Report'!$B$7,"")</f>
        <v>#VALUE!</v>
      </c>
      <c r="BS85" t="str">
        <f>IF(OR(T85="Cash",T85="Cash Adjustments"),"-",_xll.BDP(R85&amp;" FIGI",$BS$1))</f>
        <v>#N/A N/A</v>
      </c>
      <c r="BT85" t="str">
        <f>IF(OR(T85="Cash",T85="Cash Adjustments"),"-",_xll.BDP(R85&amp;" FIGI",$BT$1))</f>
        <v>#N/A N/A</v>
      </c>
      <c r="BU85" t="str">
        <f>IF(OR(T85="Cash",T85="Cash Adjustments"),"-",_xll.BDP(R85&amp;" FIGI",$BU$1))</f>
        <v>2/23/2020</v>
      </c>
    </row>
    <row r="86" spans="1:73">
      <c r="A86" s="254" t="s">
        <v>15</v>
      </c>
      <c r="B86" s="254" t="s">
        <v>25</v>
      </c>
      <c r="C86" s="254" t="s">
        <v>46</v>
      </c>
      <c r="D86" s="254" t="s">
        <v>22</v>
      </c>
      <c r="E86" s="254"/>
      <c r="F86" s="254" t="s">
        <v>936</v>
      </c>
      <c r="G86" s="254" t="s">
        <v>937</v>
      </c>
      <c r="H86" s="270">
        <v>5000000</v>
      </c>
      <c r="I86" s="270">
        <v>98.308000000000007</v>
      </c>
      <c r="J86" s="270">
        <v>5022160.71</v>
      </c>
      <c r="K86" s="270">
        <v>39354455.350000001</v>
      </c>
      <c r="L86" s="270">
        <v>-1259122.27</v>
      </c>
      <c r="M86" s="270">
        <v>610731.91</v>
      </c>
      <c r="N86" s="270">
        <v>38095333.079999998</v>
      </c>
      <c r="O86" s="255">
        <v>8.3999999999999995E-3</v>
      </c>
      <c r="P86" s="1"/>
      <c r="Q86" s="1" t="str">
        <f t="shared" si="11"/>
        <v>Investments</v>
      </c>
      <c r="R86" s="1" t="str">
        <f>_xll.BDP(G86&amp;" ISIN",$R$1)</f>
        <v>BBG00PV1L0V9</v>
      </c>
      <c r="S86" s="1" t="str">
        <f>IF(Q86="Cash",Q86,IF(OR(Q86="Receivable Investments",Q86="Payable Investments"),"Cash Adjustments",_xll.BDP(R86&amp;" FIGI",$S$1)))</f>
        <v>BOND</v>
      </c>
      <c r="T86" s="1" t="str">
        <f>IF(Q86="Cash",Q86,IF(OR(Q86="Receivable Investments",Q86="Payable Investments"),"Cash Adjustments",VLOOKUP(R86,LQA!E:S,3,0)))</f>
        <v>Corp</v>
      </c>
      <c r="U86" s="1" t="str">
        <f>IF(Q86="Cash",Q86,IF(OR(Q86="Receivable Investments",Q86="Payable Investments"),"Cash Adjustments",_xll.BDP(R86&amp;" FIGI",$U$1)))</f>
        <v>#N/A Field Not Applicable</v>
      </c>
      <c r="V86" s="10">
        <f>IF(OR(Q86="Cash",Q86="Receivable Investments",Q86="Payable Investments"),0,IF(Q86="Investments",VLOOKUP(R86,LQA!E:Q,12,0),"Not Covered"))</f>
        <v>0.3</v>
      </c>
      <c r="W86" s="76">
        <f>IF(OR(Q86="Cash",Q86="Receivable Investments",Q86="Payable Investments"),0,IF(Q86="Investments",VLOOKUP(R86,LQA!E:Q,9,0),"Not Covered"))</f>
        <v>4.633E-3</v>
      </c>
      <c r="X86" s="13" t="str">
        <f>IF(OR(H86=0,T86="Comdty"),"High",IF(V86&lt;='Liquidity Bucket'!$A$4,'Liquidity Bucket'!$I$4,IF(V86&lt;='Liquidity Bucket'!$A$5,'Liquidity Bucket'!$I$5,IF(V86&lt;='Liquidity Bucket'!$A$6,'Liquidity Bucket'!$I$6,IF(V86='Liquidity Bucket'!$A$8,'Liquidity Bucket'!$I$8,'Liquidity Bucket'!$I$7)))))</f>
        <v>High</v>
      </c>
      <c r="Y86" s="153">
        <f>IF(OR(Q86="Cash",Q86="Receivable Investments",Q86="Payable Investments"),0,IF(Q86="Investments",VLOOKUP(R86,'LQA Stress'!E:Q,12,0),"Not Covered"))</f>
        <v>2</v>
      </c>
      <c r="Z86" s="75">
        <f>IF(OR(Q86="Cash",Q86="Receivable Investments",Q86="Payable Investments"),0,IF(Q86="Investments",VLOOKUP(R86,'LQA Stress'!E:Q,9,0),"Not Covered"))</f>
        <v>1.1067E-2</v>
      </c>
      <c r="AA86" s="13" t="str">
        <f>IF(T86="Comdty","High",IF(Y86&lt;='Liquidity Bucket'!$A$4,'Liquidity Bucket'!$I$4,IF(Y86&lt;='Liquidity Bucket'!$A$5,'Liquidity Bucket'!$I$5,IF(Y86&lt;='Liquidity Bucket'!$A$6,'Liquidity Bucket'!$I$6,IF(Y86='Liquidity Bucket'!$A$8,'Liquidity Bucket'!$I$8,'Liquidity Bucket'!$I$7)))))</f>
        <v>High</v>
      </c>
      <c r="AB86" s="14">
        <f>(N86+M86)/'FX Rates'!$C$5</f>
        <v>4993042.4393704841</v>
      </c>
      <c r="AC86" s="15" t="str">
        <f>IF(X86="Not Covered", (H86/_xll.BDP(R86&amp;" FIGI",$AC$1)),"")</f>
        <v/>
      </c>
      <c r="AD86" s="16" t="str">
        <f>IF(X86="Not Covered", _xll.BDP(R86&amp;" FIGI",$AD$1),"")</f>
        <v/>
      </c>
      <c r="AE86" s="16" t="str">
        <f>IF(OR(T86="Corp",T86="Govt"),IF(_xll.BDP(R86&amp;" FIGI",$AE$1)="#N/A N/A","",_xll.BDP(R86&amp;" FIGI",$AE$1)),"")</f>
        <v/>
      </c>
      <c r="AF86" s="1" t="str">
        <f>IF(OR(T86="Corp",T86="Govt"),IF(_xll.BDP(R86&amp;" FIGI",$AF$1)="#N/A N/A","",_xll.BDP(R86&amp;" FIGI",$AF$1)),"")</f>
        <v>B1</v>
      </c>
      <c r="AG86" s="16" t="str">
        <f>IF(OR(T86="Corp",T86="Govt"),IF(_xll.BDP(R86&amp;" FIGI",$AG$1)="#N/A N/A","",_xll.BDP(R86&amp;" FIGI",$AG$1)),"")</f>
        <v>B</v>
      </c>
      <c r="AH86" s="125">
        <f>IF(OR(S86="Cash",S86="M-Mkt"),21,IF(AE86="",0,VLOOKUP(AE86,'Rating Scale'!A:B,2,0)))</f>
        <v>0</v>
      </c>
      <c r="AI86" s="125">
        <f>IF(OR(S86="Cash",S86="M-Mkt"),21,IF(AF86="",0,VLOOKUP(AF86,'Rating Scale'!D:E,2,0)))</f>
        <v>8</v>
      </c>
      <c r="AJ86" s="125">
        <f>IF(OR(S86="Cash",S86="M-Mkt"),21,IF(AG86="",0,VLOOKUP(AG86,'Rating Scale'!G:H,2,0)))</f>
        <v>7</v>
      </c>
      <c r="AK86">
        <f t="shared" si="10"/>
        <v>7</v>
      </c>
      <c r="AL86" s="1" t="str">
        <f>IF(OR(U86="Cash",U86="Cash Adjustments"),_xll.BDP(G86&amp;" Curncy","Country"),IF(T86="Equity",_xll.BDP(R86&amp;" FIGI","CNTRY_ISSUE_ISO"),_xll.BDP(R86&amp;" FIGI",$AL$1)))</f>
        <v>CN</v>
      </c>
      <c r="AM86" s="126" t="str">
        <f>IF(OR(T86="Cash",T86="Cash Adjustments",T86="M-Mkt"), T86, IF(T86="Comdty",AS86, _xll.BDP(R86&amp;" FIGI", $AM$1)))</f>
        <v>Energy</v>
      </c>
      <c r="AN86" s="126" t="str">
        <f>IF(OR(T86="Cash",T86="Cash Adjustments",T86="M-Mkt"), T86,  IF(T86="Comdty",AS86,_xll.BDP(R86&amp;" FIGI", $AN$1)))</f>
        <v>Oil&amp;Gas Services</v>
      </c>
      <c r="AO86" s="126" t="str">
        <f>IF(OR(T86="Cash",T86="Cash Adjustments",T86="M-Mkt"), T86,  IF(T86="Comdty",AS86,_xll.BDP(R86&amp;" FIGI", $AO$1)))</f>
        <v>Oil-Field Services</v>
      </c>
      <c r="AP86" s="13" t="str">
        <f>IF(OR(T86="Cash",T86="Cash Adjustments"), T86, IF(_xll.BDP(R86&amp;" FIGI", $AP$1)="#N/A Field Not Applicable","N",_xll.BDP(R86&amp;" FIGI", $AP$1)))</f>
        <v>N</v>
      </c>
      <c r="AQ86" s="1" t="str">
        <f>IF(OR(T86="Cash",T86="Cash Adjustments"), T86, IF(_xll.BDP(R86&amp;" FIGI", $AQ$1)="#N/A Field Not Applicable"," ",_xll.BDP(R86&amp;" FIGI", $AQ$1)))</f>
        <v xml:space="preserve"> </v>
      </c>
      <c r="AR86" s="1" t="str">
        <f>IF(OR(T86="Cash",T86="Cash Adjustments"), T86, IF(_xll.BDP(R86&amp;" FIGI", $AR$1)="#N/A Field Not Applicable"," ",_xll.BDP(R86&amp;" FIGI", $AR$1)))</f>
        <v>ACTV</v>
      </c>
      <c r="AS86" s="1" t="str">
        <f>VLOOKUP(T86,'SFC Classifcation'!$F$2:$H$7,3,0)</f>
        <v>Corporate</v>
      </c>
      <c r="AT86" s="22" t="str">
        <f t="shared" si="12"/>
        <v>Non-Financial</v>
      </c>
      <c r="AU86" s="1" t="str">
        <f t="shared" si="13"/>
        <v>Non-Investment Grade</v>
      </c>
      <c r="AV86" s="1" t="str">
        <f>IF(OR(T86="Cash",T86="Cash Adjustments"),T86,VLOOKUP(AL86,'SFC Classifcation'!$A:$C,3,0))</f>
        <v>China</v>
      </c>
      <c r="AW86" s="22" t="str">
        <f t="shared" si="14"/>
        <v>High</v>
      </c>
      <c r="AX86" s="22" t="str">
        <f t="shared" si="15"/>
        <v>High</v>
      </c>
      <c r="AY86" s="45" t="str">
        <f>IF(OR(T86="Cash",T86="Cash Adjustments"), T86, _xll.BDP(R86&amp;" FIGI", $AY$1))</f>
        <v>Energy</v>
      </c>
      <c r="AZ86" s="45" t="str">
        <f>IF(OR(T86="Cash",T86="Cash Adjustments"), T86, _xll.BDP(R86&amp;" FIGI", $AZ$1))</f>
        <v>INDUSTRIAL</v>
      </c>
      <c r="BA86" s="45" t="str">
        <f>IF(OR(T86="Cash",T86="Cash Adjustments"), T86, _xll.BDP(R86&amp;" FIGI", $BA$1))</f>
        <v>#N/A Field Not Applicable</v>
      </c>
      <c r="BB86" s="16">
        <f>IF(OR(AS86="Government",AS86="Corporate"),(AK86*AB86/'SFC Report'!$C$20),"")</f>
        <v>6.3498123166488979E-2</v>
      </c>
      <c r="BC86" s="174" t="str">
        <f>IF(OR(T86="Cash",T86="Cash Adjustments", T86="FX Forward", T86="Repo", T86="Equity", T86="M-Mkt"), "", _xll.BDP(R86&amp;" FIGI", $BC$1))</f>
        <v>8/1/2022</v>
      </c>
      <c r="BD86" s="125">
        <f ca="1">IF(OR(T86="Cash",T86="Cash Adjustments",T86="FX Forward",T86="Repo", T86="Equity", T86="M-Mkt"),"",(BC86-'SFC Report'!$B$13)/365)</f>
        <v>2.2547945205479452</v>
      </c>
      <c r="BE86" s="82" t="str">
        <f t="shared" ca="1" si="9"/>
        <v>2 - 3 yrs</v>
      </c>
      <c r="BF86" s="5">
        <f ca="1">IF(BC86="","",BD86*AB86/'SFC Report'!$C$20)</f>
        <v>2.0453602882982553E-2</v>
      </c>
      <c r="BG86" s="14" cm="1">
        <f t="array" ref="BG86">IF(OR(AS86="Corporate",AS86="Government"),_xll.BDP(G86&amp;" ISIN", $BG$1),"")</f>
        <v>1.9552572109377384</v>
      </c>
      <c r="BH86" s="140">
        <f>IF(OR(AS86="Corporate",AS86="Government"),BG86*BN86/'SFC Report'!$C$20,"")</f>
        <v>1.7736451886041459E-2</v>
      </c>
      <c r="BI86" s="140">
        <f>IF(OR(AS86="Corporate",AS86="Government"),_xll.BDP(G86&amp;" ISIN", $BI$1),"")</f>
        <v>7.2625325517503105</v>
      </c>
      <c r="BJ86" s="140">
        <f>IF(OR(AS86="Corporate",AS86="Government"),BI86*AB86/'SFC Report'!$C$20,"")</f>
        <v>6.5879598067382389E-2</v>
      </c>
      <c r="BK86" s="153" t="str">
        <f>IF(OR(T86="Cash",T86="Cash Adjustments"),"-",_xll.BDP(R86&amp;" FIGI",$BK$1))</f>
        <v>XS2034868047</v>
      </c>
      <c r="BL86" s="11" t="str">
        <f>IF(OR(AS86="Cash", AS86="Cash Adjustments"),"-",IF(ISNA(VLOOKUP(BK86,'BBG - VaR Data (Sample, Indus )'!C:N,5,0)),"-",VLOOKUP(BK86,'BBG - VaR Data (Sample, Indus )'!C:N,5,0)))</f>
        <v>-</v>
      </c>
      <c r="BM86" s="11">
        <f>IF(OR(AS86="Cash", AS86="Cash Adjustments"),"-",IF(ISNA(VLOOKUP(BK86,'BBG - Scenarios (Sample View)'!C:Z,14,0)),"-",VLOOKUP(BK86,'BBG - Scenarios (Sample View)'!C:Z,14,0)))</f>
        <v>-2.41</v>
      </c>
      <c r="BN86" s="14">
        <f t="shared" si="16"/>
        <v>4993042.4393704841</v>
      </c>
      <c r="BO86" s="1">
        <f t="shared" si="17"/>
        <v>9.7945960714292228E-3</v>
      </c>
      <c r="BP86" t="str">
        <f>IF(BC86&lt;&gt;0,MaturityBucket(BG86),"")</f>
        <v>1 - 2 yrs</v>
      </c>
      <c r="BQ86" s="11" t="str">
        <f>IF(OR(T86="Cash",T86="Cash Adjustments"),T86,VLOOKUP(AL86,'SFC Classifcation'!$A:$C,2,0))</f>
        <v>China</v>
      </c>
      <c r="BR86" s="1" t="e">
        <f>IF(S86="Bond",BH86/'SFC Report'!$B$7,"")</f>
        <v>#VALUE!</v>
      </c>
      <c r="BS86" t="str">
        <f>IF(OR(T86="Cash",T86="Cash Adjustments"),"-",_xll.BDP(R86&amp;" FIGI",$BS$1))</f>
        <v>#N/A N/A</v>
      </c>
      <c r="BT86" t="str">
        <f>IF(OR(T86="Cash",T86="Cash Adjustments"),"-",_xll.BDP(R86&amp;" FIGI",$BT$1))</f>
        <v>7/22/2019</v>
      </c>
      <c r="BU86" t="str">
        <f>IF(OR(T86="Cash",T86="Cash Adjustments"),"-",_xll.BDP(R86&amp;" FIGI",$BU$1))</f>
        <v>8/1/2019</v>
      </c>
    </row>
    <row r="87" spans="1:73">
      <c r="A87" s="254" t="s">
        <v>15</v>
      </c>
      <c r="B87" s="254" t="s">
        <v>25</v>
      </c>
      <c r="C87" s="254" t="s">
        <v>46</v>
      </c>
      <c r="D87" s="254" t="s">
        <v>22</v>
      </c>
      <c r="E87" s="254"/>
      <c r="F87" s="254" t="s">
        <v>903</v>
      </c>
      <c r="G87" s="254" t="s">
        <v>881</v>
      </c>
      <c r="H87" s="270">
        <v>3000000</v>
      </c>
      <c r="I87" s="270">
        <v>94.543999999999997</v>
      </c>
      <c r="J87" s="270">
        <v>2998125</v>
      </c>
      <c r="K87" s="270">
        <v>23441617.23</v>
      </c>
      <c r="L87" s="270">
        <v>-1459569.96</v>
      </c>
      <c r="M87" s="270">
        <v>595796.63</v>
      </c>
      <c r="N87" s="270">
        <v>21982047.27</v>
      </c>
      <c r="O87" s="255">
        <v>4.7999999999999996E-3</v>
      </c>
      <c r="P87" s="1"/>
      <c r="Q87" s="1" t="str">
        <f t="shared" si="11"/>
        <v>Investments</v>
      </c>
      <c r="R87" s="1" t="str">
        <f>_xll.BDP(G87&amp;" ISIN",$R$1)</f>
        <v>BBG00PGHK257</v>
      </c>
      <c r="S87" s="1" t="str">
        <f>IF(Q87="Cash",Q87,IF(OR(Q87="Receivable Investments",Q87="Payable Investments"),"Cash Adjustments",_xll.BDP(R87&amp;" FIGI",$S$1)))</f>
        <v>BOND</v>
      </c>
      <c r="T87" s="1" t="str">
        <f>IF(Q87="Cash",Q87,IF(OR(Q87="Receivable Investments",Q87="Payable Investments"),"Cash Adjustments",VLOOKUP(R87,LQA!E:S,3,0)))</f>
        <v>Corp</v>
      </c>
      <c r="U87" s="1" t="str">
        <f>IF(Q87="Cash",Q87,IF(OR(Q87="Receivable Investments",Q87="Payable Investments"),"Cash Adjustments",_xll.BDP(R87&amp;" FIGI",$U$1)))</f>
        <v>#N/A Field Not Applicable</v>
      </c>
      <c r="V87" s="10">
        <f>IF(OR(Q87="Cash",Q87="Receivable Investments",Q87="Payable Investments"),0,IF(Q87="Investments",VLOOKUP(R87,LQA!E:Q,12,0),"Not Covered"))</f>
        <v>0.3</v>
      </c>
      <c r="W87" s="76">
        <f>IF(OR(Q87="Cash",Q87="Receivable Investments",Q87="Payable Investments"),0,IF(Q87="Investments",VLOOKUP(R87,LQA!E:Q,9,0),"Not Covered"))</f>
        <v>8.2620000000000002E-3</v>
      </c>
      <c r="X87" s="13" t="str">
        <f>IF(OR(H87=0,T87="Comdty"),"High",IF(V87&lt;='Liquidity Bucket'!$A$4,'Liquidity Bucket'!$I$4,IF(V87&lt;='Liquidity Bucket'!$A$5,'Liquidity Bucket'!$I$5,IF(V87&lt;='Liquidity Bucket'!$A$6,'Liquidity Bucket'!$I$6,IF(V87='Liquidity Bucket'!$A$8,'Liquidity Bucket'!$I$8,'Liquidity Bucket'!$I$7)))))</f>
        <v>High</v>
      </c>
      <c r="Y87" s="153">
        <f>IF(OR(Q87="Cash",Q87="Receivable Investments",Q87="Payable Investments"),0,IF(Q87="Investments",VLOOKUP(R87,'LQA Stress'!E:Q,12,0),"Not Covered"))</f>
        <v>0.8</v>
      </c>
      <c r="Z87" s="75">
        <f>IF(OR(Q87="Cash",Q87="Receivable Investments",Q87="Payable Investments"),0,IF(Q87="Investments",VLOOKUP(R87,'LQA Stress'!E:Q,9,0),"Not Covered"))</f>
        <v>2.1838E-2</v>
      </c>
      <c r="AA87" s="13" t="str">
        <f>IF(T87="Comdty","High",IF(Y87&lt;='Liquidity Bucket'!$A$4,'Liquidity Bucket'!$I$4,IF(Y87&lt;='Liquidity Bucket'!$A$5,'Liquidity Bucket'!$I$5,IF(Y87&lt;='Liquidity Bucket'!$A$6,'Liquidity Bucket'!$I$6,IF(Y87='Liquidity Bucket'!$A$8,'Liquidity Bucket'!$I$8,'Liquidity Bucket'!$I$7)))))</f>
        <v>High</v>
      </c>
      <c r="AB87" s="14">
        <f>(N87+M87)/'FX Rates'!$C$5</f>
        <v>2912518.5629514963</v>
      </c>
      <c r="AC87" s="15" t="str">
        <f>IF(X87="Not Covered", (H87/_xll.BDP(R87&amp;" FIGI",$AC$1)),"")</f>
        <v/>
      </c>
      <c r="AD87" s="16" t="str">
        <f>IF(X87="Not Covered", _xll.BDP(R87&amp;" FIGI",$AD$1),"")</f>
        <v/>
      </c>
      <c r="AE87" s="16" t="str">
        <f>IF(OR(T87="Corp",T87="Govt"),IF(_xll.BDP(R87&amp;" FIGI",$AE$1)="#N/A N/A","",_xll.BDP(R87&amp;" FIGI",$AE$1)),"")</f>
        <v/>
      </c>
      <c r="AF87" s="1" t="str">
        <f>IF(OR(T87="Corp",T87="Govt"),IF(_xll.BDP(R87&amp;" FIGI",$AF$1)="#N/A N/A","",_xll.BDP(R87&amp;" FIGI",$AF$1)),"")</f>
        <v/>
      </c>
      <c r="AG87" s="16" t="str">
        <f>IF(OR(T87="Corp",T87="Govt"),IF(_xll.BDP(R87&amp;" FIGI",$AG$1)="#N/A N/A","",_xll.BDP(R87&amp;" FIGI",$AG$1)),"")</f>
        <v>B+</v>
      </c>
      <c r="AH87" s="125">
        <f>IF(OR(S87="Cash",S87="M-Mkt"),21,IF(AE87="",0,VLOOKUP(AE87,'Rating Scale'!A:B,2,0)))</f>
        <v>0</v>
      </c>
      <c r="AI87" s="125">
        <f>IF(OR(S87="Cash",S87="M-Mkt"),21,IF(AF87="",0,VLOOKUP(AF87,'Rating Scale'!D:E,2,0)))</f>
        <v>0</v>
      </c>
      <c r="AJ87" s="125">
        <f>IF(OR(S87="Cash",S87="M-Mkt"),21,IF(AG87="",0,VLOOKUP(AG87,'Rating Scale'!G:H,2,0)))</f>
        <v>8</v>
      </c>
      <c r="AK87">
        <f t="shared" si="10"/>
        <v>8</v>
      </c>
      <c r="AL87" s="1" t="str">
        <f>IF(OR(U87="Cash",U87="Cash Adjustments"),_xll.BDP(G87&amp;" Curncy","Country"),IF(T87="Equity",_xll.BDP(R87&amp;" FIGI","CNTRY_ISSUE_ISO"),_xll.BDP(R87&amp;" FIGI",$AL$1)))</f>
        <v>CN</v>
      </c>
      <c r="AM87" s="126" t="str">
        <f>IF(OR(T87="Cash",T87="Cash Adjustments",T87="M-Mkt"), T87, IF(T87="Comdty",AS87, _xll.BDP(R87&amp;" FIGI", $AM$1)))</f>
        <v>Financial</v>
      </c>
      <c r="AN87" s="126" t="str">
        <f>IF(OR(T87="Cash",T87="Cash Adjustments",T87="M-Mkt"), T87,  IF(T87="Comdty",AS87,_xll.BDP(R87&amp;" FIGI", $AN$1)))</f>
        <v>Real Estate</v>
      </c>
      <c r="AO87" s="126" t="str">
        <f>IF(OR(T87="Cash",T87="Cash Adjustments",T87="M-Mkt"), T87,  IF(T87="Comdty",AS87,_xll.BDP(R87&amp;" FIGI", $AO$1)))</f>
        <v>Real Estate Oper/Develop</v>
      </c>
      <c r="AP87" s="13" t="str">
        <f>IF(OR(T87="Cash",T87="Cash Adjustments"), T87, IF(_xll.BDP(R87&amp;" FIGI", $AP$1)="#N/A Field Not Applicable","N",_xll.BDP(R87&amp;" FIGI", $AP$1)))</f>
        <v>N</v>
      </c>
      <c r="AQ87" s="1" t="str">
        <f>IF(OR(T87="Cash",T87="Cash Adjustments"), T87, IF(_xll.BDP(R87&amp;" FIGI", $AQ$1)="#N/A Field Not Applicable"," ",_xll.BDP(R87&amp;" FIGI", $AQ$1)))</f>
        <v xml:space="preserve"> </v>
      </c>
      <c r="AR87" s="1" t="str">
        <f>IF(OR(T87="Cash",T87="Cash Adjustments"), T87, IF(_xll.BDP(R87&amp;" FIGI", $AR$1)="#N/A Field Not Applicable"," ",_xll.BDP(R87&amp;" FIGI", $AR$1)))</f>
        <v>ACTV</v>
      </c>
      <c r="AS87" s="1" t="str">
        <f>VLOOKUP(T87,'SFC Classifcation'!$F$2:$H$7,3,0)</f>
        <v>Corporate</v>
      </c>
      <c r="AT87" s="22" t="str">
        <f t="shared" si="12"/>
        <v>Financial</v>
      </c>
      <c r="AU87" s="1" t="str">
        <f t="shared" si="13"/>
        <v>Non-Investment Grade</v>
      </c>
      <c r="AV87" s="1" t="str">
        <f>IF(OR(T87="Cash",T87="Cash Adjustments"),T87,VLOOKUP(AL87,'SFC Classifcation'!$A:$C,3,0))</f>
        <v>China</v>
      </c>
      <c r="AW87" s="22" t="str">
        <f t="shared" si="14"/>
        <v>High</v>
      </c>
      <c r="AX87" s="22" t="str">
        <f t="shared" si="15"/>
        <v>High</v>
      </c>
      <c r="AY87" s="45" t="str">
        <f>IF(OR(T87="Cash",T87="Cash Adjustments"), T87, _xll.BDP(R87&amp;" FIGI", $AY$1))</f>
        <v>Real Estate</v>
      </c>
      <c r="AZ87" s="45" t="str">
        <f>IF(OR(T87="Cash",T87="Cash Adjustments"), T87, _xll.BDP(R87&amp;" FIGI", $AZ$1))</f>
        <v>FINANCIAL</v>
      </c>
      <c r="BA87" s="45" t="str">
        <f>IF(OR(T87="Cash",T87="Cash Adjustments"), T87, _xll.BDP(R87&amp;" FIGI", $BA$1))</f>
        <v>#N/A Field Not Applicable</v>
      </c>
      <c r="BB87" s="16">
        <f>IF(OR(AS87="Government",AS87="Corporate"),(AK87*AB87/'SFC Report'!$C$20),"")</f>
        <v>4.233078092294857E-2</v>
      </c>
      <c r="BC87" s="174" t="str">
        <f>IF(OR(T87="Cash",T87="Cash Adjustments", T87="FX Forward", T87="Repo", T87="Equity", T87="M-Mkt"), "", _xll.BDP(R87&amp;" FIGI", $BC$1))</f>
        <v>6/27/2022</v>
      </c>
      <c r="BD87" s="125">
        <f ca="1">IF(OR(T87="Cash",T87="Cash Adjustments",T87="FX Forward",T87="Repo", T87="Equity", T87="M-Mkt"),"",(BC87-'SFC Report'!$B$13)/365)</f>
        <v>2.1589041095890411</v>
      </c>
      <c r="BE87" s="82" t="str">
        <f t="shared" ca="1" si="9"/>
        <v>2 - 3 yrs</v>
      </c>
      <c r="BF87" s="5">
        <f ca="1">IF(BC87="","",BD87*AB87/'SFC Report'!$C$20)</f>
        <v>1.1423512112083381E-2</v>
      </c>
      <c r="BG87" s="14" cm="1">
        <f t="array" ref="BG87">IF(OR(AS87="Corporate",AS87="Government"),_xll.BDP(G87&amp;" ISIN", $BG$1),"")</f>
        <v>0.97680629731534974</v>
      </c>
      <c r="BH87" s="140">
        <f>IF(OR(AS87="Corporate",AS87="Government"),BG87*BN87/'SFC Report'!$C$20,"")</f>
        <v>5.1686216719765794E-3</v>
      </c>
      <c r="BI87" s="140">
        <f>IF(OR(AS87="Corporate",AS87="Government"),_xll.BDP(G87&amp;" ISIN", $BI$1),"")</f>
        <v>9.1602982859318356</v>
      </c>
      <c r="BJ87" s="140">
        <f>IF(OR(AS87="Corporate",AS87="Government"),BI87*AB87/'SFC Report'!$C$20,"")</f>
        <v>4.8470322491330223E-2</v>
      </c>
      <c r="BK87" s="153" t="str">
        <f>IF(OR(T87="Cash",T87="Cash Adjustments"),"-",_xll.BDP(R87&amp;" FIGI",$BK$1))</f>
        <v>XS1813551584</v>
      </c>
      <c r="BL87" s="11" t="str">
        <f>IF(OR(AS87="Cash", AS87="Cash Adjustments"),"-",IF(ISNA(VLOOKUP(BK87,'BBG - VaR Data (Sample, Indus )'!C:N,5,0)),"-",VLOOKUP(BK87,'BBG - VaR Data (Sample, Indus )'!C:N,5,0)))</f>
        <v>-</v>
      </c>
      <c r="BM87" s="11">
        <f>IF(OR(AS87="Cash", AS87="Cash Adjustments"),"-",IF(ISNA(VLOOKUP(BK87,'BBG - Scenarios (Sample View)'!C:Z,14,0)),"-",VLOOKUP(BK87,'BBG - Scenarios (Sample View)'!C:Z,14,0)))</f>
        <v>-2.98</v>
      </c>
      <c r="BN87" s="14">
        <f t="shared" si="16"/>
        <v>2912518.5629514963</v>
      </c>
      <c r="BO87" s="1">
        <f t="shared" si="17"/>
        <v>5.7133387550869783E-3</v>
      </c>
      <c r="BP87" t="str">
        <f>IF(BC87&lt;&gt;0,MaturityBucket(BG87),"")</f>
        <v>0 - 1 yr</v>
      </c>
      <c r="BQ87" s="11" t="str">
        <f>IF(OR(T87="Cash",T87="Cash Adjustments"),T87,VLOOKUP(AL87,'SFC Classifcation'!$A:$C,2,0))</f>
        <v>China</v>
      </c>
      <c r="BR87" s="1" t="e">
        <f>IF(S87="Bond",BH87/'SFC Report'!$B$7,"")</f>
        <v>#VALUE!</v>
      </c>
      <c r="BS87" t="str">
        <f>IF(OR(T87="Cash",T87="Cash Adjustments"),"-",_xll.BDP(R87&amp;" FIGI",$BS$1))</f>
        <v>#N/A N/A</v>
      </c>
      <c r="BT87" t="str">
        <f>IF(OR(T87="Cash",T87="Cash Adjustments"),"-",_xll.BDP(R87&amp;" FIGI",$BT$1))</f>
        <v>#N/A N/A</v>
      </c>
      <c r="BU87" t="str">
        <f>IF(OR(T87="Cash",T87="Cash Adjustments"),"-",_xll.BDP(R87&amp;" FIGI",$BU$1))</f>
        <v>6/21/2019</v>
      </c>
    </row>
    <row r="88" spans="1:73">
      <c r="A88" s="254" t="s">
        <v>15</v>
      </c>
      <c r="B88" s="254" t="s">
        <v>25</v>
      </c>
      <c r="C88" s="254" t="s">
        <v>46</v>
      </c>
      <c r="D88" s="254" t="s">
        <v>22</v>
      </c>
      <c r="E88" s="254"/>
      <c r="F88" s="254" t="s">
        <v>1313</v>
      </c>
      <c r="G88" s="254" t="s">
        <v>1314</v>
      </c>
      <c r="H88" s="270">
        <v>10000000</v>
      </c>
      <c r="I88" s="270">
        <v>99.948999999999998</v>
      </c>
      <c r="J88" s="270">
        <v>10002000</v>
      </c>
      <c r="K88" s="270">
        <v>77790555</v>
      </c>
      <c r="L88" s="270">
        <v>-328081.02</v>
      </c>
      <c r="M88" s="270">
        <v>407316.07</v>
      </c>
      <c r="N88" s="270">
        <v>77462473.980000004</v>
      </c>
      <c r="O88" s="255">
        <v>1.7000000000000001E-2</v>
      </c>
      <c r="P88" s="1"/>
      <c r="Q88" s="1" t="str">
        <f t="shared" si="11"/>
        <v>Investments</v>
      </c>
      <c r="R88" s="1" t="str">
        <f>_xll.BDP(G88&amp;" ISIN",$R$1)</f>
        <v>BBG00SBW5S62</v>
      </c>
      <c r="S88" s="191" t="s">
        <v>519</v>
      </c>
      <c r="T88" s="1" t="str">
        <f>IF(Q88="Cash",Q88,IF(OR(Q88="Receivable Investments",Q88="Payable Investments"),"Cash Adjustments",VLOOKUP(R88,LQA!E:S,3,0)))</f>
        <v>Corp</v>
      </c>
      <c r="U88" s="1" t="str">
        <f>IF(Q88="Cash",Q88,IF(OR(Q88="Receivable Investments",Q88="Payable Investments"),"Cash Adjustments",_xll.BDP(R88&amp;" FIGI",$U$1)))</f>
        <v>#N/A Field Not Applicable</v>
      </c>
      <c r="V88" s="10">
        <f>IF(OR(Q88="Cash",Q88="Receivable Investments",Q88="Payable Investments"),0,IF(Q88="Investments",VLOOKUP(R88,LQA!E:Q,12,0),"Not Covered"))</f>
        <v>13.1</v>
      </c>
      <c r="W88" s="76">
        <f>IF(OR(Q88="Cash",Q88="Receivable Investments",Q88="Payable Investments"),0,IF(Q88="Investments",VLOOKUP(R88,LQA!E:Q,9,0),"Not Covered"))</f>
        <v>7.731E-3</v>
      </c>
      <c r="X88" s="13" t="str">
        <f>IF(OR(H88=0,T88="Comdty"),"High",IF(V88&lt;='Liquidity Bucket'!$A$4,'Liquidity Bucket'!$I$4,IF(V88&lt;='Liquidity Bucket'!$A$5,'Liquidity Bucket'!$I$5,IF(V88&lt;='Liquidity Bucket'!$A$6,'Liquidity Bucket'!$I$6,IF(V88='Liquidity Bucket'!$A$8,'Liquidity Bucket'!$I$8,'Liquidity Bucket'!$I$7)))))</f>
        <v>Illiquid</v>
      </c>
      <c r="Y88" s="153">
        <f>IF(OR(Q88="Cash",Q88="Receivable Investments",Q88="Payable Investments"),0,IF(Q88="Investments",VLOOKUP(R88,'LQA Stress'!E:Q,12,0),"Not Covered"))</f>
        <v>24.2</v>
      </c>
      <c r="Z88" s="75">
        <f>IF(OR(Q88="Cash",Q88="Receivable Investments",Q88="Payable Investments"),0,IF(Q88="Investments",VLOOKUP(R88,'LQA Stress'!E:Q,9,0),"Not Covered"))</f>
        <v>2.6072000000000001E-2</v>
      </c>
      <c r="AA88" s="13" t="str">
        <f>IF(T88="Comdty","High",IF(Y88&lt;='Liquidity Bucket'!$A$4,'Liquidity Bucket'!$I$4,IF(Y88&lt;='Liquidity Bucket'!$A$5,'Liquidity Bucket'!$I$5,IF(Y88&lt;='Liquidity Bucket'!$A$6,'Liquidity Bucket'!$I$6,IF(Y88='Liquidity Bucket'!$A$8,'Liquidity Bucket'!$I$8,'Liquidity Bucket'!$I$7)))))</f>
        <v>Illiquid</v>
      </c>
      <c r="AB88" s="14">
        <f>(N88+M88)/'FX Rates'!$C$5</f>
        <v>10045122.555469556</v>
      </c>
      <c r="AC88" s="15" t="str">
        <f>IF(X88="Not Covered", (H88/_xll.BDP(R88&amp;" FIGI",$AC$1)),"")</f>
        <v/>
      </c>
      <c r="AD88" s="16" t="str">
        <f>IF(X88="Not Covered", _xll.BDP(R88&amp;" FIGI",$AD$1),"")</f>
        <v/>
      </c>
      <c r="AE88" s="16" t="str">
        <f>IF(OR(T88="Corp",T88="Govt"),IF(_xll.BDP(R88&amp;" FIGI",$AE$1)="#N/A N/A","",_xll.BDP(R88&amp;" FIGI",$AE$1)),"")</f>
        <v/>
      </c>
      <c r="AF88" s="1" t="str">
        <f>IF(OR(T88="Corp",T88="Govt"),IF(_xll.BDP(R88&amp;" FIGI",$AF$1)="#N/A N/A","",_xll.BDP(R88&amp;" FIGI",$AF$1)),"")</f>
        <v/>
      </c>
      <c r="AG88" s="16" t="str">
        <f>IF(OR(T88="Corp",T88="Govt"),IF(_xll.BDP(R88&amp;" FIGI",$AG$1)="#N/A N/A","",_xll.BDP(R88&amp;" FIGI",$AG$1)),"")</f>
        <v/>
      </c>
      <c r="AH88" s="125">
        <f>IF(OR(S88="Cash",S88="M-Mkt"),21,IF(AE88="",0,VLOOKUP(AE88,'Rating Scale'!A:B,2,0)))</f>
        <v>0</v>
      </c>
      <c r="AI88" s="125">
        <f>IF(OR(S88="Cash",S88="M-Mkt"),21,IF(AF88="",0,VLOOKUP(AF88,'Rating Scale'!D:E,2,0)))</f>
        <v>0</v>
      </c>
      <c r="AJ88" s="125">
        <f>IF(OR(S88="Cash",S88="M-Mkt"),21,IF(AG88="",0,VLOOKUP(AG88,'Rating Scale'!G:H,2,0)))</f>
        <v>0</v>
      </c>
      <c r="AK88">
        <f t="shared" si="10"/>
        <v>0</v>
      </c>
      <c r="AL88" s="1" t="str">
        <f>IF(OR(U88="Cash",U88="Cash Adjustments"),_xll.BDP(G88&amp;" Curncy","Country"),IF(T88="Equity",_xll.BDP(R88&amp;" FIGI","CNTRY_ISSUE_ISO"),_xll.BDP(R88&amp;" FIGI",$AL$1)))</f>
        <v>CN</v>
      </c>
      <c r="AM88" s="126" t="str">
        <f>IF(OR(T88="Cash",T88="Cash Adjustments",T88="M-Mkt"), T88, IF(T88="Comdty",AS88, _xll.BDP(R88&amp;" FIGI", $AM$1)))</f>
        <v>Financial</v>
      </c>
      <c r="AN88" s="126" t="str">
        <f>IF(OR(T88="Cash",T88="Cash Adjustments",T88="M-Mkt"), T88,  IF(T88="Comdty",AS88,_xll.BDP(R88&amp;" FIGI", $AN$1)))</f>
        <v>Real Estate</v>
      </c>
      <c r="AO88" s="126" t="str">
        <f>IF(OR(T88="Cash",T88="Cash Adjustments",T88="M-Mkt"), T88,  IF(T88="Comdty",AS88,_xll.BDP(R88&amp;" FIGI", $AO$1)))</f>
        <v>Real Estate Oper/Develop</v>
      </c>
      <c r="AP88" s="13" t="str">
        <f>IF(OR(T88="Cash",T88="Cash Adjustments"), T88, IF(_xll.BDP(R88&amp;" FIGI", $AP$1)="#N/A Field Not Applicable","N",_xll.BDP(R88&amp;" FIGI", $AP$1)))</f>
        <v>N</v>
      </c>
      <c r="AQ88" s="1" t="str">
        <f>IF(OR(T88="Cash",T88="Cash Adjustments"), T88, IF(_xll.BDP(R88&amp;" FIGI", $AQ$1)="#N/A Field Not Applicable"," ",_xll.BDP(R88&amp;" FIGI", $AQ$1)))</f>
        <v xml:space="preserve"> </v>
      </c>
      <c r="AR88" s="1" t="str">
        <f>IF(OR(T88="Cash",T88="Cash Adjustments"), T88, IF(_xll.BDP(R88&amp;" FIGI", $AR$1)="#N/A Field Not Applicable"," ",_xll.BDP(R88&amp;" FIGI", $AR$1)))</f>
        <v>ACTV</v>
      </c>
      <c r="AS88" s="1" t="str">
        <f>VLOOKUP(T88,'SFC Classifcation'!$F$2:$H$7,3,0)</f>
        <v>Corporate</v>
      </c>
      <c r="AT88" s="22" t="str">
        <f t="shared" si="12"/>
        <v>Financial</v>
      </c>
      <c r="AU88" s="1" t="str">
        <f t="shared" si="13"/>
        <v>Non-Investment Grade</v>
      </c>
      <c r="AV88" s="1" t="str">
        <f>IF(OR(T88="Cash",T88="Cash Adjustments"),T88,VLOOKUP(AL88,'SFC Classifcation'!$A:$C,3,0))</f>
        <v>China</v>
      </c>
      <c r="AW88" s="22" t="str">
        <f t="shared" si="14"/>
        <v>Illiquid</v>
      </c>
      <c r="AX88" s="22" t="str">
        <f t="shared" si="15"/>
        <v>Illiquid</v>
      </c>
      <c r="AY88" s="45" t="str">
        <f>IF(OR(T88="Cash",T88="Cash Adjustments"), T88, _xll.BDP(R88&amp;" FIGI", $AY$1))</f>
        <v>#N/A Field Not Applicable</v>
      </c>
      <c r="AZ88" s="45" t="str">
        <f>IF(OR(T88="Cash",T88="Cash Adjustments"), T88, _xll.BDP(R88&amp;" FIGI", $AZ$1))</f>
        <v>FINANCIAL</v>
      </c>
      <c r="BA88" s="45" t="str">
        <f>IF(OR(T88="Cash",T88="Cash Adjustments"), T88, _xll.BDP(R88&amp;" FIGI", $BA$1))</f>
        <v>#N/A Field Not Applicable</v>
      </c>
      <c r="BB88" s="16">
        <f>IF(OR(AS88="Government",AS88="Corporate"),(AK88*AB88/'SFC Report'!$C$20),"")</f>
        <v>0</v>
      </c>
      <c r="BC88" s="174" t="str">
        <f>IF(OR(T88="Cash",T88="Cash Adjustments", T88="FX Forward", T88="Repo", T88="Equity", T88="M-Mkt"), "", _xll.BDP(R88&amp;" FIGI", $BC$1))</f>
        <v>3/16/2021</v>
      </c>
      <c r="BD88" s="125">
        <f ca="1">IF(OR(T88="Cash",T88="Cash Adjustments",T88="FX Forward",T88="Repo", T88="Equity", T88="M-Mkt"),"",(BC88-'SFC Report'!$B$13)/365)</f>
        <v>0.87671232876712324</v>
      </c>
      <c r="BE88" s="82" t="str">
        <f t="shared" ref="BE88:BE148" ca="1" si="18">IF(BC88&lt;&gt;0,MaturityBucket(BD88),"")</f>
        <v>0 - 1 yr</v>
      </c>
      <c r="BF88" s="5">
        <f ca="1">IF(BC88="","",BD88*AB88/'SFC Report'!$C$20)</f>
        <v>1.5999630204676433E-2</v>
      </c>
      <c r="BG88" s="14" cm="1">
        <f t="array" ref="BG88">IF(OR(AS88="Corporate",AS88="Government"),_xll.BDP(G88&amp;" ISIN", $BG$1),"")</f>
        <v>0.77470708090113438</v>
      </c>
      <c r="BH88" s="140">
        <f>IF(OR(AS88="Corporate",AS88="Government"),BG88*BN88/'SFC Report'!$C$20,"")</f>
        <v>1.4138077456710351E-2</v>
      </c>
      <c r="BI88" s="140">
        <f>IF(OR(AS88="Corporate",AS88="Government"),_xll.BDP(G88&amp;" ISIN", $BI$1),"")</f>
        <v>4.482493274750234</v>
      </c>
      <c r="BJ88" s="140">
        <f>IF(OR(AS88="Corporate",AS88="Government"),BI88*AB88/'SFC Report'!$C$20,"")</f>
        <v>8.1803611558430578E-2</v>
      </c>
      <c r="BK88" s="153" t="str">
        <f>IF(OR(T88="Cash",T88="Cash Adjustments"),"-",_xll.BDP(R88&amp;" FIGI",$BK$1))</f>
        <v>XS2131434099</v>
      </c>
      <c r="BL88" s="11" t="str">
        <f>IF(OR(AS88="Cash", AS88="Cash Adjustments"),"-",IF(ISNA(VLOOKUP(BK88,'BBG - VaR Data (Sample, Indus )'!C:N,5,0)),"-",VLOOKUP(BK88,'BBG - VaR Data (Sample, Indus )'!C:N,5,0)))</f>
        <v>-</v>
      </c>
      <c r="BM88" s="11">
        <f>IF(OR(AS88="Cash", AS88="Cash Adjustments"),"-",IF(ISNA(VLOOKUP(BK88,'BBG - Scenarios (Sample View)'!C:Z,14,0)),"-",VLOOKUP(BK88,'BBG - Scenarios (Sample View)'!C:Z,14,0)))</f>
        <v>-0.99</v>
      </c>
      <c r="BN88" s="14">
        <f t="shared" si="16"/>
        <v>10045122.555469556</v>
      </c>
      <c r="BO88" s="1">
        <f t="shared" si="17"/>
        <v>1.970500333484684E-2</v>
      </c>
      <c r="BP88" t="str">
        <f>IF(BC88&lt;&gt;0,MaturityBucket(BG88),"")</f>
        <v>0 - 1 yr</v>
      </c>
      <c r="BQ88" s="11" t="str">
        <f>IF(OR(T88="Cash",T88="Cash Adjustments"),T88,VLOOKUP(AL88,'SFC Classifcation'!$A:$C,2,0))</f>
        <v>China</v>
      </c>
      <c r="BR88" s="1" t="e">
        <f>IF(S88="Bond",BH88/'SFC Report'!$B$7,"")</f>
        <v>#VALUE!</v>
      </c>
      <c r="BS88" t="str">
        <f>IF(OR(T88="Cash",T88="Cash Adjustments"),"-",_xll.BDP(R88&amp;" FIGI",$BS$1))</f>
        <v>#N/A N/A</v>
      </c>
      <c r="BT88" t="str">
        <f>IF(OR(T88="Cash",T88="Cash Adjustments"),"-",_xll.BDP(R88&amp;" FIGI",$BT$1))</f>
        <v>#N/A N/A</v>
      </c>
      <c r="BU88" t="str">
        <f>IF(OR(T88="Cash",T88="Cash Adjustments"),"-",_xll.BDP(R88&amp;" FIGI",$BU$1))</f>
        <v>#N/A N/A</v>
      </c>
    </row>
    <row r="89" spans="1:73">
      <c r="A89" s="254" t="s">
        <v>15</v>
      </c>
      <c r="B89" s="254" t="s">
        <v>25</v>
      </c>
      <c r="C89" s="254" t="s">
        <v>46</v>
      </c>
      <c r="D89" s="254" t="s">
        <v>22</v>
      </c>
      <c r="E89" s="254"/>
      <c r="F89" s="254" t="s">
        <v>1211</v>
      </c>
      <c r="G89" s="254" t="s">
        <v>1212</v>
      </c>
      <c r="H89" s="270">
        <v>1500000</v>
      </c>
      <c r="I89" s="270">
        <v>93.968999999999994</v>
      </c>
      <c r="J89" s="270">
        <v>1500000</v>
      </c>
      <c r="K89" s="270">
        <v>11686650.01</v>
      </c>
      <c r="L89" s="270">
        <v>-762471.86</v>
      </c>
      <c r="M89" s="270">
        <v>75467.58</v>
      </c>
      <c r="N89" s="270">
        <v>10924178.15</v>
      </c>
      <c r="O89" s="255">
        <v>2.3999999999999998E-3</v>
      </c>
      <c r="P89" s="1"/>
      <c r="Q89" s="1" t="str">
        <f t="shared" si="11"/>
        <v>Investments</v>
      </c>
      <c r="R89" s="1" t="str">
        <f>_xll.BDP(G89&amp;" ISIN",$R$1)</f>
        <v>BBG00RYDYKF6</v>
      </c>
      <c r="S89" s="1" t="str">
        <f>IF(Q89="Cash",Q89,IF(OR(Q89="Receivable Investments",Q89="Payable Investments"),"Cash Adjustments",_xll.BDP(R89&amp;" FIGI",$S$1)))</f>
        <v>BOND</v>
      </c>
      <c r="T89" s="1" t="str">
        <f>IF(Q89="Cash",Q89,IF(OR(Q89="Receivable Investments",Q89="Payable Investments"),"Cash Adjustments",VLOOKUP(R89,LQA!E:S,3,0)))</f>
        <v>Corp</v>
      </c>
      <c r="U89" s="1" t="str">
        <f>IF(Q89="Cash",Q89,IF(OR(Q89="Receivable Investments",Q89="Payable Investments"),"Cash Adjustments",_xll.BDP(R89&amp;" FIGI",$U$1)))</f>
        <v>#N/A Field Not Applicable</v>
      </c>
      <c r="V89" s="10">
        <f>IF(OR(Q89="Cash",Q89="Receivable Investments",Q89="Payable Investments"),0,IF(Q89="Investments",VLOOKUP(R89,LQA!E:Q,12,0),"Not Covered"))</f>
        <v>0.3</v>
      </c>
      <c r="W89" s="76">
        <f>IF(OR(Q89="Cash",Q89="Receivable Investments",Q89="Payable Investments"),0,IF(Q89="Investments",VLOOKUP(R89,LQA!E:Q,9,0),"Not Covered"))</f>
        <v>7.7279999999999996E-3</v>
      </c>
      <c r="X89" s="13" t="str">
        <f>IF(OR(H89=0,T89="Comdty"),"High",IF(V89&lt;='Liquidity Bucket'!$A$4,'Liquidity Bucket'!$I$4,IF(V89&lt;='Liquidity Bucket'!$A$5,'Liquidity Bucket'!$I$5,IF(V89&lt;='Liquidity Bucket'!$A$6,'Liquidity Bucket'!$I$6,IF(V89='Liquidity Bucket'!$A$8,'Liquidity Bucket'!$I$8,'Liquidity Bucket'!$I$7)))))</f>
        <v>High</v>
      </c>
      <c r="Y89" s="153">
        <f>IF(OR(Q89="Cash",Q89="Receivable Investments",Q89="Payable Investments"),0,IF(Q89="Investments",VLOOKUP(R89,'LQA Stress'!E:Q,12,0),"Not Covered"))</f>
        <v>0.5</v>
      </c>
      <c r="Z89" s="75">
        <f>IF(OR(Q89="Cash",Q89="Receivable Investments",Q89="Payable Investments"),0,IF(Q89="Investments",VLOOKUP(R89,'LQA Stress'!E:Q,9,0),"Not Covered"))</f>
        <v>2.0773E-2</v>
      </c>
      <c r="AA89" s="13" t="str">
        <f>IF(T89="Comdty","High",IF(Y89&lt;='Liquidity Bucket'!$A$4,'Liquidity Bucket'!$I$4,IF(Y89&lt;='Liquidity Bucket'!$A$5,'Liquidity Bucket'!$I$5,IF(Y89&lt;='Liquidity Bucket'!$A$6,'Liquidity Bucket'!$I$6,IF(Y89='Liquidity Bucket'!$A$8,'Liquidity Bucket'!$I$8,'Liquidity Bucket'!$I$7)))))</f>
        <v>High</v>
      </c>
      <c r="AB89" s="14">
        <f>(N89+M89)/'FX Rates'!$C$5</f>
        <v>1418942.9476264191</v>
      </c>
      <c r="AC89" s="15" t="str">
        <f>IF(X89="Not Covered", (H89/_xll.BDP(R89&amp;" FIGI",$AC$1)),"")</f>
        <v/>
      </c>
      <c r="AD89" s="16" t="str">
        <f>IF(X89="Not Covered", _xll.BDP(R89&amp;" FIGI",$AD$1),"")</f>
        <v/>
      </c>
      <c r="AE89" s="16" t="str">
        <f>IF(OR(T89="Corp",T89="Govt"),IF(_xll.BDP(R89&amp;" FIGI",$AE$1)="#N/A N/A","",_xll.BDP(R89&amp;" FIGI",$AE$1)),"")</f>
        <v/>
      </c>
      <c r="AF89" s="1" t="str">
        <f>IF(OR(T89="Corp",T89="Govt"),IF(_xll.BDP(R89&amp;" FIGI",$AF$1)="#N/A N/A","",_xll.BDP(R89&amp;" FIGI",$AF$1)),"")</f>
        <v>Baa2</v>
      </c>
      <c r="AG89" s="16" t="str">
        <f>IF(OR(T89="Corp",T89="Govt"),IF(_xll.BDP(R89&amp;" FIGI",$AG$1)="#N/A N/A","",_xll.BDP(R89&amp;" FIGI",$AG$1)),"")</f>
        <v>BBB</v>
      </c>
      <c r="AH89" s="125">
        <f>IF(OR(S89="Cash",S89="M-Mkt"),21,IF(AE89="",0,VLOOKUP(AE89,'Rating Scale'!A:B,2,0)))</f>
        <v>0</v>
      </c>
      <c r="AI89" s="125">
        <f>IF(OR(S89="Cash",S89="M-Mkt"),21,IF(AF89="",0,VLOOKUP(AF89,'Rating Scale'!D:E,2,0)))</f>
        <v>13</v>
      </c>
      <c r="AJ89" s="125">
        <f>IF(OR(S89="Cash",S89="M-Mkt"),21,IF(AG89="",0,VLOOKUP(AG89,'Rating Scale'!G:H,2,0)))</f>
        <v>13</v>
      </c>
      <c r="AK89">
        <f t="shared" si="10"/>
        <v>13</v>
      </c>
      <c r="AL89" s="1" t="str">
        <f>IF(OR(U89="Cash",U89="Cash Adjustments"),_xll.BDP(G89&amp;" Curncy","Country"),IF(T89="Equity",_xll.BDP(R89&amp;" FIGI","CNTRY_ISSUE_ISO"),_xll.BDP(R89&amp;" FIGI",$AL$1)))</f>
        <v>HK</v>
      </c>
      <c r="AM89" s="126" t="str">
        <f>IF(OR(T89="Cash",T89="Cash Adjustments",T89="M-Mkt"), T89, IF(T89="Comdty",AS89, _xll.BDP(R89&amp;" FIGI", $AM$1)))</f>
        <v>Financial</v>
      </c>
      <c r="AN89" s="126" t="str">
        <f>IF(OR(T89="Cash",T89="Cash Adjustments",T89="M-Mkt"), T89,  IF(T89="Comdty",AS89,_xll.BDP(R89&amp;" FIGI", $AN$1)))</f>
        <v>Real Estate</v>
      </c>
      <c r="AO89" s="126" t="str">
        <f>IF(OR(T89="Cash",T89="Cash Adjustments",T89="M-Mkt"), T89,  IF(T89="Comdty",AS89,_xll.BDP(R89&amp;" FIGI", $AO$1)))</f>
        <v>Real Estate Oper/Develop</v>
      </c>
      <c r="AP89" s="13" t="str">
        <f>IF(OR(T89="Cash",T89="Cash Adjustments"), T89, IF(_xll.BDP(R89&amp;" FIGI", $AP$1)="#N/A Field Not Applicable","N",_xll.BDP(R89&amp;" FIGI", $AP$1)))</f>
        <v>N</v>
      </c>
      <c r="AQ89" s="1" t="str">
        <f>IF(OR(T89="Cash",T89="Cash Adjustments"), T89, IF(_xll.BDP(R89&amp;" FIGI", $AQ$1)="#N/A Field Not Applicable"," ",_xll.BDP(R89&amp;" FIGI", $AQ$1)))</f>
        <v xml:space="preserve"> </v>
      </c>
      <c r="AR89" s="1" t="str">
        <f>IF(OR(T89="Cash",T89="Cash Adjustments"), T89, IF(_xll.BDP(R89&amp;" FIGI", $AR$1)="#N/A Field Not Applicable"," ",_xll.BDP(R89&amp;" FIGI", $AR$1)))</f>
        <v>ACTV</v>
      </c>
      <c r="AS89" s="1" t="str">
        <f>VLOOKUP(T89,'SFC Classifcation'!$F$2:$H$7,3,0)</f>
        <v>Corporate</v>
      </c>
      <c r="AT89" s="22" t="str">
        <f t="shared" si="12"/>
        <v>Financial</v>
      </c>
      <c r="AU89" s="1" t="str">
        <f t="shared" si="13"/>
        <v>Investment Grade</v>
      </c>
      <c r="AV89" s="1" t="str">
        <f>IF(OR(T89="Cash",T89="Cash Adjustments"),T89,VLOOKUP(AL89,'SFC Classifcation'!$A:$C,3,0))</f>
        <v>Hong Kong</v>
      </c>
      <c r="AW89" s="22" t="str">
        <f t="shared" si="14"/>
        <v>High</v>
      </c>
      <c r="AX89" s="22" t="str">
        <f t="shared" si="15"/>
        <v>High</v>
      </c>
      <c r="AY89" s="45" t="str">
        <f>IF(OR(T89="Cash",T89="Cash Adjustments"), T89, _xll.BDP(R89&amp;" FIGI", $AY$1))</f>
        <v>#N/A Field Not Applicable</v>
      </c>
      <c r="AZ89" s="45" t="str">
        <f>IF(OR(T89="Cash",T89="Cash Adjustments"), T89, _xll.BDP(R89&amp;" FIGI", $AZ$1))</f>
        <v>SPECIAL PURPOSE</v>
      </c>
      <c r="BA89" s="45" t="str">
        <f>IF(OR(T89="Cash",T89="Cash Adjustments"), T89, _xll.BDP(R89&amp;" FIGI", $BA$1))</f>
        <v>#N/A Field Not Applicable</v>
      </c>
      <c r="BB89" s="16">
        <f>IF(OR(AS89="Government",AS89="Corporate"),(AK89*AB89/'SFC Report'!$C$20),"")</f>
        <v>3.3512426739886782E-2</v>
      </c>
      <c r="BC89" s="174" t="str">
        <f>IF(OR(T89="Cash",T89="Cash Adjustments", T89="FX Forward", T89="Repo", T89="Equity", T89="M-Mkt"), "", _xll.BDP(R89&amp;" FIGI", $BC$1))</f>
        <v>9/3/2168</v>
      </c>
      <c r="BD89" s="125">
        <f ca="1">IF(OR(T89="Cash",T89="Cash Adjustments",T89="FX Forward",T89="Repo", T89="Equity", T89="M-Mkt"),"",(BC89-'SFC Report'!$B$13)/365)</f>
        <v>148.44383561643835</v>
      </c>
      <c r="BE89" s="82" t="str">
        <f t="shared" ca="1" si="18"/>
        <v>10 yrs or Above</v>
      </c>
      <c r="BF89" s="5">
        <f ca="1">IF(BC89="","",BD89*AB89/'SFC Report'!$C$20)</f>
        <v>0.38267024354489892</v>
      </c>
      <c r="BG89" s="14" cm="1">
        <f t="array" ref="BG89">IF(OR(AS89="Corporate",AS89="Government"),_xll.BDP(G89&amp;" ISIN", $BG$1),"")</f>
        <v>4.6057423794890724</v>
      </c>
      <c r="BH89" s="140">
        <f>IF(OR(AS89="Corporate",AS89="Government"),BG89*BN89/'SFC Report'!$C$20,"")</f>
        <v>1.1873046467339951E-2</v>
      </c>
      <c r="BI89" s="140">
        <f>IF(OR(AS89="Corporate",AS89="Government"),_xll.BDP(G89&amp;" ISIN", $BI$1),"")</f>
        <v>3.5702181324077582</v>
      </c>
      <c r="BJ89" s="140">
        <f>IF(OR(AS89="Corporate",AS89="Government"),BI89*AB89/'SFC Report'!$C$20,"")</f>
        <v>9.2035902775177217E-3</v>
      </c>
      <c r="BK89" s="153" t="str">
        <f>IF(OR(T89="Cash",T89="Cash Adjustments"),"-",_xll.BDP(R89&amp;" FIGI",$BK$1))</f>
        <v>XS2123115029</v>
      </c>
      <c r="BL89" s="11" t="str">
        <f>IF(OR(AS89="Cash", AS89="Cash Adjustments"),"-",IF(ISNA(VLOOKUP(BK89,'BBG - VaR Data (Sample, Indus )'!C:N,5,0)),"-",VLOOKUP(BK89,'BBG - VaR Data (Sample, Indus )'!C:N,5,0)))</f>
        <v>-</v>
      </c>
      <c r="BM89" s="11">
        <f>IF(OR(AS89="Cash", AS89="Cash Adjustments"),"-",IF(ISNA(VLOOKUP(BK89,'BBG - Scenarios (Sample View)'!C:Z,14,0)),"-",VLOOKUP(BK89,'BBG - Scenarios (Sample View)'!C:Z,14,0)))</f>
        <v>-6.07</v>
      </c>
      <c r="BN89" s="14">
        <f t="shared" si="16"/>
        <v>1418942.9476264191</v>
      </c>
      <c r="BO89" s="1">
        <f t="shared" si="17"/>
        <v>2.7834678333229154E-3</v>
      </c>
      <c r="BP89" t="str">
        <f>IF(BC89&lt;&gt;0,MaturityBucket(BG89),"")</f>
        <v>3 - 5 yrs</v>
      </c>
      <c r="BQ89" s="11" t="str">
        <f>IF(OR(T89="Cash",T89="Cash Adjustments"),T89,VLOOKUP(AL89,'SFC Classifcation'!$A:$C,2,0))</f>
        <v>Hong Kong</v>
      </c>
      <c r="BR89" s="1" t="e">
        <f>IF(S89="Bond",BH89/'SFC Report'!$B$7,"")</f>
        <v>#VALUE!</v>
      </c>
      <c r="BS89" t="str">
        <f>IF(OR(T89="Cash",T89="Cash Adjustments"),"-",_xll.BDP(R89&amp;" FIGI",$BS$1))</f>
        <v>#N/A N/A</v>
      </c>
      <c r="BT89" t="str">
        <f>IF(OR(T89="Cash",T89="Cash Adjustments"),"-",_xll.BDP(R89&amp;" FIGI",$BT$1))</f>
        <v>2/24/2020</v>
      </c>
      <c r="BU89" t="str">
        <f>IF(OR(T89="Cash",T89="Cash Adjustments"),"-",_xll.BDP(R89&amp;" FIGI",$BU$1))</f>
        <v>2/23/2020</v>
      </c>
    </row>
    <row r="90" spans="1:73">
      <c r="A90" s="254" t="s">
        <v>15</v>
      </c>
      <c r="B90" s="254" t="s">
        <v>25</v>
      </c>
      <c r="C90" s="254" t="s">
        <v>46</v>
      </c>
      <c r="D90" s="254" t="s">
        <v>22</v>
      </c>
      <c r="E90" s="254"/>
      <c r="F90" s="254" t="s">
        <v>1213</v>
      </c>
      <c r="G90" s="254" t="s">
        <v>1214</v>
      </c>
      <c r="H90" s="270">
        <v>5000000</v>
      </c>
      <c r="I90" s="270">
        <v>99.988900000000001</v>
      </c>
      <c r="J90" s="270">
        <v>4997512.25</v>
      </c>
      <c r="K90" s="270">
        <v>38832669.189999998</v>
      </c>
      <c r="L90" s="270">
        <v>-85954.66</v>
      </c>
      <c r="M90" s="270">
        <v>0</v>
      </c>
      <c r="N90" s="270">
        <v>38746714.530000001</v>
      </c>
      <c r="O90" s="255">
        <v>8.5000000000000006E-3</v>
      </c>
      <c r="P90" s="1"/>
      <c r="Q90" s="1" t="str">
        <f t="shared" si="11"/>
        <v>Investments</v>
      </c>
      <c r="R90" s="1" t="str">
        <f>_xll.BDP(G90&amp;" ISIN",$R$1)</f>
        <v>BBG00RPXTZN6</v>
      </c>
      <c r="S90" s="191" t="s">
        <v>519</v>
      </c>
      <c r="T90" s="1" t="str">
        <f>IF(Q90="Cash",Q90,IF(OR(Q90="Receivable Investments",Q90="Payable Investments"),"Cash Adjustments",VLOOKUP(R90,LQA!E:S,3,0)))</f>
        <v>Corp</v>
      </c>
      <c r="U90" s="1" t="str">
        <f>IF(Q90="Cash",Q90,IF(OR(Q90="Receivable Investments",Q90="Payable Investments"),"Cash Adjustments",_xll.BDP(R90&amp;" FIGI",$U$1)))</f>
        <v>#N/A Field Not Applicable</v>
      </c>
      <c r="V90" s="10">
        <f>IF(OR(Q90="Cash",Q90="Receivable Investments",Q90="Payable Investments"),0,IF(Q90="Investments",VLOOKUP(R90,LQA!E:Q,12,0),"Not Covered"))</f>
        <v>2</v>
      </c>
      <c r="W90" s="76">
        <f>IF(OR(Q90="Cash",Q90="Receivable Investments",Q90="Payable Investments"),0,IF(Q90="Investments",VLOOKUP(R90,LQA!E:Q,9,0),"Not Covered"))</f>
        <v>3.2200000000000002E-4</v>
      </c>
      <c r="X90" s="13" t="str">
        <f>IF(OR(H90=0,T90="Comdty"),"High",IF(V90&lt;='Liquidity Bucket'!$A$4,'Liquidity Bucket'!$I$4,IF(V90&lt;='Liquidity Bucket'!$A$5,'Liquidity Bucket'!$I$5,IF(V90&lt;='Liquidity Bucket'!$A$6,'Liquidity Bucket'!$I$6,IF(V90='Liquidity Bucket'!$A$8,'Liquidity Bucket'!$I$8,'Liquidity Bucket'!$I$7)))))</f>
        <v>High</v>
      </c>
      <c r="Y90" s="153">
        <f>IF(OR(Q90="Cash",Q90="Receivable Investments",Q90="Payable Investments"),0,IF(Q90="Investments",VLOOKUP(R90,'LQA Stress'!E:Q,12,0),"Not Covered"))</f>
        <v>5.6</v>
      </c>
      <c r="Z90" s="75">
        <f>IF(OR(Q90="Cash",Q90="Receivable Investments",Q90="Payable Investments"),0,IF(Q90="Investments",VLOOKUP(R90,'LQA Stress'!E:Q,9,0),"Not Covered"))</f>
        <v>7.76E-4</v>
      </c>
      <c r="AA90" s="13" t="str">
        <f>IF(T90="Comdty","High",IF(Y90&lt;='Liquidity Bucket'!$A$4,'Liquidity Bucket'!$I$4,IF(Y90&lt;='Liquidity Bucket'!$A$5,'Liquidity Bucket'!$I$5,IF(Y90&lt;='Liquidity Bucket'!$A$6,'Liquidity Bucket'!$I$6,IF(Y90='Liquidity Bucket'!$A$8,'Liquidity Bucket'!$I$8,'Liquidity Bucket'!$I$7)))))</f>
        <v>Medium</v>
      </c>
      <c r="AB90" s="14">
        <f>(N90+M90)/'FX Rates'!$C$5</f>
        <v>4998286.1880804952</v>
      </c>
      <c r="AC90" s="15" t="str">
        <f>IF(X90="Not Covered", (H90/_xll.BDP(R90&amp;" FIGI",$AC$1)),"")</f>
        <v/>
      </c>
      <c r="AD90" s="16" t="str">
        <f>IF(X90="Not Covered", _xll.BDP(R90&amp;" FIGI",$AD$1),"")</f>
        <v/>
      </c>
      <c r="AE90" s="16" t="str">
        <f>IF(OR(T90="Corp",T90="Govt"),IF(_xll.BDP(R90&amp;" FIGI",$AE$1)="#N/A N/A","",_xll.BDP(R90&amp;" FIGI",$AE$1)),"")</f>
        <v/>
      </c>
      <c r="AF90" s="1" t="str">
        <f>IF(OR(T90="Corp",T90="Govt"),IF(_xll.BDP(R90&amp;" FIGI",$AF$1)="#N/A N/A","",_xll.BDP(R90&amp;" FIGI",$AF$1)),"")</f>
        <v/>
      </c>
      <c r="AG90" s="16" t="str">
        <f>IF(OR(T90="Corp",T90="Govt"),IF(_xll.BDP(R90&amp;" FIGI",$AG$1)="#N/A N/A","",_xll.BDP(R90&amp;" FIGI",$AG$1)),"")</f>
        <v/>
      </c>
      <c r="AH90" s="125">
        <f>IF(OR(S90="Cash",S90="M-Mkt"),21,IF(AE90="",0,VLOOKUP(AE90,'Rating Scale'!A:B,2,0)))</f>
        <v>0</v>
      </c>
      <c r="AI90" s="125">
        <f>IF(OR(S90="Cash",S90="M-Mkt"),21,IF(AF90="",0,VLOOKUP(AF90,'Rating Scale'!D:E,2,0)))</f>
        <v>0</v>
      </c>
      <c r="AJ90" s="125">
        <f>IF(OR(S90="Cash",S90="M-Mkt"),21,IF(AG90="",0,VLOOKUP(AG90,'Rating Scale'!G:H,2,0)))</f>
        <v>0</v>
      </c>
      <c r="AK90">
        <f t="shared" si="10"/>
        <v>0</v>
      </c>
      <c r="AL90" s="1" t="str">
        <f>IF(OR(U90="Cash",U90="Cash Adjustments"),_xll.BDP(G90&amp;" Curncy","Country"),IF(T90="Equity",_xll.BDP(R90&amp;" FIGI","CNTRY_ISSUE_ISO"),_xll.BDP(R90&amp;" FIGI",$AL$1)))</f>
        <v>MO</v>
      </c>
      <c r="AM90" s="126" t="str">
        <f>IF(OR(T90="Cash",T90="Cash Adjustments",T90="M-Mkt"), T90, IF(T90="Comdty",AS90, _xll.BDP(R90&amp;" FIGI", $AM$1)))</f>
        <v>Financial</v>
      </c>
      <c r="AN90" s="126" t="str">
        <f>IF(OR(T90="Cash",T90="Cash Adjustments",T90="M-Mkt"), T90,  IF(T90="Comdty",AS90,_xll.BDP(R90&amp;" FIGI", $AN$1)))</f>
        <v>Banks</v>
      </c>
      <c r="AO90" s="126" t="str">
        <f>IF(OR(T90="Cash",T90="Cash Adjustments",T90="M-Mkt"), T90,  IF(T90="Comdty",AS90,_xll.BDP(R90&amp;" FIGI", $AO$1)))</f>
        <v>Commer Banks Non-US</v>
      </c>
      <c r="AP90" s="13" t="str">
        <f>IF(OR(T90="Cash",T90="Cash Adjustments"), T90, IF(_xll.BDP(R90&amp;" FIGI", $AP$1)="#N/A Field Not Applicable","N",_xll.BDP(R90&amp;" FIGI", $AP$1)))</f>
        <v>N</v>
      </c>
      <c r="AQ90" s="1" t="str">
        <f>IF(OR(T90="Cash",T90="Cash Adjustments"), T90, IF(_xll.BDP(R90&amp;" FIGI", $AQ$1)="#N/A Field Not Applicable"," ",_xll.BDP(R90&amp;" FIGI", $AQ$1)))</f>
        <v xml:space="preserve"> </v>
      </c>
      <c r="AR90" s="1" t="str">
        <f>IF(OR(T90="Cash",T90="Cash Adjustments"), T90, IF(_xll.BDP(R90&amp;" FIGI", $AR$1)="#N/A Field Not Applicable"," ",_xll.BDP(R90&amp;" FIGI", $AR$1)))</f>
        <v>INAC</v>
      </c>
      <c r="AS90" s="1" t="str">
        <f>VLOOKUP(T90,'SFC Classifcation'!$F$2:$H$7,3,0)</f>
        <v>Corporate</v>
      </c>
      <c r="AT90" s="22" t="str">
        <f t="shared" si="12"/>
        <v>Financial</v>
      </c>
      <c r="AU90" s="1" t="str">
        <f t="shared" si="13"/>
        <v>Non-Investment Grade</v>
      </c>
      <c r="AV90" s="1" t="str">
        <f>IF(OR(T90="Cash",T90="Cash Adjustments"),T90,VLOOKUP(AL90,'SFC Classifcation'!$A:$C,3,0))</f>
        <v>Macau</v>
      </c>
      <c r="AW90" s="22" t="str">
        <f t="shared" si="14"/>
        <v>High</v>
      </c>
      <c r="AX90" s="22" t="str">
        <f t="shared" si="15"/>
        <v>Medium</v>
      </c>
      <c r="AY90" s="45" t="str">
        <f>IF(OR(T90="Cash",T90="Cash Adjustments"), T90, _xll.BDP(R90&amp;" FIGI", $AY$1))</f>
        <v>#N/A Field Not Applicable</v>
      </c>
      <c r="AZ90" s="45" t="str">
        <f>IF(OR(T90="Cash",T90="Cash Adjustments"), T90, _xll.BDP(R90&amp;" FIGI", $AZ$1))</f>
        <v>BANK</v>
      </c>
      <c r="BA90" s="45" t="str">
        <f>IF(OR(T90="Cash",T90="Cash Adjustments"), T90, _xll.BDP(R90&amp;" FIGI", $BA$1))</f>
        <v>#N/A Field Not Applicable</v>
      </c>
      <c r="BB90" s="16">
        <f>IF(OR(AS90="Government",AS90="Corporate"),(AK90*AB90/'SFC Report'!$C$20),"")</f>
        <v>0</v>
      </c>
      <c r="BC90" s="174" t="str">
        <f>IF(OR(T90="Cash",T90="Cash Adjustments", T90="FX Forward", T90="Repo", T90="Equity", T90="M-Mkt"), "", _xll.BDP(R90&amp;" FIGI", $BC$1))</f>
        <v>5/20/2020</v>
      </c>
      <c r="BD90" s="125">
        <f ca="1">IF(OR(T90="Cash",T90="Cash Adjustments",T90="FX Forward",T90="Repo", T90="Equity", T90="M-Mkt"),"",(BC90-'SFC Report'!$B$13)/365)</f>
        <v>5.4794520547945202E-2</v>
      </c>
      <c r="BE90" s="82" t="str">
        <f t="shared" ca="1" si="18"/>
        <v>0 - 1 yr</v>
      </c>
      <c r="BF90" s="5">
        <f ca="1">IF(BC90="","",BD90*AB90/'SFC Report'!$C$20)</f>
        <v>4.9757189512141496E-4</v>
      </c>
      <c r="BG90" s="14" t="str" cm="1">
        <f t="array" ref="BG90">IF(OR(AS90="Corporate",AS90="Government"),_xll.BDP(G90&amp;" ISIN", $BG$1),"")</f>
        <v>#N/A N/A</v>
      </c>
      <c r="BH90" s="140" t="e">
        <f>IF(OR(AS90="Corporate",AS90="Government"),BG90*BN90/'SFC Report'!$C$20,"")</f>
        <v>#VALUE!</v>
      </c>
      <c r="BI90" s="140" t="str">
        <f>IF(OR(AS90="Corporate",AS90="Government"),_xll.BDP(G90&amp;" ISIN", $BI$1),"")</f>
        <v>#N/A N/A</v>
      </c>
      <c r="BJ90" s="140" t="e">
        <f>IF(OR(AS90="Corporate",AS90="Government"),BI90*AB90/'SFC Report'!$C$20,"")</f>
        <v>#VALUE!</v>
      </c>
      <c r="BK90" s="153" t="str">
        <f>IF(OR(T90="Cash",T90="Cash Adjustments"),"-",_xll.BDP(R90&amp;" FIGI",$BK$1))</f>
        <v>XS2122176113</v>
      </c>
      <c r="BL90" s="11" t="str">
        <f>IF(OR(AS90="Cash", AS90="Cash Adjustments"),"-",IF(ISNA(VLOOKUP(BK90,'BBG - VaR Data (Sample, Indus )'!C:N,5,0)),"-",VLOOKUP(BK90,'BBG - VaR Data (Sample, Indus )'!C:N,5,0)))</f>
        <v>-</v>
      </c>
      <c r="BM90" s="11">
        <f>IF(OR(AS90="Cash", AS90="Cash Adjustments"),"-",IF(ISNA(VLOOKUP(BK90,'BBG - Scenarios (Sample View)'!C:Z,14,0)),"-",VLOOKUP(BK90,'BBG - Scenarios (Sample View)'!C:Z,14,0)))</f>
        <v>-0.04</v>
      </c>
      <c r="BN90" s="14">
        <f t="shared" si="16"/>
        <v>4998286.1880804952</v>
      </c>
      <c r="BO90" s="1">
        <f t="shared" si="17"/>
        <v>9.8048824651737771E-3</v>
      </c>
      <c r="BP90" t="str">
        <f>IF(BC90&lt;&gt;0,MaturityBucket(BG90),"")</f>
        <v>10 yrs or Above</v>
      </c>
      <c r="BQ90" s="11" t="str">
        <f>IF(OR(T90="Cash",T90="Cash Adjustments"),T90,VLOOKUP(AL90,'SFC Classifcation'!$A:$C,2,0))</f>
        <v>Macau</v>
      </c>
      <c r="BR90" s="1" t="e">
        <f>IF(S90="Bond",BH90/'SFC Report'!$B$7,"")</f>
        <v>#VALUE!</v>
      </c>
      <c r="BS90" t="str">
        <f>IF(OR(T90="Cash",T90="Cash Adjustments"),"-",_xll.BDP(R90&amp;" FIGI",$BS$1))</f>
        <v>#N/A N/A</v>
      </c>
      <c r="BT90" t="str">
        <f>IF(OR(T90="Cash",T90="Cash Adjustments"),"-",_xll.BDP(R90&amp;" FIGI",$BT$1))</f>
        <v>#N/A N/A</v>
      </c>
      <c r="BU90" t="str">
        <f>IF(OR(T90="Cash",T90="Cash Adjustments"),"-",_xll.BDP(R90&amp;" FIGI",$BU$1))</f>
        <v>#N/A N/A</v>
      </c>
    </row>
    <row r="91" spans="1:73">
      <c r="A91" s="254" t="s">
        <v>15</v>
      </c>
      <c r="B91" s="254" t="s">
        <v>25</v>
      </c>
      <c r="C91" s="254" t="s">
        <v>46</v>
      </c>
      <c r="D91" s="254" t="s">
        <v>22</v>
      </c>
      <c r="E91" s="254"/>
      <c r="F91" s="254" t="s">
        <v>78</v>
      </c>
      <c r="G91" s="254" t="s">
        <v>79</v>
      </c>
      <c r="H91" s="270">
        <v>1000000</v>
      </c>
      <c r="I91" s="270">
        <v>100.997</v>
      </c>
      <c r="J91" s="270">
        <v>1000000</v>
      </c>
      <c r="K91" s="270">
        <v>7847200</v>
      </c>
      <c r="L91" s="270">
        <v>-19730.509999999998</v>
      </c>
      <c r="M91" s="270">
        <v>72044.570000000007</v>
      </c>
      <c r="N91" s="270">
        <v>7827469.4900000002</v>
      </c>
      <c r="O91" s="255">
        <v>1.6999999999999999E-3</v>
      </c>
      <c r="P91" s="1"/>
      <c r="Q91" s="1" t="str">
        <f t="shared" si="11"/>
        <v>Investments</v>
      </c>
      <c r="R91" s="1" t="str">
        <f>_xll.BDP(G91&amp;" ISIN",$R$1)</f>
        <v>BBG00NBG3YQ5</v>
      </c>
      <c r="S91" s="1" t="str">
        <f>IF(Q91="Cash",Q91,IF(OR(Q91="Receivable Investments",Q91="Payable Investments"),"Cash Adjustments",_xll.BDP(R91&amp;" FIGI",$S$1)))</f>
        <v>BOND</v>
      </c>
      <c r="T91" s="1" t="str">
        <f>IF(Q91="Cash",Q91,IF(OR(Q91="Receivable Investments",Q91="Payable Investments"),"Cash Adjustments",VLOOKUP(R91,LQA!E:S,3,0)))</f>
        <v>Corp</v>
      </c>
      <c r="U91" s="1" t="str">
        <f>IF(Q91="Cash",Q91,IF(OR(Q91="Receivable Investments",Q91="Payable Investments"),"Cash Adjustments",_xll.BDP(R91&amp;" FIGI",$U$1)))</f>
        <v>#N/A Field Not Applicable</v>
      </c>
      <c r="V91" s="10">
        <f>IF(OR(Q91="Cash",Q91="Receivable Investments",Q91="Payable Investments"),0,IF(Q91="Investments",VLOOKUP(R91,LQA!E:Q,12,0),"Not Covered"))</f>
        <v>0.5</v>
      </c>
      <c r="W91" s="76">
        <f>IF(OR(Q91="Cash",Q91="Receivable Investments",Q91="Payable Investments"),0,IF(Q91="Investments",VLOOKUP(R91,LQA!E:Q,9,0),"Not Covered"))</f>
        <v>1.2982E-2</v>
      </c>
      <c r="X91" s="13" t="str">
        <f>IF(OR(H91=0,T91="Comdty"),"High",IF(V91&lt;='Liquidity Bucket'!$A$4,'Liquidity Bucket'!$I$4,IF(V91&lt;='Liquidity Bucket'!$A$5,'Liquidity Bucket'!$I$5,IF(V91&lt;='Liquidity Bucket'!$A$6,'Liquidity Bucket'!$I$6,IF(V91='Liquidity Bucket'!$A$8,'Liquidity Bucket'!$I$8,'Liquidity Bucket'!$I$7)))))</f>
        <v>High</v>
      </c>
      <c r="Y91" s="153">
        <f>IF(OR(Q91="Cash",Q91="Receivable Investments",Q91="Payable Investments"),0,IF(Q91="Investments",VLOOKUP(R91,'LQA Stress'!E:Q,12,0),"Not Covered"))</f>
        <v>1.8</v>
      </c>
      <c r="Z91" s="75">
        <f>IF(OR(Q91="Cash",Q91="Receivable Investments",Q91="Payable Investments"),0,IF(Q91="Investments",VLOOKUP(R91,'LQA Stress'!E:Q,9,0),"Not Covered"))</f>
        <v>3.2641999999999997E-2</v>
      </c>
      <c r="AA91" s="13" t="str">
        <f>IF(T91="Comdty","High",IF(Y91&lt;='Liquidity Bucket'!$A$4,'Liquidity Bucket'!$I$4,IF(Y91&lt;='Liquidity Bucket'!$A$5,'Liquidity Bucket'!$I$5,IF(Y91&lt;='Liquidity Bucket'!$A$6,'Liquidity Bucket'!$I$6,IF(Y91='Liquidity Bucket'!$A$8,'Liquidity Bucket'!$I$8,'Liquidity Bucket'!$I$7)))))</f>
        <v>High</v>
      </c>
      <c r="AB91" s="14">
        <f>(N91+M91)/'FX Rates'!$C$5</f>
        <v>1019029.161506708</v>
      </c>
      <c r="AC91" s="15" t="str">
        <f>IF(X91="Not Covered", (H91/_xll.BDP(R91&amp;" FIGI",$AC$1)),"")</f>
        <v/>
      </c>
      <c r="AD91" s="16" t="str">
        <f>IF(X91="Not Covered", _xll.BDP(R91&amp;" FIGI",$AD$1),"")</f>
        <v/>
      </c>
      <c r="AE91" s="16" t="str">
        <f>IF(OR(T91="Corp",T91="Govt"),IF(_xll.BDP(R91&amp;" FIGI",$AE$1)="#N/A N/A","",_xll.BDP(R91&amp;" FIGI",$AE$1)),"")</f>
        <v/>
      </c>
      <c r="AF91" s="1" t="str">
        <f>IF(OR(T91="Corp",T91="Govt"),IF(_xll.BDP(R91&amp;" FIGI",$AF$1)="#N/A N/A","",_xll.BDP(R91&amp;" FIGI",$AF$1)),"")</f>
        <v/>
      </c>
      <c r="AG91" s="16" t="str">
        <f>IF(OR(T91="Corp",T91="Govt"),IF(_xll.BDP(R91&amp;" FIGI",$AG$1)="#N/A N/A","",_xll.BDP(R91&amp;" FIGI",$AG$1)),"")</f>
        <v>A-</v>
      </c>
      <c r="AH91" s="125">
        <f>IF(OR(S91="Cash",S91="M-Mkt"),21,IF(AE91="",0,VLOOKUP(AE91,'Rating Scale'!A:B,2,0)))</f>
        <v>0</v>
      </c>
      <c r="AI91" s="125">
        <f>IF(OR(S91="Cash",S91="M-Mkt"),21,IF(AF91="",0,VLOOKUP(AF91,'Rating Scale'!D:E,2,0)))</f>
        <v>0</v>
      </c>
      <c r="AJ91" s="125">
        <f>IF(OR(S91="Cash",S91="M-Mkt"),21,IF(AG91="",0,VLOOKUP(AG91,'Rating Scale'!G:H,2,0)))</f>
        <v>15</v>
      </c>
      <c r="AK91">
        <f t="shared" si="10"/>
        <v>15</v>
      </c>
      <c r="AL91" s="1" t="str">
        <f>IF(OR(U91="Cash",U91="Cash Adjustments"),_xll.BDP(G91&amp;" Curncy","Country"),IF(T91="Equity",_xll.BDP(R91&amp;" FIGI","CNTRY_ISSUE_ISO"),_xll.BDP(R91&amp;" FIGI",$AL$1)))</f>
        <v>CN</v>
      </c>
      <c r="AM91" s="126" t="str">
        <f>IF(OR(T91="Cash",T91="Cash Adjustments",T91="M-Mkt"), T91, IF(T91="Comdty",AS91, _xll.BDP(R91&amp;" FIGI", $AM$1)))</f>
        <v>Industrial</v>
      </c>
      <c r="AN91" s="126" t="str">
        <f>IF(OR(T91="Cash",T91="Cash Adjustments",T91="M-Mkt"), T91,  IF(T91="Comdty",AS91,_xll.BDP(R91&amp;" FIGI", $AN$1)))</f>
        <v>Metal Fabricate/Hardware</v>
      </c>
      <c r="AO91" s="126" t="str">
        <f>IF(OR(T91="Cash",T91="Cash Adjustments",T91="M-Mkt"), T91,  IF(T91="Comdty",AS91,_xll.BDP(R91&amp;" FIGI", $AO$1)))</f>
        <v>Metal Products-Distrib</v>
      </c>
      <c r="AP91" s="13" t="str">
        <f>IF(OR(T91="Cash",T91="Cash Adjustments"), T91, IF(_xll.BDP(R91&amp;" FIGI", $AP$1)="#N/A Field Not Applicable","N",_xll.BDP(R91&amp;" FIGI", $AP$1)))</f>
        <v>N</v>
      </c>
      <c r="AQ91" s="1" t="str">
        <f>IF(OR(T91="Cash",T91="Cash Adjustments"), T91, IF(_xll.BDP(R91&amp;" FIGI", $AQ$1)="#N/A Field Not Applicable"," ",_xll.BDP(R91&amp;" FIGI", $AQ$1)))</f>
        <v xml:space="preserve"> </v>
      </c>
      <c r="AR91" s="1" t="str">
        <f>IF(OR(T91="Cash",T91="Cash Adjustments"), T91, IF(_xll.BDP(R91&amp;" FIGI", $AR$1)="#N/A Field Not Applicable"," ",_xll.BDP(R91&amp;" FIGI", $AR$1)))</f>
        <v>ACTV</v>
      </c>
      <c r="AS91" s="1" t="str">
        <f>VLOOKUP(T91,'SFC Classifcation'!$F$2:$H$7,3,0)</f>
        <v>Corporate</v>
      </c>
      <c r="AT91" s="22" t="str">
        <f t="shared" si="12"/>
        <v>Non-Financial</v>
      </c>
      <c r="AU91" s="1" t="str">
        <f t="shared" si="13"/>
        <v>Investment Grade</v>
      </c>
      <c r="AV91" s="1" t="str">
        <f>IF(OR(T91="Cash",T91="Cash Adjustments"),T91,VLOOKUP(AL91,'SFC Classifcation'!$A:$C,3,0))</f>
        <v>China</v>
      </c>
      <c r="AW91" s="22" t="str">
        <f t="shared" si="14"/>
        <v>High</v>
      </c>
      <c r="AX91" s="22" t="str">
        <f t="shared" si="15"/>
        <v>High</v>
      </c>
      <c r="AY91" s="45" t="str">
        <f>IF(OR(T91="Cash",T91="Cash Adjustments"), T91, _xll.BDP(R91&amp;" FIGI", $AY$1))</f>
        <v>#N/A Field Not Applicable</v>
      </c>
      <c r="AZ91" s="45" t="str">
        <f>IF(OR(T91="Cash",T91="Cash Adjustments"), T91, _xll.BDP(R91&amp;" FIGI", $AZ$1))</f>
        <v>INDUSTRIAL</v>
      </c>
      <c r="BA91" s="45" t="str">
        <f>IF(OR(T91="Cash",T91="Cash Adjustments"), T91, _xll.BDP(R91&amp;" FIGI", $BA$1))</f>
        <v>Chengtou Bond</v>
      </c>
      <c r="BB91" s="16">
        <f>IF(OR(AS91="Government",AS91="Corporate"),(AK91*AB91/'SFC Report'!$C$20),"")</f>
        <v>2.7769973343613759E-2</v>
      </c>
      <c r="BC91" s="174" t="str">
        <f>IF(OR(T91="Cash",T91="Cash Adjustments", T91="FX Forward", T91="Repo", T91="Equity", T91="M-Mkt"), "", _xll.BDP(R91&amp;" FIGI", $BC$1))</f>
        <v>2/21/2022</v>
      </c>
      <c r="BD91" s="125">
        <f ca="1">IF(OR(T91="Cash",T91="Cash Adjustments",T91="FX Forward",T91="Repo", T91="Equity", T91="M-Mkt"),"",(BC91-'SFC Report'!$B$13)/365)</f>
        <v>1.8136986301369864</v>
      </c>
      <c r="BE91" s="82" t="str">
        <f t="shared" ca="1" si="18"/>
        <v>1 - 2 yrs</v>
      </c>
      <c r="BF91" s="5">
        <f ca="1">IF(BC91="","",BD91*AB91/'SFC Report'!$C$20)</f>
        <v>3.3577575074835268E-3</v>
      </c>
      <c r="BG91" s="14" cm="1">
        <f t="array" ref="BG91">IF(OR(AS91="Corporate",AS91="Government"),_xll.BDP(G91&amp;" ISIN", $BG$1),"")</f>
        <v>1.6335408235664401</v>
      </c>
      <c r="BH91" s="140">
        <f>IF(OR(AS91="Corporate",AS91="Government"),BG91*BN91/'SFC Report'!$C$20,"")</f>
        <v>3.024225675076327E-3</v>
      </c>
      <c r="BI91" s="140">
        <f>IF(OR(AS91="Corporate",AS91="Government"),_xll.BDP(G91&amp;" ISIN", $BI$1),"")</f>
        <v>3.7585286033815017</v>
      </c>
      <c r="BJ91" s="140">
        <f>IF(OR(AS91="Corporate",AS91="Government"),BI91*AB91/'SFC Report'!$C$20,"")</f>
        <v>6.9582826084742767E-3</v>
      </c>
      <c r="BK91" s="153" t="str">
        <f>IF(OR(T91="Cash",T91="Cash Adjustments"),"-",_xll.BDP(R91&amp;" FIGI",$BK$1))</f>
        <v>XS1917106061</v>
      </c>
      <c r="BL91" s="11" t="str">
        <f>IF(OR(AS91="Cash", AS91="Cash Adjustments"),"-",IF(ISNA(VLOOKUP(BK91,'BBG - VaR Data (Sample, Indus )'!C:N,5,0)),"-",VLOOKUP(BK91,'BBG - VaR Data (Sample, Indus )'!C:N,5,0)))</f>
        <v>-</v>
      </c>
      <c r="BM91" s="11">
        <f>IF(OR(AS91="Cash", AS91="Cash Adjustments"),"-",IF(ISNA(VLOOKUP(BK91,'BBG - Scenarios (Sample View)'!C:Z,14,0)),"-",VLOOKUP(BK91,'BBG - Scenarios (Sample View)'!C:Z,14,0)))</f>
        <v>-1.37</v>
      </c>
      <c r="BN91" s="14">
        <f t="shared" si="16"/>
        <v>1019029.161506708</v>
      </c>
      <c r="BO91" s="1">
        <f t="shared" si="17"/>
        <v>1.9989774056925111E-3</v>
      </c>
      <c r="BP91" t="str">
        <f>IF(BC91&lt;&gt;0,MaturityBucket(BG91),"")</f>
        <v>1 - 2 yrs</v>
      </c>
      <c r="BQ91" s="11" t="str">
        <f>IF(OR(T91="Cash",T91="Cash Adjustments"),T91,VLOOKUP(AL91,'SFC Classifcation'!$A:$C,2,0))</f>
        <v>China</v>
      </c>
      <c r="BR91" s="1" t="e">
        <f>IF(S91="Bond",BH91/'SFC Report'!$B$7,"")</f>
        <v>#VALUE!</v>
      </c>
      <c r="BS91" t="str">
        <f>IF(OR(T91="Cash",T91="Cash Adjustments"),"-",_xll.BDP(R91&amp;" FIGI",$BS$1))</f>
        <v>#N/A N/A</v>
      </c>
      <c r="BT91" t="str">
        <f>IF(OR(T91="Cash",T91="Cash Adjustments"),"-",_xll.BDP(R91&amp;" FIGI",$BT$1))</f>
        <v>#N/A N/A</v>
      </c>
      <c r="BU91" t="str">
        <f>IF(OR(T91="Cash",T91="Cash Adjustments"),"-",_xll.BDP(R91&amp;" FIGI",$BU$1))</f>
        <v>2/20/2019</v>
      </c>
    </row>
    <row r="92" spans="1:73">
      <c r="A92" s="254" t="s">
        <v>15</v>
      </c>
      <c r="B92" s="254" t="s">
        <v>25</v>
      </c>
      <c r="C92" s="254" t="s">
        <v>46</v>
      </c>
      <c r="D92" s="254" t="s">
        <v>22</v>
      </c>
      <c r="E92" s="254"/>
      <c r="F92" s="254" t="s">
        <v>904</v>
      </c>
      <c r="G92" s="254" t="s">
        <v>883</v>
      </c>
      <c r="H92" s="270">
        <v>13000000</v>
      </c>
      <c r="I92" s="270">
        <v>96.033000000000001</v>
      </c>
      <c r="J92" s="270">
        <v>12871104.279999999</v>
      </c>
      <c r="K92" s="270">
        <v>100667551.2</v>
      </c>
      <c r="L92" s="270">
        <v>-3911806.6</v>
      </c>
      <c r="M92" s="270">
        <v>3047066.46</v>
      </c>
      <c r="N92" s="270">
        <v>96755744.599999994</v>
      </c>
      <c r="O92" s="255">
        <v>2.1299999999999999E-2</v>
      </c>
      <c r="P92" s="1"/>
      <c r="Q92" s="1" t="str">
        <f t="shared" si="11"/>
        <v>Investments</v>
      </c>
      <c r="R92" s="1" t="str">
        <f>_xll.BDP(G92&amp;" ISIN",$R$1)</f>
        <v>BBG00PDL9DC2</v>
      </c>
      <c r="S92" s="1" t="str">
        <f>IF(Q92="Cash",Q92,IF(OR(Q92="Receivable Investments",Q92="Payable Investments"),"Cash Adjustments",_xll.BDP(R92&amp;" FIGI",$S$1)))</f>
        <v>BOND</v>
      </c>
      <c r="T92" s="1" t="str">
        <f>IF(Q92="Cash",Q92,IF(OR(Q92="Receivable Investments",Q92="Payable Investments"),"Cash Adjustments",VLOOKUP(R92,LQA!E:S,3,0)))</f>
        <v>Corp</v>
      </c>
      <c r="U92" s="1" t="str">
        <f>IF(Q92="Cash",Q92,IF(OR(Q92="Receivable Investments",Q92="Payable Investments"),"Cash Adjustments",_xll.BDP(R92&amp;" FIGI",$U$1)))</f>
        <v>#N/A Field Not Applicable</v>
      </c>
      <c r="V92" s="10">
        <f>IF(OR(Q92="Cash",Q92="Receivable Investments",Q92="Payable Investments"),0,IF(Q92="Investments",VLOOKUP(R92,LQA!E:Q,12,0),"Not Covered"))</f>
        <v>4.5</v>
      </c>
      <c r="W92" s="76">
        <f>IF(OR(Q92="Cash",Q92="Receivable Investments",Q92="Payable Investments"),0,IF(Q92="Investments",VLOOKUP(R92,LQA!E:Q,9,0),"Not Covered"))</f>
        <v>1.0024E-2</v>
      </c>
      <c r="X92" s="13" t="str">
        <f>IF(OR(H92=0,T92="Comdty"),"High",IF(V92&lt;='Liquidity Bucket'!$A$4,'Liquidity Bucket'!$I$4,IF(V92&lt;='Liquidity Bucket'!$A$5,'Liquidity Bucket'!$I$5,IF(V92&lt;='Liquidity Bucket'!$A$6,'Liquidity Bucket'!$I$6,IF(V92='Liquidity Bucket'!$A$8,'Liquidity Bucket'!$I$8,'Liquidity Bucket'!$I$7)))))</f>
        <v>Medium</v>
      </c>
      <c r="Y92" s="153">
        <f>IF(OR(Q92="Cash",Q92="Receivable Investments",Q92="Payable Investments"),0,IF(Q92="Investments",VLOOKUP(R92,'LQA Stress'!E:Q,12,0),"Not Covered"))</f>
        <v>10.7</v>
      </c>
      <c r="Z92" s="75">
        <f>IF(OR(Q92="Cash",Q92="Receivable Investments",Q92="Payable Investments"),0,IF(Q92="Investments",VLOOKUP(R92,'LQA Stress'!E:Q,9,0),"Not Covered"))</f>
        <v>2.5201000000000001E-2</v>
      </c>
      <c r="AA92" s="13" t="str">
        <f>IF(T92="Comdty","High",IF(Y92&lt;='Liquidity Bucket'!$A$4,'Liquidity Bucket'!$I$4,IF(Y92&lt;='Liquidity Bucket'!$A$5,'Liquidity Bucket'!$I$5,IF(Y92&lt;='Liquidity Bucket'!$A$6,'Liquidity Bucket'!$I$6,IF(Y92='Liquidity Bucket'!$A$8,'Liquidity Bucket'!$I$8,'Liquidity Bucket'!$I$7)))))</f>
        <v>Illiquid</v>
      </c>
      <c r="AB92" s="14">
        <f>(N92+M92)/'FX Rates'!$C$5</f>
        <v>12874459.631062951</v>
      </c>
      <c r="AC92" s="15" t="str">
        <f>IF(X92="Not Covered", (H92/_xll.BDP(R92&amp;" FIGI",$AC$1)),"")</f>
        <v/>
      </c>
      <c r="AD92" s="16" t="str">
        <f>IF(X92="Not Covered", _xll.BDP(R92&amp;" FIGI",$AD$1),"")</f>
        <v/>
      </c>
      <c r="AE92" s="16" t="str">
        <f>IF(OR(T92="Corp",T92="Govt"),IF(_xll.BDP(R92&amp;" FIGI",$AE$1)="#N/A N/A","",_xll.BDP(R92&amp;" FIGI",$AE$1)),"")</f>
        <v>B</v>
      </c>
      <c r="AF92" s="1" t="str">
        <f>IF(OR(T92="Corp",T92="Govt"),IF(_xll.BDP(R92&amp;" FIGI",$AF$1)="#N/A N/A","",_xll.BDP(R92&amp;" FIGI",$AF$1)),"")</f>
        <v>B2</v>
      </c>
      <c r="AG92" s="16" t="str">
        <f>IF(OR(T92="Corp",T92="Govt"),IF(_xll.BDP(R92&amp;" FIGI",$AG$1)="#N/A N/A","",_xll.BDP(R92&amp;" FIGI",$AG$1)),"")</f>
        <v/>
      </c>
      <c r="AH92" s="125">
        <f>IF(OR(S92="Cash",S92="M-Mkt"),21,IF(AE92="",0,VLOOKUP(AE92,'Rating Scale'!A:B,2,0)))</f>
        <v>7</v>
      </c>
      <c r="AI92" s="125">
        <f>IF(OR(S92="Cash",S92="M-Mkt"),21,IF(AF92="",0,VLOOKUP(AF92,'Rating Scale'!D:E,2,0)))</f>
        <v>7</v>
      </c>
      <c r="AJ92" s="125">
        <f>IF(OR(S92="Cash",S92="M-Mkt"),21,IF(AG92="",0,VLOOKUP(AG92,'Rating Scale'!G:H,2,0)))</f>
        <v>0</v>
      </c>
      <c r="AK92">
        <f t="shared" si="10"/>
        <v>7</v>
      </c>
      <c r="AL92" s="1" t="str">
        <f>IF(OR(U92="Cash",U92="Cash Adjustments"),_xll.BDP(G92&amp;" Curncy","Country"),IF(T92="Equity",_xll.BDP(R92&amp;" FIGI","CNTRY_ISSUE_ISO"),_xll.BDP(R92&amp;" FIGI",$AL$1)))</f>
        <v>CN</v>
      </c>
      <c r="AM92" s="126" t="str">
        <f>IF(OR(T92="Cash",T92="Cash Adjustments",T92="M-Mkt"), T92, IF(T92="Comdty",AS92, _xll.BDP(R92&amp;" FIGI", $AM$1)))</f>
        <v>Financial</v>
      </c>
      <c r="AN92" s="126" t="str">
        <f>IF(OR(T92="Cash",T92="Cash Adjustments",T92="M-Mkt"), T92,  IF(T92="Comdty",AS92,_xll.BDP(R92&amp;" FIGI", $AN$1)))</f>
        <v>Real Estate</v>
      </c>
      <c r="AO92" s="126" t="str">
        <f>IF(OR(T92="Cash",T92="Cash Adjustments",T92="M-Mkt"), T92,  IF(T92="Comdty",AS92,_xll.BDP(R92&amp;" FIGI", $AO$1)))</f>
        <v>Real Estate Oper/Develop</v>
      </c>
      <c r="AP92" s="13" t="str">
        <f>IF(OR(T92="Cash",T92="Cash Adjustments"), T92, IF(_xll.BDP(R92&amp;" FIGI", $AP$1)="#N/A Field Not Applicable","N",_xll.BDP(R92&amp;" FIGI", $AP$1)))</f>
        <v>N</v>
      </c>
      <c r="AQ92" s="1" t="str">
        <f>IF(OR(T92="Cash",T92="Cash Adjustments"), T92, IF(_xll.BDP(R92&amp;" FIGI", $AQ$1)="#N/A Field Not Applicable"," ",_xll.BDP(R92&amp;" FIGI", $AQ$1)))</f>
        <v xml:space="preserve"> </v>
      </c>
      <c r="AR92" s="1" t="str">
        <f>IF(OR(T92="Cash",T92="Cash Adjustments"), T92, IF(_xll.BDP(R92&amp;" FIGI", $AR$1)="#N/A Field Not Applicable"," ",_xll.BDP(R92&amp;" FIGI", $AR$1)))</f>
        <v>ACTV</v>
      </c>
      <c r="AS92" s="1" t="str">
        <f>VLOOKUP(T92,'SFC Classifcation'!$F$2:$H$7,3,0)</f>
        <v>Corporate</v>
      </c>
      <c r="AT92" s="22" t="str">
        <f t="shared" si="12"/>
        <v>Financial</v>
      </c>
      <c r="AU92" s="1" t="str">
        <f t="shared" si="13"/>
        <v>Non-Investment Grade</v>
      </c>
      <c r="AV92" s="1" t="str">
        <f>IF(OR(T92="Cash",T92="Cash Adjustments"),T92,VLOOKUP(AL92,'SFC Classifcation'!$A:$C,3,0))</f>
        <v>China</v>
      </c>
      <c r="AW92" s="22" t="str">
        <f t="shared" si="14"/>
        <v>Medium</v>
      </c>
      <c r="AX92" s="22" t="str">
        <f t="shared" si="15"/>
        <v>Illiquid</v>
      </c>
      <c r="AY92" s="45" t="str">
        <f>IF(OR(T92="Cash",T92="Cash Adjustments"), T92, _xll.BDP(R92&amp;" FIGI", $AY$1))</f>
        <v>Real Estate</v>
      </c>
      <c r="AZ92" s="45" t="str">
        <f>IF(OR(T92="Cash",T92="Cash Adjustments"), T92, _xll.BDP(R92&amp;" FIGI", $AZ$1))</f>
        <v>INDUSTRIAL</v>
      </c>
      <c r="BA92" s="45" t="str">
        <f>IF(OR(T92="Cash",T92="Cash Adjustments"), T92, _xll.BDP(R92&amp;" FIGI", $BA$1))</f>
        <v>#N/A Field Not Applicable</v>
      </c>
      <c r="BB92" s="16">
        <f>IF(OR(AS92="Government",AS92="Corporate"),(AK92*AB92/'SFC Report'!$C$20),"")</f>
        <v>0.16372863505207763</v>
      </c>
      <c r="BC92" s="174" t="str">
        <f>IF(OR(T92="Cash",T92="Cash Adjustments", T92="FX Forward", T92="Repo", T92="Equity", T92="M-Mkt"), "", _xll.BDP(R92&amp;" FIGI", $BC$1))</f>
        <v>6/20/2021</v>
      </c>
      <c r="BD92" s="125">
        <f ca="1">IF(OR(T92="Cash",T92="Cash Adjustments",T92="FX Forward",T92="Repo", T92="Equity", T92="M-Mkt"),"",(BC92-'SFC Report'!$B$13)/365)</f>
        <v>1.1397260273972603</v>
      </c>
      <c r="BE92" s="82" t="str">
        <f t="shared" ca="1" si="18"/>
        <v>1 - 2 yrs</v>
      </c>
      <c r="BF92" s="5">
        <f ca="1">IF(BC92="","",BD92*AB92/'SFC Report'!$C$20)</f>
        <v>2.665796954272575E-2</v>
      </c>
      <c r="BG92" s="14" cm="1">
        <f t="array" ref="BG92">IF(OR(AS92="Corporate",AS92="Government"),_xll.BDP(G92&amp;" ISIN", $BG$1),"")</f>
        <v>0.96829095790929554</v>
      </c>
      <c r="BH92" s="140">
        <f>IF(OR(AS92="Corporate",AS92="Government"),BG92*BN92/'SFC Report'!$C$20,"")</f>
        <v>2.2648136695965385E-2</v>
      </c>
      <c r="BI92" s="140">
        <f>IF(OR(AS92="Corporate",AS92="Government"),_xll.BDP(G92&amp;" ISIN", $BI$1),"")</f>
        <v>7.5369238027684817</v>
      </c>
      <c r="BJ92" s="140">
        <f>IF(OR(AS92="Corporate",AS92="Government"),BI92*AB92/'SFC Report'!$C$20,"")</f>
        <v>0.1762871781026854</v>
      </c>
      <c r="BK92" s="153" t="str">
        <f>IF(OR(T92="Cash",T92="Cash Adjustments"),"-",_xll.BDP(R92&amp;" FIGI",$BK$1))</f>
        <v>XS2010988074</v>
      </c>
      <c r="BL92" s="11" t="str">
        <f>IF(OR(AS92="Cash", AS92="Cash Adjustments"),"-",IF(ISNA(VLOOKUP(BK92,'BBG - VaR Data (Sample, Indus )'!C:N,5,0)),"-",VLOOKUP(BK92,'BBG - VaR Data (Sample, Indus )'!C:N,5,0)))</f>
        <v>-</v>
      </c>
      <c r="BM92" s="11">
        <f>IF(OR(AS92="Cash", AS92="Cash Adjustments"),"-",IF(ISNA(VLOOKUP(BK92,'BBG - Scenarios (Sample View)'!C:Z,14,0)),"-",VLOOKUP(BK92,'BBG - Scenarios (Sample View)'!C:Z,14,0)))</f>
        <v>-2.77</v>
      </c>
      <c r="BN92" s="14">
        <f t="shared" si="16"/>
        <v>12874459.631062951</v>
      </c>
      <c r="BO92" s="1">
        <f t="shared" si="17"/>
        <v>2.5255169219046702E-2</v>
      </c>
      <c r="BP92" t="str">
        <f>IF(BC92&lt;&gt;0,MaturityBucket(BG92),"")</f>
        <v>0 - 1 yr</v>
      </c>
      <c r="BQ92" s="11" t="str">
        <f>IF(OR(T92="Cash",T92="Cash Adjustments"),T92,VLOOKUP(AL92,'SFC Classifcation'!$A:$C,2,0))</f>
        <v>China</v>
      </c>
      <c r="BR92" s="1" t="e">
        <f>IF(S92="Bond",BH92/'SFC Report'!$B$7,"")</f>
        <v>#VALUE!</v>
      </c>
      <c r="BS92" t="str">
        <f>IF(OR(T92="Cash",T92="Cash Adjustments"),"-",_xll.BDP(R92&amp;" FIGI",$BS$1))</f>
        <v>6/10/2019</v>
      </c>
      <c r="BT92" t="str">
        <f>IF(OR(T92="Cash",T92="Cash Adjustments"),"-",_xll.BDP(R92&amp;" FIGI",$BT$1))</f>
        <v>6/10/2019</v>
      </c>
      <c r="BU92" t="str">
        <f>IF(OR(T92="Cash",T92="Cash Adjustments"),"-",_xll.BDP(R92&amp;" FIGI",$BU$1))</f>
        <v>#N/A N/A</v>
      </c>
    </row>
    <row r="93" spans="1:73">
      <c r="A93" s="254" t="s">
        <v>15</v>
      </c>
      <c r="B93" s="254" t="s">
        <v>25</v>
      </c>
      <c r="C93" s="254" t="s">
        <v>46</v>
      </c>
      <c r="D93" s="254" t="s">
        <v>22</v>
      </c>
      <c r="E93" s="254"/>
      <c r="F93" s="254" t="s">
        <v>1154</v>
      </c>
      <c r="G93" s="254" t="s">
        <v>1155</v>
      </c>
      <c r="H93" s="270">
        <v>3000000</v>
      </c>
      <c r="I93" s="270">
        <v>66.073999999999998</v>
      </c>
      <c r="J93" s="270">
        <v>2804148.64</v>
      </c>
      <c r="K93" s="270">
        <v>21789537.59</v>
      </c>
      <c r="L93" s="270">
        <v>-6426936.1500000004</v>
      </c>
      <c r="M93" s="270">
        <v>104950.62</v>
      </c>
      <c r="N93" s="270">
        <v>15362601.439999999</v>
      </c>
      <c r="O93" s="255">
        <v>3.3999999999999998E-3</v>
      </c>
      <c r="P93" s="1"/>
      <c r="Q93" s="1" t="str">
        <f t="shared" si="11"/>
        <v>Investments</v>
      </c>
      <c r="R93" s="1" t="str">
        <f>_xll.BDP(G93&amp;" ISIN",$R$1)</f>
        <v>BBG00DXBXRD0</v>
      </c>
      <c r="S93" s="1" t="str">
        <f>IF(Q93="Cash",Q93,IF(OR(Q93="Receivable Investments",Q93="Payable Investments"),"Cash Adjustments",_xll.BDP(R93&amp;" FIGI",$S$1)))</f>
        <v>BOND</v>
      </c>
      <c r="T93" s="1" t="str">
        <f>IF(Q93="Cash",Q93,IF(OR(Q93="Receivable Investments",Q93="Payable Investments"),"Cash Adjustments",VLOOKUP(R93,LQA!E:S,3,0)))</f>
        <v>Corp</v>
      </c>
      <c r="U93" s="1" t="str">
        <f>IF(Q93="Cash",Q93,IF(OR(Q93="Receivable Investments",Q93="Payable Investments"),"Cash Adjustments",_xll.BDP(R93&amp;" FIGI",$U$1)))</f>
        <v>#N/A Field Not Applicable</v>
      </c>
      <c r="V93" s="10">
        <f>IF(OR(Q93="Cash",Q93="Receivable Investments",Q93="Payable Investments"),0,IF(Q93="Investments",VLOOKUP(R93,LQA!E:Q,12,0),"Not Covered"))</f>
        <v>0.3</v>
      </c>
      <c r="W93" s="76">
        <f>IF(OR(Q93="Cash",Q93="Receivable Investments",Q93="Payable Investments"),0,IF(Q93="Investments",VLOOKUP(R93,LQA!E:Q,9,0),"Not Covered"))</f>
        <v>2.1104000000000001E-2</v>
      </c>
      <c r="X93" s="13" t="str">
        <f>IF(OR(H93=0,T93="Comdty"),"High",IF(V93&lt;='Liquidity Bucket'!$A$4,'Liquidity Bucket'!$I$4,IF(V93&lt;='Liquidity Bucket'!$A$5,'Liquidity Bucket'!$I$5,IF(V93&lt;='Liquidity Bucket'!$A$6,'Liquidity Bucket'!$I$6,IF(V93='Liquidity Bucket'!$A$8,'Liquidity Bucket'!$I$8,'Liquidity Bucket'!$I$7)))))</f>
        <v>High</v>
      </c>
      <c r="Y93" s="153">
        <f>IF(OR(Q93="Cash",Q93="Receivable Investments",Q93="Payable Investments"),0,IF(Q93="Investments",VLOOKUP(R93,'LQA Stress'!E:Q,12,0),"Not Covered"))</f>
        <v>2.9</v>
      </c>
      <c r="Z93" s="75">
        <f>IF(OR(Q93="Cash",Q93="Receivable Investments",Q93="Payable Investments"),0,IF(Q93="Investments",VLOOKUP(R93,'LQA Stress'!E:Q,9,0),"Not Covered"))</f>
        <v>5.5042000000000001E-2</v>
      </c>
      <c r="AA93" s="13" t="str">
        <f>IF(T93="Comdty","High",IF(Y93&lt;='Liquidity Bucket'!$A$4,'Liquidity Bucket'!$I$4,IF(Y93&lt;='Liquidity Bucket'!$A$5,'Liquidity Bucket'!$I$5,IF(Y93&lt;='Liquidity Bucket'!$A$6,'Liquidity Bucket'!$I$6,IF(Y93='Liquidity Bucket'!$A$8,'Liquidity Bucket'!$I$8,'Liquidity Bucket'!$I$7)))))</f>
        <v>High</v>
      </c>
      <c r="AB93" s="14">
        <f>(N93+M93)/'FX Rates'!$C$5</f>
        <v>1995298.2533539732</v>
      </c>
      <c r="AC93" s="15" t="str">
        <f>IF(X93="Not Covered", (H93/_xll.BDP(R93&amp;" FIGI",$AC$1)),"")</f>
        <v/>
      </c>
      <c r="AD93" s="16" t="str">
        <f>IF(X93="Not Covered", _xll.BDP(R93&amp;" FIGI",$AD$1),"")</f>
        <v/>
      </c>
      <c r="AE93" s="16" t="str">
        <f>IF(OR(T93="Corp",T93="Govt"),IF(_xll.BDP(R93&amp;" FIGI",$AE$1)="#N/A N/A","",_xll.BDP(R93&amp;" FIGI",$AE$1)),"")</f>
        <v>B</v>
      </c>
      <c r="AF93" s="1" t="str">
        <f>IF(OR(T93="Corp",T93="Govt"),IF(_xll.BDP(R93&amp;" FIGI",$AF$1)="#N/A N/A","",_xll.BDP(R93&amp;" FIGI",$AF$1)),"")</f>
        <v/>
      </c>
      <c r="AG93" s="16" t="str">
        <f>IF(OR(T93="Corp",T93="Govt"),IF(_xll.BDP(R93&amp;" FIGI",$AG$1)="#N/A N/A","",_xll.BDP(R93&amp;" FIGI",$AG$1)),"")</f>
        <v>B</v>
      </c>
      <c r="AH93" s="125">
        <f>IF(OR(S93="Cash",S93="M-Mkt"),21,IF(AE93="",0,VLOOKUP(AE93,'Rating Scale'!A:B,2,0)))</f>
        <v>7</v>
      </c>
      <c r="AI93" s="125">
        <f>IF(OR(S93="Cash",S93="M-Mkt"),21,IF(AF93="",0,VLOOKUP(AF93,'Rating Scale'!D:E,2,0)))</f>
        <v>0</v>
      </c>
      <c r="AJ93" s="125">
        <f>IF(OR(S93="Cash",S93="M-Mkt"),21,IF(AG93="",0,VLOOKUP(AG93,'Rating Scale'!G:H,2,0)))</f>
        <v>7</v>
      </c>
      <c r="AK93">
        <f t="shared" si="10"/>
        <v>7</v>
      </c>
      <c r="AL93" s="1" t="str">
        <f>IF(OR(U93="Cash",U93="Cash Adjustments"),_xll.BDP(G93&amp;" Curncy","Country"),IF(T93="Equity",_xll.BDP(R93&amp;" FIGI","CNTRY_ISSUE_ISO"),_xll.BDP(R93&amp;" FIGI",$AL$1)))</f>
        <v>ID</v>
      </c>
      <c r="AM93" s="126" t="str">
        <f>IF(OR(T93="Cash",T93="Cash Adjustments",T93="M-Mkt"), T93, IF(T93="Comdty",AS93, _xll.BDP(R93&amp;" FIGI", $AM$1)))</f>
        <v>Financial</v>
      </c>
      <c r="AN93" s="126" t="str">
        <f>IF(OR(T93="Cash",T93="Cash Adjustments",T93="M-Mkt"), T93,  IF(T93="Comdty",AS93,_xll.BDP(R93&amp;" FIGI", $AN$1)))</f>
        <v>Real Estate</v>
      </c>
      <c r="AO93" s="126" t="str">
        <f>IF(OR(T93="Cash",T93="Cash Adjustments",T93="M-Mkt"), T93,  IF(T93="Comdty",AS93,_xll.BDP(R93&amp;" FIGI", $AO$1)))</f>
        <v>Real Estate Oper/Develop</v>
      </c>
      <c r="AP93" s="13" t="str">
        <f>IF(OR(T93="Cash",T93="Cash Adjustments"), T93, IF(_xll.BDP(R93&amp;" FIGI", $AP$1)="#N/A Field Not Applicable","N",_xll.BDP(R93&amp;" FIGI", $AP$1)))</f>
        <v>N</v>
      </c>
      <c r="AQ93" s="1" t="str">
        <f>IF(OR(T93="Cash",T93="Cash Adjustments"), T93, IF(_xll.BDP(R93&amp;" FIGI", $AQ$1)="#N/A Field Not Applicable"," ",_xll.BDP(R93&amp;" FIGI", $AQ$1)))</f>
        <v xml:space="preserve"> </v>
      </c>
      <c r="AR93" s="1" t="str">
        <f>IF(OR(T93="Cash",T93="Cash Adjustments"), T93, IF(_xll.BDP(R93&amp;" FIGI", $AR$1)="#N/A Field Not Applicable"," ",_xll.BDP(R93&amp;" FIGI", $AR$1)))</f>
        <v>ACTV</v>
      </c>
      <c r="AS93" s="1" t="str">
        <f>VLOOKUP(T93,'SFC Classifcation'!$F$2:$H$7,3,0)</f>
        <v>Corporate</v>
      </c>
      <c r="AT93" s="22" t="str">
        <f t="shared" si="12"/>
        <v>Financial</v>
      </c>
      <c r="AU93" s="1" t="str">
        <f t="shared" si="13"/>
        <v>Non-Investment Grade</v>
      </c>
      <c r="AV93" s="1" t="str">
        <f>IF(OR(T93="Cash",T93="Cash Adjustments"),T93,VLOOKUP(AL93,'SFC Classifcation'!$A:$C,3,0))</f>
        <v>Asia - others (1)</v>
      </c>
      <c r="AW93" s="22" t="str">
        <f t="shared" si="14"/>
        <v>High</v>
      </c>
      <c r="AX93" s="22" t="str">
        <f t="shared" si="15"/>
        <v>High</v>
      </c>
      <c r="AY93" s="45" t="str">
        <f>IF(OR(T93="Cash",T93="Cash Adjustments"), T93, _xll.BDP(R93&amp;" FIGI", $AY$1))</f>
        <v>#N/A Field Not Applicable</v>
      </c>
      <c r="AZ93" s="45" t="str">
        <f>IF(OR(T93="Cash",T93="Cash Adjustments"), T93, _xll.BDP(R93&amp;" FIGI", $AZ$1))</f>
        <v>SPECIAL PURPOSE</v>
      </c>
      <c r="BA93" s="45" t="str">
        <f>IF(OR(T93="Cash",T93="Cash Adjustments"), T93, _xll.BDP(R93&amp;" FIGI", $BA$1))</f>
        <v>#N/A Field Not Applicable</v>
      </c>
      <c r="BB93" s="16">
        <f>IF(OR(AS93="Government",AS93="Corporate"),(AK93*AB93/'SFC Report'!$C$20),"")</f>
        <v>2.5374848258114299E-2</v>
      </c>
      <c r="BC93" s="174" t="str">
        <f>IF(OR(T93="Cash",T93="Cash Adjustments", T93="FX Forward", T93="Repo", T93="Equity", T93="M-Mkt"), "", _xll.BDP(R93&amp;" FIGI", $BC$1))</f>
        <v>10/5/2023</v>
      </c>
      <c r="BD93" s="125">
        <f ca="1">IF(OR(T93="Cash",T93="Cash Adjustments",T93="FX Forward",T93="Repo", T93="Equity", T93="M-Mkt"),"",(BC93-'SFC Report'!$B$13)/365)</f>
        <v>3.4328767123287673</v>
      </c>
      <c r="BE93" s="82" t="str">
        <f t="shared" ca="1" si="18"/>
        <v>3 - 5 yrs</v>
      </c>
      <c r="BF93" s="5">
        <f ca="1">IF(BC93="","",BD93*AB93/'SFC Report'!$C$20)</f>
        <v>1.2444103666308109E-2</v>
      </c>
      <c r="BG93" s="14" cm="1">
        <f t="array" ref="BG93">IF(OR(AS93="Corporate",AS93="Government"),_xll.BDP(G93&amp;" ISIN", $BG$1),"")</f>
        <v>2.7589893281502018</v>
      </c>
      <c r="BH93" s="140">
        <f>IF(OR(AS93="Corporate",AS93="Government"),BG93*BN93/'SFC Report'!$C$20,"")</f>
        <v>1.0001276506795442E-2</v>
      </c>
      <c r="BI93" s="140">
        <f>IF(OR(AS93="Corporate",AS93="Government"),_xll.BDP(G93&amp;" ISIN", $BI$1),"")</f>
        <v>16.20794075831494</v>
      </c>
      <c r="BJ93" s="140">
        <f>IF(OR(AS93="Corporate",AS93="Government"),BI93*AB93/'SFC Report'!$C$20,"")</f>
        <v>5.8753433902678232E-2</v>
      </c>
      <c r="BK93" s="153" t="str">
        <f>IF(OR(T93="Cash",T93="Cash Adjustments"),"-",_xll.BDP(R93&amp;" FIGI",$BK$1))</f>
        <v>USN4717BAD84</v>
      </c>
      <c r="BL93" s="11" t="str">
        <f>IF(OR(AS93="Cash", AS93="Cash Adjustments"),"-",IF(ISNA(VLOOKUP(BK93,'BBG - VaR Data (Sample, Indus )'!C:N,5,0)),"-",VLOOKUP(BK93,'BBG - VaR Data (Sample, Indus )'!C:N,5,0)))</f>
        <v>-</v>
      </c>
      <c r="BM93" s="11">
        <f>IF(OR(AS93="Cash", AS93="Cash Adjustments"),"-",IF(ISNA(VLOOKUP(BK93,'BBG - Scenarios (Sample View)'!C:Z,14,0)),"-",VLOOKUP(BK93,'BBG - Scenarios (Sample View)'!C:Z,14,0)))</f>
        <v>-10.99</v>
      </c>
      <c r="BN93" s="14">
        <f t="shared" si="16"/>
        <v>1995298.2533539732</v>
      </c>
      <c r="BO93" s="1">
        <f t="shared" si="17"/>
        <v>3.9140745689504666E-3</v>
      </c>
      <c r="BP93" t="str">
        <f>IF(BC93&lt;&gt;0,MaturityBucket(BG93),"")</f>
        <v>2 - 3 yrs</v>
      </c>
      <c r="BQ93" s="11" t="str">
        <f>IF(OR(T93="Cash",T93="Cash Adjustments"),T93,VLOOKUP(AL93,'SFC Classifcation'!$A:$C,2,0))</f>
        <v>Indonesia</v>
      </c>
      <c r="BR93" s="1" t="e">
        <f>IF(S93="Bond",BH93/'SFC Report'!$B$7,"")</f>
        <v>#VALUE!</v>
      </c>
      <c r="BS93" t="str">
        <f>IF(OR(T93="Cash",T93="Cash Adjustments"),"-",_xll.BDP(R93&amp;" FIGI",$BS$1))</f>
        <v>11/7/2019</v>
      </c>
      <c r="BT93" t="str">
        <f>IF(OR(T93="Cash",T93="Cash Adjustments"),"-",_xll.BDP(R93&amp;" FIGI",$BT$1))</f>
        <v>#N/A N/A</v>
      </c>
      <c r="BU93" t="str">
        <f>IF(OR(T93="Cash",T93="Cash Adjustments"),"-",_xll.BDP(R93&amp;" FIGI",$BU$1))</f>
        <v>11/7/2019</v>
      </c>
    </row>
    <row r="94" spans="1:73">
      <c r="A94" s="254" t="s">
        <v>15</v>
      </c>
      <c r="B94" s="254" t="s">
        <v>25</v>
      </c>
      <c r="C94" s="254" t="s">
        <v>46</v>
      </c>
      <c r="D94" s="254" t="s">
        <v>22</v>
      </c>
      <c r="E94" s="254"/>
      <c r="F94" s="254" t="s">
        <v>1932</v>
      </c>
      <c r="G94" s="254" t="s">
        <v>1933</v>
      </c>
      <c r="H94" s="270">
        <v>1000000</v>
      </c>
      <c r="I94" s="270">
        <v>99.747</v>
      </c>
      <c r="J94" s="270">
        <v>993600</v>
      </c>
      <c r="K94" s="270">
        <v>7701492.96</v>
      </c>
      <c r="L94" s="270">
        <v>29099.040000000001</v>
      </c>
      <c r="M94" s="270">
        <v>5597.37</v>
      </c>
      <c r="N94" s="270">
        <v>7730592</v>
      </c>
      <c r="O94" s="255">
        <v>1.6999999999999999E-3</v>
      </c>
      <c r="P94" s="1"/>
      <c r="Q94" s="1" t="str">
        <f t="shared" si="11"/>
        <v>Investments</v>
      </c>
      <c r="R94" s="1" t="str">
        <f>_xll.BDP(G94&amp;" ISIN",$R$1)</f>
        <v>BBG00T6LY8D4</v>
      </c>
      <c r="S94" s="1" t="str">
        <f>IF(Q94="Cash",Q94,IF(OR(Q94="Receivable Investments",Q94="Payable Investments"),"Cash Adjustments",_xll.BDP(R94&amp;" FIGI",$S$1)))</f>
        <v>BOND</v>
      </c>
      <c r="T94" s="1" t="str">
        <f>IF(Q94="Cash",Q94,IF(OR(Q94="Receivable Investments",Q94="Payable Investments"),"Cash Adjustments",VLOOKUP(R94,LQA!E:S,3,0)))</f>
        <v>Govt</v>
      </c>
      <c r="U94" s="1" t="str">
        <f>IF(Q94="Cash",Q94,IF(OR(Q94="Receivable Investments",Q94="Payable Investments"),"Cash Adjustments",_xll.BDP(R94&amp;" FIGI",$U$1)))</f>
        <v>#N/A Field Not Applicable</v>
      </c>
      <c r="V94" s="10">
        <f>IF(OR(Q94="Cash",Q94="Receivable Investments",Q94="Payable Investments"),0,IF(Q94="Investments",VLOOKUP(R94,LQA!E:Q,12,0),"Not Covered"))</f>
        <v>0.4</v>
      </c>
      <c r="W94" s="76">
        <f>IF(OR(Q94="Cash",Q94="Receivable Investments",Q94="Payable Investments"),0,IF(Q94="Investments",VLOOKUP(R94,LQA!E:Q,9,0),"Not Covered"))</f>
        <v>1.1401E-2</v>
      </c>
      <c r="X94" s="13" t="str">
        <f>IF(OR(H94=0,T94="Comdty"),"High",IF(V94&lt;='Liquidity Bucket'!$A$4,'Liquidity Bucket'!$I$4,IF(V94&lt;='Liquidity Bucket'!$A$5,'Liquidity Bucket'!$I$5,IF(V94&lt;='Liquidity Bucket'!$A$6,'Liquidity Bucket'!$I$6,IF(V94='Liquidity Bucket'!$A$8,'Liquidity Bucket'!$I$8,'Liquidity Bucket'!$I$7)))))</f>
        <v>High</v>
      </c>
      <c r="Y94" s="153">
        <f>IF(OR(Q94="Cash",Q94="Receivable Investments",Q94="Payable Investments"),0,IF(Q94="Investments",VLOOKUP(R94,'LQA Stress'!E:Q,12,0),"Not Covered"))</f>
        <v>1.7</v>
      </c>
      <c r="Z94" s="75">
        <f>IF(OR(Q94="Cash",Q94="Receivable Investments",Q94="Payable Investments"),0,IF(Q94="Investments",VLOOKUP(R94,'LQA Stress'!E:Q,9,0),"Not Covered"))</f>
        <v>3.1843000000000003E-2</v>
      </c>
      <c r="AA94" s="13" t="str">
        <f>IF(T94="Comdty","High",IF(Y94&lt;='Liquidity Bucket'!$A$4,'Liquidity Bucket'!$I$4,IF(Y94&lt;='Liquidity Bucket'!$A$5,'Liquidity Bucket'!$I$5,IF(Y94&lt;='Liquidity Bucket'!$A$6,'Liquidity Bucket'!$I$6,IF(Y94='Liquidity Bucket'!$A$8,'Liquidity Bucket'!$I$8,'Liquidity Bucket'!$I$7)))))</f>
        <v>High</v>
      </c>
      <c r="AB94" s="14">
        <f>(N94+M94)/'FX Rates'!$C$5</f>
        <v>997960.44504643965</v>
      </c>
      <c r="AC94" s="15" t="str">
        <f>IF(X94="Not Covered", (H94/_xll.BDP(R94&amp;" FIGI",$AC$1)),"")</f>
        <v/>
      </c>
      <c r="AD94" s="16" t="str">
        <f>IF(X94="Not Covered", _xll.BDP(R94&amp;" FIGI",$AD$1),"")</f>
        <v/>
      </c>
      <c r="AE94" s="16" t="str">
        <f>IF(OR(T94="Corp",T94="Govt"),IF(_xll.BDP(R94&amp;" FIGI",$AE$1)="#N/A N/A","",_xll.BDP(R94&amp;" FIGI",$AE$1)),"")</f>
        <v/>
      </c>
      <c r="AF94" s="1" t="str">
        <f>IF(OR(T94="Corp",T94="Govt"),IF(_xll.BDP(R94&amp;" FIGI",$AF$1)="#N/A N/A","",_xll.BDP(R94&amp;" FIGI",$AF$1)),"")</f>
        <v>A1</v>
      </c>
      <c r="AG94" s="16" t="str">
        <f>IF(OR(T94="Corp",T94="Govt"),IF(_xll.BDP(R94&amp;" FIGI",$AG$1)="#N/A N/A","",_xll.BDP(R94&amp;" FIGI",$AG$1)),"")</f>
        <v>A</v>
      </c>
      <c r="AH94" s="125">
        <f>IF(OR(S94="Cash",S94="M-Mkt"),21,IF(AE94="",0,VLOOKUP(AE94,'Rating Scale'!A:B,2,0)))</f>
        <v>0</v>
      </c>
      <c r="AI94" s="125">
        <f>IF(OR(S94="Cash",S94="M-Mkt"),21,IF(AF94="",0,VLOOKUP(AF94,'Rating Scale'!D:E,2,0)))</f>
        <v>17</v>
      </c>
      <c r="AJ94" s="125">
        <f>IF(OR(S94="Cash",S94="M-Mkt"),21,IF(AG94="",0,VLOOKUP(AG94,'Rating Scale'!G:H,2,0)))</f>
        <v>16</v>
      </c>
      <c r="AK94">
        <f t="shared" si="10"/>
        <v>16</v>
      </c>
      <c r="AL94" s="1" t="str">
        <f>IF(OR(U94="Cash",U94="Cash Adjustments"),_xll.BDP(G94&amp;" Curncy","Country"),IF(T94="Equity",_xll.BDP(R94&amp;" FIGI","CNTRY_ISSUE_ISO"),_xll.BDP(R94&amp;" FIGI",$AL$1)))</f>
        <v>SA</v>
      </c>
      <c r="AM94" s="126" t="str">
        <f>IF(OR(T94="Cash",T94="Cash Adjustments",T94="M-Mkt"), T94, IF(T94="Comdty",AS94, _xll.BDP(R94&amp;" FIGI", $AM$1)))</f>
        <v>Government</v>
      </c>
      <c r="AN94" s="126" t="str">
        <f>IF(OR(T94="Cash",T94="Cash Adjustments",T94="M-Mkt"), T94,  IF(T94="Comdty",AS94,_xll.BDP(R94&amp;" FIGI", $AN$1)))</f>
        <v>Sovereign</v>
      </c>
      <c r="AO94" s="126" t="str">
        <f>IF(OR(T94="Cash",T94="Cash Adjustments",T94="M-Mkt"), T94,  IF(T94="Comdty",AS94,_xll.BDP(R94&amp;" FIGI", $AO$1)))</f>
        <v>Sovereign</v>
      </c>
      <c r="AP94" s="13" t="str">
        <f>IF(OR(T94="Cash",T94="Cash Adjustments"), T94, IF(_xll.BDP(R94&amp;" FIGI", $AP$1)="#N/A Field Not Applicable","N",_xll.BDP(R94&amp;" FIGI", $AP$1)))</f>
        <v>N</v>
      </c>
      <c r="AQ94" s="1" t="str">
        <f>IF(OR(T94="Cash",T94="Cash Adjustments"), T94, IF(_xll.BDP(R94&amp;" FIGI", $AQ$1)="#N/A Field Not Applicable"," ",_xll.BDP(R94&amp;" FIGI", $AQ$1)))</f>
        <v xml:space="preserve"> </v>
      </c>
      <c r="AR94" s="1" t="str">
        <f>IF(OR(T94="Cash",T94="Cash Adjustments"), T94, IF(_xll.BDP(R94&amp;" FIGI", $AR$1)="#N/A Field Not Applicable"," ",_xll.BDP(R94&amp;" FIGI", $AR$1)))</f>
        <v>ACTV</v>
      </c>
      <c r="AS94" s="1" t="str">
        <f>VLOOKUP(T94,'SFC Classifcation'!$F$2:$H$7,3,0)</f>
        <v>Government</v>
      </c>
      <c r="AT94" s="22" t="str">
        <f t="shared" si="12"/>
        <v>Non-Financial</v>
      </c>
      <c r="AU94" s="1" t="str">
        <f t="shared" si="13"/>
        <v>Investment Grade</v>
      </c>
      <c r="AV94" s="1" t="str">
        <f>IF(OR(T94="Cash",T94="Cash Adjustments"),T94,VLOOKUP(AL94,'SFC Classifcation'!$A:$C,3,0))</f>
        <v>Saudi Arabia</v>
      </c>
      <c r="AW94" s="22" t="str">
        <f t="shared" si="14"/>
        <v>High</v>
      </c>
      <c r="AX94" s="22" t="str">
        <f t="shared" si="15"/>
        <v>High</v>
      </c>
      <c r="AY94" s="45" t="str">
        <f>IF(OR(T94="Cash",T94="Cash Adjustments"), T94, _xll.BDP(R94&amp;" FIGI", $AY$1))</f>
        <v>#N/A Field Not Applicable</v>
      </c>
      <c r="AZ94" s="45" t="str">
        <f>IF(OR(T94="Cash",T94="Cash Adjustments"), T94, _xll.BDP(R94&amp;" FIGI", $AZ$1))</f>
        <v>GOVT NATIONAL</v>
      </c>
      <c r="BA94" s="45" t="str">
        <f>IF(OR(T94="Cash",T94="Cash Adjustments"), T94, _xll.BDP(R94&amp;" FIGI", $BA$1))</f>
        <v>#N/A Field Not Applicable</v>
      </c>
      <c r="BB94" s="16">
        <f>IF(OR(AS94="Government",AS94="Corporate"),(AK94*AB94/'SFC Report'!$C$20),"")</f>
        <v>2.9008876033544861E-2</v>
      </c>
      <c r="BC94" s="174" t="str">
        <f>IF(OR(T94="Cash",T94="Cash Adjustments", T94="FX Forward", T94="Repo", T94="Equity", T94="M-Mkt"), "", _xll.BDP(R94&amp;" FIGI", $BC$1))</f>
        <v>10/22/2030</v>
      </c>
      <c r="BD94" s="125">
        <f ca="1">IF(OR(T94="Cash",T94="Cash Adjustments",T94="FX Forward",T94="Repo", T94="Equity", T94="M-Mkt"),"",(BC94-'SFC Report'!$B$13)/365)</f>
        <v>10.484931506849316</v>
      </c>
      <c r="BE94" s="82" t="str">
        <f t="shared" ca="1" si="18"/>
        <v>10 yrs or Above</v>
      </c>
      <c r="BF94" s="5">
        <f ca="1">IF(BC94="","",BD94*AB94/'SFC Report'!$C$20)</f>
        <v>1.9009754893900031E-2</v>
      </c>
      <c r="BG94" s="14" cm="1">
        <f t="array" ref="BG94">IF(OR(AS94="Corporate",AS94="Government"),_xll.BDP(G94&amp;" ISIN", $BG$1),"")</f>
        <v>8.7944352821478269</v>
      </c>
      <c r="BH94" s="140">
        <f>IF(OR(AS94="Corporate",AS94="Government"),BG94*BN94/'SFC Report'!$C$20,"")</f>
        <v>1.5944792680303715E-2</v>
      </c>
      <c r="BI94" s="140">
        <f>IF(OR(AS94="Corporate",AS94="Government"),_xll.BDP(G94&amp;" ISIN", $BI$1),"")</f>
        <v>2.8106357587727393</v>
      </c>
      <c r="BJ94" s="140">
        <f>IF(OR(AS94="Corporate",AS94="Government"),BI94*AB94/'SFC Report'!$C$20,"")</f>
        <v>5.0958365188554181E-3</v>
      </c>
      <c r="BK94" s="153" t="str">
        <f>IF(OR(T94="Cash",T94="Cash Adjustments"),"-",_xll.BDP(R94&amp;" FIGI",$BK$1))</f>
        <v>XS2159975700</v>
      </c>
      <c r="BL94" s="11" t="str">
        <f>IF(OR(AS94="Cash", AS94="Cash Adjustments"),"-",IF(ISNA(VLOOKUP(BK94,'BBG - VaR Data (Sample, Indus )'!C:N,5,0)),"-",VLOOKUP(BK94,'BBG - VaR Data (Sample, Indus )'!C:N,5,0)))</f>
        <v>-</v>
      </c>
      <c r="BM94" s="11">
        <f>IF(OR(AS94="Cash", AS94="Cash Adjustments"),"-",IF(ISNA(VLOOKUP(BK94,'BBG - Scenarios (Sample View)'!C:Z,14,0)),"-",VLOOKUP(BK94,'BBG - Scenarios (Sample View)'!C:Z,14,0)))</f>
        <v>-6.58</v>
      </c>
      <c r="BN94" s="14">
        <f t="shared" si="16"/>
        <v>997960.44504643965</v>
      </c>
      <c r="BO94" s="1">
        <f t="shared" si="17"/>
        <v>1.957647981803653E-3</v>
      </c>
      <c r="BP94" t="str">
        <f>IF(BC94&lt;&gt;0,MaturityBucket(BG94),"")</f>
        <v>7 - 10 yrs</v>
      </c>
      <c r="BQ94" s="11" t="str">
        <f>IF(OR(T94="Cash",T94="Cash Adjustments"),T94,VLOOKUP(AL94,'SFC Classifcation'!$A:$C,2,0))</f>
        <v>Saudi Arabia</v>
      </c>
      <c r="BR94" s="1" t="e">
        <f>IF(S94="Bond",BH94/'SFC Report'!$B$7,"")</f>
        <v>#VALUE!</v>
      </c>
      <c r="BS94" t="str">
        <f>IF(OR(T94="Cash",T94="Cash Adjustments"),"-",_xll.BDP(R94&amp;" FIGI",$BS$1))</f>
        <v>#N/A N/A</v>
      </c>
      <c r="BT94" t="str">
        <f>IF(OR(T94="Cash",T94="Cash Adjustments"),"-",_xll.BDP(R94&amp;" FIGI",$BT$1))</f>
        <v>4/16/2020</v>
      </c>
      <c r="BU94" t="str">
        <f>IF(OR(T94="Cash",T94="Cash Adjustments"),"-",_xll.BDP(R94&amp;" FIGI",$BU$1))</f>
        <v>4/17/2020</v>
      </c>
    </row>
    <row r="95" spans="1:73">
      <c r="A95" s="254" t="s">
        <v>15</v>
      </c>
      <c r="B95" s="254" t="s">
        <v>25</v>
      </c>
      <c r="C95" s="254" t="s">
        <v>46</v>
      </c>
      <c r="D95" s="254" t="s">
        <v>22</v>
      </c>
      <c r="E95" s="254"/>
      <c r="F95" s="254" t="s">
        <v>1934</v>
      </c>
      <c r="G95" s="254" t="s">
        <v>1935</v>
      </c>
      <c r="H95" s="270">
        <v>3000000</v>
      </c>
      <c r="I95" s="270">
        <v>98.284999999999997</v>
      </c>
      <c r="J95" s="270">
        <v>2956401.13</v>
      </c>
      <c r="K95" s="270">
        <v>22914753.949999999</v>
      </c>
      <c r="L95" s="270">
        <v>-62901.73</v>
      </c>
      <c r="M95" s="270">
        <v>23250.6</v>
      </c>
      <c r="N95" s="270">
        <v>22851852.219999999</v>
      </c>
      <c r="O95" s="255">
        <v>5.0000000000000001E-3</v>
      </c>
      <c r="P95" s="1"/>
      <c r="Q95" s="1" t="str">
        <f t="shared" si="11"/>
        <v>Investments</v>
      </c>
      <c r="R95" s="1" t="str">
        <f>_xll.BDP(G95&amp;" ISIN",$R$1)</f>
        <v>BBG00T6LYC72</v>
      </c>
      <c r="S95" s="1" t="str">
        <f>IF(Q95="Cash",Q95,IF(OR(Q95="Receivable Investments",Q95="Payable Investments"),"Cash Adjustments",_xll.BDP(R95&amp;" FIGI",$S$1)))</f>
        <v>BOND</v>
      </c>
      <c r="T95" s="1" t="str">
        <f>IF(Q95="Cash",Q95,IF(OR(Q95="Receivable Investments",Q95="Payable Investments"),"Cash Adjustments",VLOOKUP(R95,LQA!E:S,3,0)))</f>
        <v>Govt</v>
      </c>
      <c r="U95" s="1" t="str">
        <f>IF(Q95="Cash",Q95,IF(OR(Q95="Receivable Investments",Q95="Payable Investments"),"Cash Adjustments",_xll.BDP(R95&amp;" FIGI",$U$1)))</f>
        <v>#N/A Field Not Applicable</v>
      </c>
      <c r="V95" s="10">
        <f>IF(OR(Q95="Cash",Q95="Receivable Investments",Q95="Payable Investments"),0,IF(Q95="Investments",VLOOKUP(R95,LQA!E:Q,12,0),"Not Covered"))</f>
        <v>0.5</v>
      </c>
      <c r="W95" s="76">
        <f>IF(OR(Q95="Cash",Q95="Receivable Investments",Q95="Payable Investments"),0,IF(Q95="Investments",VLOOKUP(R95,LQA!E:Q,9,0),"Not Covered"))</f>
        <v>2.3366999999999999E-2</v>
      </c>
      <c r="X95" s="13" t="str">
        <f>IF(OR(H95=0,T95="Comdty"),"High",IF(V95&lt;='Liquidity Bucket'!$A$4,'Liquidity Bucket'!$I$4,IF(V95&lt;='Liquidity Bucket'!$A$5,'Liquidity Bucket'!$I$5,IF(V95&lt;='Liquidity Bucket'!$A$6,'Liquidity Bucket'!$I$6,IF(V95='Liquidity Bucket'!$A$8,'Liquidity Bucket'!$I$8,'Liquidity Bucket'!$I$7)))))</f>
        <v>High</v>
      </c>
      <c r="Y95" s="153">
        <f>IF(OR(Q95="Cash",Q95="Receivable Investments",Q95="Payable Investments"),0,IF(Q95="Investments",VLOOKUP(R95,'LQA Stress'!E:Q,12,0),"Not Covered"))</f>
        <v>1.9</v>
      </c>
      <c r="Z95" s="75">
        <f>IF(OR(Q95="Cash",Q95="Receivable Investments",Q95="Payable Investments"),0,IF(Q95="Investments",VLOOKUP(R95,'LQA Stress'!E:Q,9,0),"Not Covered"))</f>
        <v>6.5572000000000005E-2</v>
      </c>
      <c r="AA95" s="13" t="str">
        <f>IF(T95="Comdty","High",IF(Y95&lt;='Liquidity Bucket'!$A$4,'Liquidity Bucket'!$I$4,IF(Y95&lt;='Liquidity Bucket'!$A$5,'Liquidity Bucket'!$I$5,IF(Y95&lt;='Liquidity Bucket'!$A$6,'Liquidity Bucket'!$I$6,IF(Y95='Liquidity Bucket'!$A$8,'Liquidity Bucket'!$I$8,'Liquidity Bucket'!$I$7)))))</f>
        <v>High</v>
      </c>
      <c r="AB95" s="14">
        <f>(N95+M95)/'FX Rates'!$C$5</f>
        <v>2950864.6568627451</v>
      </c>
      <c r="AC95" s="15" t="str">
        <f>IF(X95="Not Covered", (H95/_xll.BDP(R95&amp;" FIGI",$AC$1)),"")</f>
        <v/>
      </c>
      <c r="AD95" s="16" t="str">
        <f>IF(X95="Not Covered", _xll.BDP(R95&amp;" FIGI",$AD$1),"")</f>
        <v/>
      </c>
      <c r="AE95" s="16" t="str">
        <f>IF(OR(T95="Corp",T95="Govt"),IF(_xll.BDP(R95&amp;" FIGI",$AE$1)="#N/A N/A","",_xll.BDP(R95&amp;" FIGI",$AE$1)),"")</f>
        <v/>
      </c>
      <c r="AF95" s="1" t="str">
        <f>IF(OR(T95="Corp",T95="Govt"),IF(_xll.BDP(R95&amp;" FIGI",$AF$1)="#N/A N/A","",_xll.BDP(R95&amp;" FIGI",$AF$1)),"")</f>
        <v>A1</v>
      </c>
      <c r="AG95" s="16" t="str">
        <f>IF(OR(T95="Corp",T95="Govt"),IF(_xll.BDP(R95&amp;" FIGI",$AG$1)="#N/A N/A","",_xll.BDP(R95&amp;" FIGI",$AG$1)),"")</f>
        <v>A</v>
      </c>
      <c r="AH95" s="125">
        <f>IF(OR(S95="Cash",S95="M-Mkt"),21,IF(AE95="",0,VLOOKUP(AE95,'Rating Scale'!A:B,2,0)))</f>
        <v>0</v>
      </c>
      <c r="AI95" s="125">
        <f>IF(OR(S95="Cash",S95="M-Mkt"),21,IF(AF95="",0,VLOOKUP(AF95,'Rating Scale'!D:E,2,0)))</f>
        <v>17</v>
      </c>
      <c r="AJ95" s="125">
        <f>IF(OR(S95="Cash",S95="M-Mkt"),21,IF(AG95="",0,VLOOKUP(AG95,'Rating Scale'!G:H,2,0)))</f>
        <v>16</v>
      </c>
      <c r="AK95">
        <f t="shared" si="10"/>
        <v>16</v>
      </c>
      <c r="AL95" s="1" t="str">
        <f>IF(OR(U95="Cash",U95="Cash Adjustments"),_xll.BDP(G95&amp;" Curncy","Country"),IF(T95="Equity",_xll.BDP(R95&amp;" FIGI","CNTRY_ISSUE_ISO"),_xll.BDP(R95&amp;" FIGI",$AL$1)))</f>
        <v>SA</v>
      </c>
      <c r="AM95" s="126" t="str">
        <f>IF(OR(T95="Cash",T95="Cash Adjustments",T95="M-Mkt"), T95, IF(T95="Comdty",AS95, _xll.BDP(R95&amp;" FIGI", $AM$1)))</f>
        <v>Government</v>
      </c>
      <c r="AN95" s="126" t="str">
        <f>IF(OR(T95="Cash",T95="Cash Adjustments",T95="M-Mkt"), T95,  IF(T95="Comdty",AS95,_xll.BDP(R95&amp;" FIGI", $AN$1)))</f>
        <v>Sovereign</v>
      </c>
      <c r="AO95" s="126" t="str">
        <f>IF(OR(T95="Cash",T95="Cash Adjustments",T95="M-Mkt"), T95,  IF(T95="Comdty",AS95,_xll.BDP(R95&amp;" FIGI", $AO$1)))</f>
        <v>Sovereign</v>
      </c>
      <c r="AP95" s="13" t="str">
        <f>IF(OR(T95="Cash",T95="Cash Adjustments"), T95, IF(_xll.BDP(R95&amp;" FIGI", $AP$1)="#N/A Field Not Applicable","N",_xll.BDP(R95&amp;" FIGI", $AP$1)))</f>
        <v>N</v>
      </c>
      <c r="AQ95" s="1" t="str">
        <f>IF(OR(T95="Cash",T95="Cash Adjustments"), T95, IF(_xll.BDP(R95&amp;" FIGI", $AQ$1)="#N/A Field Not Applicable"," ",_xll.BDP(R95&amp;" FIGI", $AQ$1)))</f>
        <v xml:space="preserve"> </v>
      </c>
      <c r="AR95" s="1" t="str">
        <f>IF(OR(T95="Cash",T95="Cash Adjustments"), T95, IF(_xll.BDP(R95&amp;" FIGI", $AR$1)="#N/A Field Not Applicable"," ",_xll.BDP(R95&amp;" FIGI", $AR$1)))</f>
        <v>ACTV</v>
      </c>
      <c r="AS95" s="1" t="str">
        <f>VLOOKUP(T95,'SFC Classifcation'!$F$2:$H$7,3,0)</f>
        <v>Government</v>
      </c>
      <c r="AT95" s="22" t="str">
        <f t="shared" si="12"/>
        <v>Non-Financial</v>
      </c>
      <c r="AU95" s="1" t="str">
        <f t="shared" si="13"/>
        <v>Investment Grade</v>
      </c>
      <c r="AV95" s="1" t="str">
        <f>IF(OR(T95="Cash",T95="Cash Adjustments"),T95,VLOOKUP(AL95,'SFC Classifcation'!$A:$C,3,0))</f>
        <v>Saudi Arabia</v>
      </c>
      <c r="AW95" s="22" t="str">
        <f t="shared" si="14"/>
        <v>High</v>
      </c>
      <c r="AX95" s="22" t="str">
        <f t="shared" si="15"/>
        <v>High</v>
      </c>
      <c r="AY95" s="45" t="str">
        <f>IF(OR(T95="Cash",T95="Cash Adjustments"), T95, _xll.BDP(R95&amp;" FIGI", $AY$1))</f>
        <v>#N/A Field Not Applicable</v>
      </c>
      <c r="AZ95" s="45" t="str">
        <f>IF(OR(T95="Cash",T95="Cash Adjustments"), T95, _xll.BDP(R95&amp;" FIGI", $AZ$1))</f>
        <v>GOVT NATIONAL</v>
      </c>
      <c r="BA95" s="45" t="str">
        <f>IF(OR(T95="Cash",T95="Cash Adjustments"), T95, _xll.BDP(R95&amp;" FIGI", $BA$1))</f>
        <v>#N/A Field Not Applicable</v>
      </c>
      <c r="BB95" s="16">
        <f>IF(OR(AS95="Government",AS95="Corporate"),(AK95*AB95/'SFC Report'!$C$20),"")</f>
        <v>8.5776212321438089E-2</v>
      </c>
      <c r="BC95" s="174" t="str">
        <f>IF(OR(T95="Cash",T95="Cash Adjustments", T95="FX Forward", T95="Repo", T95="Equity", T95="M-Mkt"), "", _xll.BDP(R95&amp;" FIGI", $BC$1))</f>
        <v>4/22/2060</v>
      </c>
      <c r="BD95" s="125">
        <f ca="1">IF(OR(T95="Cash",T95="Cash Adjustments",T95="FX Forward",T95="Repo", T95="Equity", T95="M-Mkt"),"",(BC95-'SFC Report'!$B$13)/365)</f>
        <v>40.005479452054793</v>
      </c>
      <c r="BE95" s="82" t="str">
        <f t="shared" ca="1" si="18"/>
        <v>10 yrs or Above</v>
      </c>
      <c r="BF95" s="5">
        <f ca="1">IF(BC95="","",BD95*AB95/'SFC Report'!$C$20)</f>
        <v>0.21446990621877382</v>
      </c>
      <c r="BG95" s="14" cm="1">
        <f t="array" ref="BG95">IF(OR(AS95="Corporate",AS95="Government"),_xll.BDP(G95&amp;" ISIN", $BG$1),"")</f>
        <v>19.471860609228425</v>
      </c>
      <c r="BH95" s="140">
        <f>IF(OR(AS95="Corporate",AS95="Government"),BG95*BN95/'SFC Report'!$C$20,"")</f>
        <v>0.10438890311941403</v>
      </c>
      <c r="BI95" s="140">
        <f>IF(OR(AS95="Corporate",AS95="Government"),_xll.BDP(G95&amp;" ISIN", $BI$1),"")</f>
        <v>3.9239704118776193</v>
      </c>
      <c r="BJ95" s="140">
        <f>IF(OR(AS95="Corporate",AS95="Government"),BI95*AB95/'SFC Report'!$C$20,"")</f>
        <v>2.1036457449515975E-2</v>
      </c>
      <c r="BK95" s="153" t="str">
        <f>IF(OR(T95="Cash",T95="Cash Adjustments"),"-",_xll.BDP(R95&amp;" FIGI",$BK$1))</f>
        <v>XS2159975882</v>
      </c>
      <c r="BL95" s="11" t="str">
        <f>IF(OR(AS95="Cash", AS95="Cash Adjustments"),"-",IF(ISNA(VLOOKUP(BK95,'BBG - VaR Data (Sample, Indus )'!C:N,5,0)),"-",VLOOKUP(BK95,'BBG - VaR Data (Sample, Indus )'!C:N,5,0)))</f>
        <v>-</v>
      </c>
      <c r="BM95" s="11">
        <f>IF(OR(AS95="Cash", AS95="Cash Adjustments"),"-",IF(ISNA(VLOOKUP(BK95,'BBG - Scenarios (Sample View)'!C:Z,14,0)),"-",VLOOKUP(BK95,'BBG - Scenarios (Sample View)'!C:Z,14,0)))</f>
        <v>-14.96</v>
      </c>
      <c r="BN95" s="14">
        <f t="shared" si="16"/>
        <v>2950864.6568627451</v>
      </c>
      <c r="BO95" s="1">
        <f t="shared" si="17"/>
        <v>5.7885603269719407E-3</v>
      </c>
      <c r="BP95" t="str">
        <f>IF(BC95&lt;&gt;0,MaturityBucket(BG95),"")</f>
        <v>10 yrs or Above</v>
      </c>
      <c r="BQ95" s="11" t="str">
        <f>IF(OR(T95="Cash",T95="Cash Adjustments"),T95,VLOOKUP(AL95,'SFC Classifcation'!$A:$C,2,0))</f>
        <v>Saudi Arabia</v>
      </c>
      <c r="BR95" s="1" t="e">
        <f>IF(S95="Bond",BH95/'SFC Report'!$B$7,"")</f>
        <v>#VALUE!</v>
      </c>
      <c r="BS95" t="str">
        <f>IF(OR(T95="Cash",T95="Cash Adjustments"),"-",_xll.BDP(R95&amp;" FIGI",$BS$1))</f>
        <v>#N/A N/A</v>
      </c>
      <c r="BT95" t="str">
        <f>IF(OR(T95="Cash",T95="Cash Adjustments"),"-",_xll.BDP(R95&amp;" FIGI",$BT$1))</f>
        <v>4/16/2020</v>
      </c>
      <c r="BU95" t="str">
        <f>IF(OR(T95="Cash",T95="Cash Adjustments"),"-",_xll.BDP(R95&amp;" FIGI",$BU$1))</f>
        <v>4/17/2020</v>
      </c>
    </row>
    <row r="96" spans="1:73">
      <c r="A96" s="254" t="s">
        <v>15</v>
      </c>
      <c r="B96" s="254" t="s">
        <v>25</v>
      </c>
      <c r="C96" s="254" t="s">
        <v>46</v>
      </c>
      <c r="D96" s="254" t="s">
        <v>22</v>
      </c>
      <c r="E96" s="254"/>
      <c r="F96" s="254" t="s">
        <v>1215</v>
      </c>
      <c r="G96" s="254" t="s">
        <v>1216</v>
      </c>
      <c r="H96" s="270">
        <v>3000000</v>
      </c>
      <c r="I96" s="270">
        <v>98.102000000000004</v>
      </c>
      <c r="J96" s="270">
        <v>3022950</v>
      </c>
      <c r="K96" s="270">
        <v>23485964.989999998</v>
      </c>
      <c r="L96" s="270">
        <v>-676661.39</v>
      </c>
      <c r="M96" s="270">
        <v>422385.9</v>
      </c>
      <c r="N96" s="270">
        <v>22809303.600000001</v>
      </c>
      <c r="O96" s="255">
        <v>5.0000000000000001E-3</v>
      </c>
      <c r="P96" s="1"/>
      <c r="Q96" s="1" t="str">
        <f t="shared" si="11"/>
        <v>Investments</v>
      </c>
      <c r="R96" s="1" t="str">
        <f>_xll.BDP(G96&amp;" ISIN",$R$1)</f>
        <v>BBG00FP0FP88</v>
      </c>
      <c r="S96" s="1" t="str">
        <f>IF(Q96="Cash",Q96,IF(OR(Q96="Receivable Investments",Q96="Payable Investments"),"Cash Adjustments",_xll.BDP(R96&amp;" FIGI",$S$1)))</f>
        <v>BOND</v>
      </c>
      <c r="T96" s="1" t="str">
        <f>IF(Q96="Cash",Q96,IF(OR(Q96="Receivable Investments",Q96="Payable Investments"),"Cash Adjustments",VLOOKUP(R96,LQA!E:S,3,0)))</f>
        <v>Corp</v>
      </c>
      <c r="U96" s="1" t="str">
        <f>IF(Q96="Cash",Q96,IF(OR(Q96="Receivable Investments",Q96="Payable Investments"),"Cash Adjustments",_xll.BDP(R96&amp;" FIGI",$U$1)))</f>
        <v>#N/A Field Not Applicable</v>
      </c>
      <c r="V96" s="10">
        <f>IF(OR(Q96="Cash",Q96="Receivable Investments",Q96="Payable Investments"),0,IF(Q96="Investments",VLOOKUP(R96,LQA!E:Q,12,0),"Not Covered"))</f>
        <v>0.3</v>
      </c>
      <c r="W96" s="76">
        <f>IF(OR(Q96="Cash",Q96="Receivable Investments",Q96="Payable Investments"),0,IF(Q96="Investments",VLOOKUP(R96,LQA!E:Q,9,0),"Not Covered"))</f>
        <v>7.5659999999999998E-3</v>
      </c>
      <c r="X96" s="13" t="str">
        <f>IF(OR(H96=0,T96="Comdty"),"High",IF(V96&lt;='Liquidity Bucket'!$A$4,'Liquidity Bucket'!$I$4,IF(V96&lt;='Liquidity Bucket'!$A$5,'Liquidity Bucket'!$I$5,IF(V96&lt;='Liquidity Bucket'!$A$6,'Liquidity Bucket'!$I$6,IF(V96='Liquidity Bucket'!$A$8,'Liquidity Bucket'!$I$8,'Liquidity Bucket'!$I$7)))))</f>
        <v>High</v>
      </c>
      <c r="Y96" s="153">
        <f>IF(OR(Q96="Cash",Q96="Receivable Investments",Q96="Payable Investments"),0,IF(Q96="Investments",VLOOKUP(R96,'LQA Stress'!E:Q,12,0),"Not Covered"))</f>
        <v>0.9</v>
      </c>
      <c r="Z96" s="75">
        <f>IF(OR(Q96="Cash",Q96="Receivable Investments",Q96="Payable Investments"),0,IF(Q96="Investments",VLOOKUP(R96,'LQA Stress'!E:Q,9,0),"Not Covered"))</f>
        <v>2.0153000000000001E-2</v>
      </c>
      <c r="AA96" s="13" t="str">
        <f>IF(T96="Comdty","High",IF(Y96&lt;='Liquidity Bucket'!$A$4,'Liquidity Bucket'!$I$4,IF(Y96&lt;='Liquidity Bucket'!$A$5,'Liquidity Bucket'!$I$5,IF(Y96&lt;='Liquidity Bucket'!$A$6,'Liquidity Bucket'!$I$6,IF(Y96='Liquidity Bucket'!$A$8,'Liquidity Bucket'!$I$8,'Liquidity Bucket'!$I$7)))))</f>
        <v>High</v>
      </c>
      <c r="AB96" s="14">
        <f>(N96+M96)/'FX Rates'!$C$5</f>
        <v>2996863.9705882352</v>
      </c>
      <c r="AC96" s="15" t="str">
        <f>IF(X96="Not Covered", (H96/_xll.BDP(R96&amp;" FIGI",$AC$1)),"")</f>
        <v/>
      </c>
      <c r="AD96" s="16" t="str">
        <f>IF(X96="Not Covered", _xll.BDP(R96&amp;" FIGI",$AD$1),"")</f>
        <v/>
      </c>
      <c r="AE96" s="16" t="str">
        <f>IF(OR(T96="Corp",T96="Govt"),IF(_xll.BDP(R96&amp;" FIGI",$AE$1)="#N/A N/A","",_xll.BDP(R96&amp;" FIGI",$AE$1)),"")</f>
        <v>B</v>
      </c>
      <c r="AF96" s="1" t="str">
        <f>IF(OR(T96="Corp",T96="Govt"),IF(_xll.BDP(R96&amp;" FIGI",$AF$1)="#N/A N/A","",_xll.BDP(R96&amp;" FIGI",$AF$1)),"")</f>
        <v/>
      </c>
      <c r="AG96" s="16" t="str">
        <f>IF(OR(T96="Corp",T96="Govt"),IF(_xll.BDP(R96&amp;" FIGI",$AG$1)="#N/A N/A","",_xll.BDP(R96&amp;" FIGI",$AG$1)),"")</f>
        <v>BB-</v>
      </c>
      <c r="AH96" s="125">
        <f>IF(OR(S96="Cash",S96="M-Mkt"),21,IF(AE96="",0,VLOOKUP(AE96,'Rating Scale'!A:B,2,0)))</f>
        <v>7</v>
      </c>
      <c r="AI96" s="125">
        <f>IF(OR(S96="Cash",S96="M-Mkt"),21,IF(AF96="",0,VLOOKUP(AF96,'Rating Scale'!D:E,2,0)))</f>
        <v>0</v>
      </c>
      <c r="AJ96" s="125">
        <f>IF(OR(S96="Cash",S96="M-Mkt"),21,IF(AG96="",0,VLOOKUP(AG96,'Rating Scale'!G:H,2,0)))</f>
        <v>9</v>
      </c>
      <c r="AK96">
        <f t="shared" si="10"/>
        <v>7</v>
      </c>
      <c r="AL96" s="1" t="str">
        <f>IF(OR(U96="Cash",U96="Cash Adjustments"),_xll.BDP(G96&amp;" Curncy","Country"),IF(T96="Equity",_xll.BDP(R96&amp;" FIGI","CNTRY_ISSUE_ISO"),_xll.BDP(R96&amp;" FIGI",$AL$1)))</f>
        <v>CN</v>
      </c>
      <c r="AM96" s="126" t="str">
        <f>IF(OR(T96="Cash",T96="Cash Adjustments",T96="M-Mkt"), T96, IF(T96="Comdty",AS96, _xll.BDP(R96&amp;" FIGI", $AM$1)))</f>
        <v>Financial</v>
      </c>
      <c r="AN96" s="126" t="str">
        <f>IF(OR(T96="Cash",T96="Cash Adjustments",T96="M-Mkt"), T96,  IF(T96="Comdty",AS96,_xll.BDP(R96&amp;" FIGI", $AN$1)))</f>
        <v>Real Estate</v>
      </c>
      <c r="AO96" s="126" t="str">
        <f>IF(OR(T96="Cash",T96="Cash Adjustments",T96="M-Mkt"), T96,  IF(T96="Comdty",AS96,_xll.BDP(R96&amp;" FIGI", $AO$1)))</f>
        <v>Real Estate Oper/Develop</v>
      </c>
      <c r="AP96" s="13" t="str">
        <f>IF(OR(T96="Cash",T96="Cash Adjustments"), T96, IF(_xll.BDP(R96&amp;" FIGI", $AP$1)="#N/A Field Not Applicable","N",_xll.BDP(R96&amp;" FIGI", $AP$1)))</f>
        <v>N</v>
      </c>
      <c r="AQ96" s="1" t="str">
        <f>IF(OR(T96="Cash",T96="Cash Adjustments"), T96, IF(_xll.BDP(R96&amp;" FIGI", $AQ$1)="#N/A Field Not Applicable"," ",_xll.BDP(R96&amp;" FIGI", $AQ$1)))</f>
        <v xml:space="preserve"> </v>
      </c>
      <c r="AR96" s="1" t="str">
        <f>IF(OR(T96="Cash",T96="Cash Adjustments"), T96, IF(_xll.BDP(R96&amp;" FIGI", $AR$1)="#N/A Field Not Applicable"," ",_xll.BDP(R96&amp;" FIGI", $AR$1)))</f>
        <v>ACTV</v>
      </c>
      <c r="AS96" s="1" t="str">
        <f>VLOOKUP(T96,'SFC Classifcation'!$F$2:$H$7,3,0)</f>
        <v>Corporate</v>
      </c>
      <c r="AT96" s="22" t="str">
        <f t="shared" si="12"/>
        <v>Financial</v>
      </c>
      <c r="AU96" s="1" t="str">
        <f t="shared" si="13"/>
        <v>Non-Investment Grade</v>
      </c>
      <c r="AV96" s="1" t="str">
        <f>IF(OR(T96="Cash",T96="Cash Adjustments"),T96,VLOOKUP(AL96,'SFC Classifcation'!$A:$C,3,0))</f>
        <v>China</v>
      </c>
      <c r="AW96" s="22" t="str">
        <f t="shared" si="14"/>
        <v>High</v>
      </c>
      <c r="AX96" s="22" t="str">
        <f t="shared" si="15"/>
        <v>High</v>
      </c>
      <c r="AY96" s="45" t="str">
        <f>IF(OR(T96="Cash",T96="Cash Adjustments"), T96, _xll.BDP(R96&amp;" FIGI", $AY$1))</f>
        <v>Real Estate</v>
      </c>
      <c r="AZ96" s="45" t="str">
        <f>IF(OR(T96="Cash",T96="Cash Adjustments"), T96, _xll.BDP(R96&amp;" FIGI", $AZ$1))</f>
        <v>FINANCIAL</v>
      </c>
      <c r="BA96" s="45" t="str">
        <f>IF(OR(T96="Cash",T96="Cash Adjustments"), T96, _xll.BDP(R96&amp;" FIGI", $BA$1))</f>
        <v>#N/A Field Not Applicable</v>
      </c>
      <c r="BB96" s="16">
        <f>IF(OR(AS96="Government",AS96="Corporate"),(AK96*AB96/'SFC Report'!$C$20),"")</f>
        <v>3.8112080926277304E-2</v>
      </c>
      <c r="BC96" s="174" t="str">
        <f>IF(OR(T96="Cash",T96="Cash Adjustments", T96="FX Forward", T96="Repo", T96="Equity", T96="M-Mkt"), "", _xll.BDP(R96&amp;" FIGI", $BC$1))</f>
        <v>1/11/2022</v>
      </c>
      <c r="BD96" s="125">
        <f ca="1">IF(OR(T96="Cash",T96="Cash Adjustments",T96="FX Forward",T96="Repo", T96="Equity", T96="M-Mkt"),"",(BC96-'SFC Report'!$B$13)/365)</f>
        <v>1.7013698630136986</v>
      </c>
      <c r="BE96" s="82" t="str">
        <f t="shared" ca="1" si="18"/>
        <v>1 - 2 yrs</v>
      </c>
      <c r="BF96" s="5">
        <f ca="1">IF(BC96="","",BD96*AB96/'SFC Report'!$C$20)</f>
        <v>9.2632494149582027E-3</v>
      </c>
      <c r="BG96" s="14" cm="1">
        <f t="array" ref="BG96">IF(OR(AS96="Corporate",AS96="Government"),_xll.BDP(G96&amp;" ISIN", $BG$1),"")</f>
        <v>1.4834274642292753</v>
      </c>
      <c r="BH96" s="140">
        <f>IF(OR(AS96="Corporate",AS96="Government"),BG96*BN96/'SFC Report'!$C$20,"")</f>
        <v>8.076643937852639E-3</v>
      </c>
      <c r="BI96" s="140">
        <f>IF(OR(AS96="Corporate",AS96="Government"),_xll.BDP(G96&amp;" ISIN", $BI$1),"")</f>
        <v>7.0326075350026365</v>
      </c>
      <c r="BJ96" s="140">
        <f>IF(OR(AS96="Corporate",AS96="Government"),BI96*AB96/'SFC Report'!$C$20,"")</f>
        <v>3.8289615356681149E-2</v>
      </c>
      <c r="BK96" s="153" t="str">
        <f>IF(OR(T96="Cash",T96="Cash Adjustments"),"-",_xll.BDP(R96&amp;" FIGI",$BK$1))</f>
        <v>XS1545506401</v>
      </c>
      <c r="BL96" s="11" t="str">
        <f>IF(OR(AS96="Cash", AS96="Cash Adjustments"),"-",IF(ISNA(VLOOKUP(BK96,'BBG - VaR Data (Sample, Indus )'!C:N,5,0)),"-",VLOOKUP(BK96,'BBG - VaR Data (Sample, Indus )'!C:N,5,0)))</f>
        <v>-</v>
      </c>
      <c r="BM96" s="11">
        <f>IF(OR(AS96="Cash", AS96="Cash Adjustments"),"-",IF(ISNA(VLOOKUP(BK96,'BBG - Scenarios (Sample View)'!C:Z,14,0)),"-",VLOOKUP(BK96,'BBG - Scenarios (Sample View)'!C:Z,14,0)))</f>
        <v>-2.64</v>
      </c>
      <c r="BN96" s="14">
        <f t="shared" si="16"/>
        <v>2996863.9705882352</v>
      </c>
      <c r="BO96" s="1">
        <f t="shared" si="17"/>
        <v>5.8787948288763405E-3</v>
      </c>
      <c r="BP96" t="str">
        <f>IF(BC96&lt;&gt;0,MaturityBucket(BG96),"")</f>
        <v>1 - 2 yrs</v>
      </c>
      <c r="BQ96" s="11" t="str">
        <f>IF(OR(T96="Cash",T96="Cash Adjustments"),T96,VLOOKUP(AL96,'SFC Classifcation'!$A:$C,2,0))</f>
        <v>China</v>
      </c>
      <c r="BR96" s="1" t="e">
        <f>IF(S96="Bond",BH96/'SFC Report'!$B$7,"")</f>
        <v>#VALUE!</v>
      </c>
      <c r="BS96" t="str">
        <f>IF(OR(T96="Cash",T96="Cash Adjustments"),"-",_xll.BDP(R96&amp;" FIGI",$BS$1))</f>
        <v>5/17/2017</v>
      </c>
      <c r="BT96" t="str">
        <f>IF(OR(T96="Cash",T96="Cash Adjustments"),"-",_xll.BDP(R96&amp;" FIGI",$BT$1))</f>
        <v>#N/A N/A</v>
      </c>
      <c r="BU96" t="str">
        <f>IF(OR(T96="Cash",T96="Cash Adjustments"),"-",_xll.BDP(R96&amp;" FIGI",$BU$1))</f>
        <v>1/11/2017</v>
      </c>
    </row>
    <row r="97" spans="1:73">
      <c r="A97" s="254" t="s">
        <v>15</v>
      </c>
      <c r="B97" s="254" t="s">
        <v>25</v>
      </c>
      <c r="C97" s="254" t="s">
        <v>46</v>
      </c>
      <c r="D97" s="254" t="s">
        <v>22</v>
      </c>
      <c r="E97" s="254"/>
      <c r="F97" s="254" t="s">
        <v>1315</v>
      </c>
      <c r="G97" s="254" t="s">
        <v>1316</v>
      </c>
      <c r="H97" s="270">
        <v>3300000</v>
      </c>
      <c r="I97" s="270">
        <v>97.028000000000006</v>
      </c>
      <c r="J97" s="270">
        <v>3224150</v>
      </c>
      <c r="K97" s="270">
        <v>25034459.23</v>
      </c>
      <c r="L97" s="270">
        <v>-218907.85</v>
      </c>
      <c r="M97" s="270">
        <v>289147.03999999998</v>
      </c>
      <c r="N97" s="270">
        <v>24815551.379999999</v>
      </c>
      <c r="O97" s="255">
        <v>5.4999999999999997E-3</v>
      </c>
      <c r="P97" s="1"/>
      <c r="Q97" s="1" t="str">
        <f t="shared" si="11"/>
        <v>Investments</v>
      </c>
      <c r="R97" s="1" t="str">
        <f>_xll.BDP(G97&amp;" ISIN",$R$1)</f>
        <v>BBG00PSJ40G0</v>
      </c>
      <c r="S97" s="1" t="str">
        <f>IF(Q97="Cash",Q97,IF(OR(Q97="Receivable Investments",Q97="Payable Investments"),"Cash Adjustments",_xll.BDP(R97&amp;" FIGI",$S$1)))</f>
        <v>BOND</v>
      </c>
      <c r="T97" s="1" t="str">
        <f>IF(Q97="Cash",Q97,IF(OR(Q97="Receivable Investments",Q97="Payable Investments"),"Cash Adjustments",VLOOKUP(R97,LQA!E:S,3,0)))</f>
        <v>Corp</v>
      </c>
      <c r="U97" s="1" t="str">
        <f>IF(Q97="Cash",Q97,IF(OR(Q97="Receivable Investments",Q97="Payable Investments"),"Cash Adjustments",_xll.BDP(R97&amp;" FIGI",$U$1)))</f>
        <v>#N/A Field Not Applicable</v>
      </c>
      <c r="V97" s="10">
        <f>IF(OR(Q97="Cash",Q97="Receivable Investments",Q97="Payable Investments"),0,IF(Q97="Investments",VLOOKUP(R97,LQA!E:Q,12,0),"Not Covered"))</f>
        <v>0.2</v>
      </c>
      <c r="W97" s="76">
        <f>IF(OR(Q97="Cash",Q97="Receivable Investments",Q97="Payable Investments"),0,IF(Q97="Investments",VLOOKUP(R97,LQA!E:Q,9,0),"Not Covered"))</f>
        <v>1.0734E-2</v>
      </c>
      <c r="X97" s="13" t="str">
        <f>IF(OR(H97=0,T97="Comdty"),"High",IF(V97&lt;='Liquidity Bucket'!$A$4,'Liquidity Bucket'!$I$4,IF(V97&lt;='Liquidity Bucket'!$A$5,'Liquidity Bucket'!$I$5,IF(V97&lt;='Liquidity Bucket'!$A$6,'Liquidity Bucket'!$I$6,IF(V97='Liquidity Bucket'!$A$8,'Liquidity Bucket'!$I$8,'Liquidity Bucket'!$I$7)))))</f>
        <v>High</v>
      </c>
      <c r="Y97" s="153">
        <f>IF(OR(Q97="Cash",Q97="Receivable Investments",Q97="Payable Investments"),0,IF(Q97="Investments",VLOOKUP(R97,'LQA Stress'!E:Q,12,0),"Not Covered"))</f>
        <v>0.8</v>
      </c>
      <c r="Z97" s="75">
        <f>IF(OR(Q97="Cash",Q97="Receivable Investments",Q97="Payable Investments"),0,IF(Q97="Investments",VLOOKUP(R97,'LQA Stress'!E:Q,9,0),"Not Covered"))</f>
        <v>2.8872999999999999E-2</v>
      </c>
      <c r="AA97" s="13" t="str">
        <f>IF(T97="Comdty","High",IF(Y97&lt;='Liquidity Bucket'!$A$4,'Liquidity Bucket'!$I$4,IF(Y97&lt;='Liquidity Bucket'!$A$5,'Liquidity Bucket'!$I$5,IF(Y97&lt;='Liquidity Bucket'!$A$6,'Liquidity Bucket'!$I$6,IF(Y97='Liquidity Bucket'!$A$8,'Liquidity Bucket'!$I$8,'Liquidity Bucket'!$I$7)))))</f>
        <v>High</v>
      </c>
      <c r="AB97" s="14">
        <f>(N97+M97)/'FX Rates'!$C$5</f>
        <v>3238480.188338493</v>
      </c>
      <c r="AC97" s="15" t="str">
        <f>IF(X97="Not Covered", (H97/_xll.BDP(R97&amp;" FIGI",$AC$1)),"")</f>
        <v/>
      </c>
      <c r="AD97" s="16" t="str">
        <f>IF(X97="Not Covered", _xll.BDP(R97&amp;" FIGI",$AD$1),"")</f>
        <v/>
      </c>
      <c r="AE97" s="16" t="str">
        <f>IF(OR(T97="Corp",T97="Govt"),IF(_xll.BDP(R97&amp;" FIGI",$AE$1)="#N/A N/A","",_xll.BDP(R97&amp;" FIGI",$AE$1)),"")</f>
        <v/>
      </c>
      <c r="AF97" s="1" t="str">
        <f>IF(OR(T97="Corp",T97="Govt"),IF(_xll.BDP(R97&amp;" FIGI",$AF$1)="#N/A N/A","",_xll.BDP(R97&amp;" FIGI",$AF$1)),"")</f>
        <v/>
      </c>
      <c r="AG97" s="16" t="str">
        <f>IF(OR(T97="Corp",T97="Govt"),IF(_xll.BDP(R97&amp;" FIGI",$AG$1)="#N/A N/A","",_xll.BDP(R97&amp;" FIGI",$AG$1)),"")</f>
        <v>BB-</v>
      </c>
      <c r="AH97" s="125">
        <f>IF(OR(S97="Cash",S97="M-Mkt"),21,IF(AE97="",0,VLOOKUP(AE97,'Rating Scale'!A:B,2,0)))</f>
        <v>0</v>
      </c>
      <c r="AI97" s="125">
        <f>IF(OR(S97="Cash",S97="M-Mkt"),21,IF(AF97="",0,VLOOKUP(AF97,'Rating Scale'!D:E,2,0)))</f>
        <v>0</v>
      </c>
      <c r="AJ97" s="125">
        <f>IF(OR(S97="Cash",S97="M-Mkt"),21,IF(AG97="",0,VLOOKUP(AG97,'Rating Scale'!G:H,2,0)))</f>
        <v>9</v>
      </c>
      <c r="AK97">
        <f t="shared" si="10"/>
        <v>9</v>
      </c>
      <c r="AL97" s="1" t="str">
        <f>IF(OR(U97="Cash",U97="Cash Adjustments"),_xll.BDP(G97&amp;" Curncy","Country"),IF(T97="Equity",_xll.BDP(R97&amp;" FIGI","CNTRY_ISSUE_ISO"),_xll.BDP(R97&amp;" FIGI",$AL$1)))</f>
        <v>CN</v>
      </c>
      <c r="AM97" s="126" t="str">
        <f>IF(OR(T97="Cash",T97="Cash Adjustments",T97="M-Mkt"), T97, IF(T97="Comdty",AS97, _xll.BDP(R97&amp;" FIGI", $AM$1)))</f>
        <v>Financial</v>
      </c>
      <c r="AN97" s="126" t="str">
        <f>IF(OR(T97="Cash",T97="Cash Adjustments",T97="M-Mkt"), T97,  IF(T97="Comdty",AS97,_xll.BDP(R97&amp;" FIGI", $AN$1)))</f>
        <v>Real Estate</v>
      </c>
      <c r="AO97" s="126" t="str">
        <f>IF(OR(T97="Cash",T97="Cash Adjustments",T97="M-Mkt"), T97,  IF(T97="Comdty",AS97,_xll.BDP(R97&amp;" FIGI", $AO$1)))</f>
        <v>Real Estate Oper/Develop</v>
      </c>
      <c r="AP97" s="13" t="str">
        <f>IF(OR(T97="Cash",T97="Cash Adjustments"), T97, IF(_xll.BDP(R97&amp;" FIGI", $AP$1)="#N/A Field Not Applicable","N",_xll.BDP(R97&amp;" FIGI", $AP$1)))</f>
        <v>N</v>
      </c>
      <c r="AQ97" s="1" t="str">
        <f>IF(OR(T97="Cash",T97="Cash Adjustments"), T97, IF(_xll.BDP(R97&amp;" FIGI", $AQ$1)="#N/A Field Not Applicable"," ",_xll.BDP(R97&amp;" FIGI", $AQ$1)))</f>
        <v xml:space="preserve"> </v>
      </c>
      <c r="AR97" s="1" t="str">
        <f>IF(OR(T97="Cash",T97="Cash Adjustments"), T97, IF(_xll.BDP(R97&amp;" FIGI", $AR$1)="#N/A Field Not Applicable"," ",_xll.BDP(R97&amp;" FIGI", $AR$1)))</f>
        <v>ACTV</v>
      </c>
      <c r="AS97" s="1" t="str">
        <f>VLOOKUP(T97,'SFC Classifcation'!$F$2:$H$7,3,0)</f>
        <v>Corporate</v>
      </c>
      <c r="AT97" s="22" t="str">
        <f t="shared" si="12"/>
        <v>Financial</v>
      </c>
      <c r="AU97" s="1" t="str">
        <f t="shared" si="13"/>
        <v>Non-Investment Grade</v>
      </c>
      <c r="AV97" s="1" t="str">
        <f>IF(OR(T97="Cash",T97="Cash Adjustments"),T97,VLOOKUP(AL97,'SFC Classifcation'!$A:$C,3,0))</f>
        <v>China</v>
      </c>
      <c r="AW97" s="22" t="str">
        <f t="shared" si="14"/>
        <v>High</v>
      </c>
      <c r="AX97" s="22" t="str">
        <f t="shared" si="15"/>
        <v>High</v>
      </c>
      <c r="AY97" s="45" t="str">
        <f>IF(OR(T97="Cash",T97="Cash Adjustments"), T97, _xll.BDP(R97&amp;" FIGI", $AY$1))</f>
        <v>Real Estate</v>
      </c>
      <c r="AZ97" s="45" t="str">
        <f>IF(OR(T97="Cash",T97="Cash Adjustments"), T97, _xll.BDP(R97&amp;" FIGI", $AZ$1))</f>
        <v>FINANCIAL</v>
      </c>
      <c r="BA97" s="45" t="str">
        <f>IF(OR(T97="Cash",T97="Cash Adjustments"), T97, _xll.BDP(R97&amp;" FIGI", $BA$1))</f>
        <v>#N/A Field Not Applicable</v>
      </c>
      <c r="BB97" s="16">
        <f>IF(OR(AS97="Government",AS97="Corporate"),(AK97*AB97/'SFC Report'!$C$20),"")</f>
        <v>5.295187531493771E-2</v>
      </c>
      <c r="BC97" s="174" t="str">
        <f>IF(OR(T97="Cash",T97="Cash Adjustments", T97="FX Forward", T97="Repo", T97="Equity", T97="M-Mkt"), "", _xll.BDP(R97&amp;" FIGI", $BC$1))</f>
        <v>3/5/2024</v>
      </c>
      <c r="BD97" s="125">
        <f ca="1">IF(OR(T97="Cash",T97="Cash Adjustments",T97="FX Forward",T97="Repo", T97="Equity", T97="M-Mkt"),"",(BC97-'SFC Report'!$B$13)/365)</f>
        <v>3.8493150684931505</v>
      </c>
      <c r="BE97" s="82" t="str">
        <f t="shared" ca="1" si="18"/>
        <v>3 - 5 yrs</v>
      </c>
      <c r="BF97" s="5">
        <f ca="1">IF(BC97="","",BD97*AB97/'SFC Report'!$C$20)</f>
        <v>2.2647605728306694E-2</v>
      </c>
      <c r="BG97" s="14" cm="1">
        <f t="array" ref="BG97">IF(OR(AS97="Corporate",AS97="Government"),_xll.BDP(G97&amp;" ISIN", $BG$1),"")</f>
        <v>3.1872856176775306</v>
      </c>
      <c r="BH97" s="140">
        <f>IF(OR(AS97="Corporate",AS97="Government"),BG97*BN97/'SFC Report'!$C$20,"")</f>
        <v>1.8752527846706092E-2</v>
      </c>
      <c r="BI97" s="140">
        <f>IF(OR(AS97="Corporate",AS97="Government"),_xll.BDP(G97&amp;" ISIN", $BI$1),"")</f>
        <v>7.4627973292217549</v>
      </c>
      <c r="BJ97" s="140">
        <f>IF(OR(AS97="Corporate",AS97="Government"),BI97*AB97/'SFC Report'!$C$20,"")</f>
        <v>4.3907679297511167E-2</v>
      </c>
      <c r="BK97" s="153" t="str">
        <f>IF(OR(T97="Cash",T97="Cash Adjustments"),"-",_xll.BDP(R97&amp;" FIGI",$BK$1))</f>
        <v>XS2034561584</v>
      </c>
      <c r="BL97" s="11" t="str">
        <f>IF(OR(AS97="Cash", AS97="Cash Adjustments"),"-",IF(ISNA(VLOOKUP(BK97,'BBG - VaR Data (Sample, Indus )'!C:N,5,0)),"-",VLOOKUP(BK97,'BBG - VaR Data (Sample, Indus )'!C:N,5,0)))</f>
        <v>-</v>
      </c>
      <c r="BM97" s="11">
        <f>IF(OR(AS97="Cash", AS97="Cash Adjustments"),"-",IF(ISNA(VLOOKUP(BK97,'BBG - Scenarios (Sample View)'!C:Z,14,0)),"-",VLOOKUP(BK97,'BBG - Scenarios (Sample View)'!C:Z,14,0)))</f>
        <v>-5.96</v>
      </c>
      <c r="BN97" s="14">
        <f t="shared" si="16"/>
        <v>3238480.188338493</v>
      </c>
      <c r="BO97" s="1">
        <f t="shared" si="17"/>
        <v>6.352761009998693E-3</v>
      </c>
      <c r="BP97" t="str">
        <f>IF(BC97&lt;&gt;0,MaturityBucket(BG97),"")</f>
        <v>3 - 5 yrs</v>
      </c>
      <c r="BQ97" s="11" t="str">
        <f>IF(OR(T97="Cash",T97="Cash Adjustments"),T97,VLOOKUP(AL97,'SFC Classifcation'!$A:$C,2,0))</f>
        <v>China</v>
      </c>
      <c r="BR97" s="1" t="e">
        <f>IF(S97="Bond",BH97/'SFC Report'!$B$7,"")</f>
        <v>#VALUE!</v>
      </c>
      <c r="BS97" t="str">
        <f>IF(OR(T97="Cash",T97="Cash Adjustments"),"-",_xll.BDP(R97&amp;" FIGI",$BS$1))</f>
        <v>#N/A N/A</v>
      </c>
      <c r="BT97" t="str">
        <f>IF(OR(T97="Cash",T97="Cash Adjustments"),"-",_xll.BDP(R97&amp;" FIGI",$BT$1))</f>
        <v>#N/A N/A</v>
      </c>
      <c r="BU97" t="str">
        <f>IF(OR(T97="Cash",T97="Cash Adjustments"),"-",_xll.BDP(R97&amp;" FIGI",$BU$1))</f>
        <v>7/23/2019</v>
      </c>
    </row>
    <row r="98" spans="1:73">
      <c r="A98" s="254" t="s">
        <v>15</v>
      </c>
      <c r="B98" s="254" t="s">
        <v>25</v>
      </c>
      <c r="C98" s="254" t="s">
        <v>46</v>
      </c>
      <c r="D98" s="254" t="s">
        <v>22</v>
      </c>
      <c r="E98" s="254"/>
      <c r="F98" s="254" t="s">
        <v>1217</v>
      </c>
      <c r="G98" s="254" t="s">
        <v>1218</v>
      </c>
      <c r="H98" s="270">
        <v>3500000</v>
      </c>
      <c r="I98" s="270">
        <v>98.271000000000001</v>
      </c>
      <c r="J98" s="270">
        <v>3500000</v>
      </c>
      <c r="K98" s="270">
        <v>27277600</v>
      </c>
      <c r="L98" s="270">
        <v>-620903.35</v>
      </c>
      <c r="M98" s="270">
        <v>372978.38</v>
      </c>
      <c r="N98" s="270">
        <v>26656696.649999999</v>
      </c>
      <c r="O98" s="255">
        <v>5.8999999999999999E-3</v>
      </c>
      <c r="P98" s="1"/>
      <c r="Q98" s="1" t="str">
        <f t="shared" si="11"/>
        <v>Investments</v>
      </c>
      <c r="R98" s="1" t="str">
        <f>_xll.BDP(G98&amp;" ISIN",$R$1)</f>
        <v>BBG00S0GV953</v>
      </c>
      <c r="S98" s="191" t="s">
        <v>519</v>
      </c>
      <c r="T98" s="1" t="str">
        <f>IF(Q98="Cash",Q98,IF(OR(Q98="Receivable Investments",Q98="Payable Investments"),"Cash Adjustments",VLOOKUP(R98,LQA!E:S,3,0)))</f>
        <v>Corp</v>
      </c>
      <c r="U98" s="1" t="str">
        <f>IF(Q98="Cash",Q98,IF(OR(Q98="Receivable Investments",Q98="Payable Investments"),"Cash Adjustments",_xll.BDP(R98&amp;" FIGI",$U$1)))</f>
        <v>#N/A Field Not Applicable</v>
      </c>
      <c r="V98" s="10">
        <f>IF(OR(Q98="Cash",Q98="Receivable Investments",Q98="Payable Investments"),0,IF(Q98="Investments",VLOOKUP(R98,LQA!E:Q,12,0),"Not Covered"))</f>
        <v>0.5</v>
      </c>
      <c r="W98" s="76">
        <f>IF(OR(Q98="Cash",Q98="Receivable Investments",Q98="Payable Investments"),0,IF(Q98="Investments",VLOOKUP(R98,LQA!E:Q,9,0),"Not Covered"))</f>
        <v>1.3662000000000001E-2</v>
      </c>
      <c r="X98" s="13" t="str">
        <f>IF(OR(H98=0,T98="Comdty"),"High",IF(V98&lt;='Liquidity Bucket'!$A$4,'Liquidity Bucket'!$I$4,IF(V98&lt;='Liquidity Bucket'!$A$5,'Liquidity Bucket'!$I$5,IF(V98&lt;='Liquidity Bucket'!$A$6,'Liquidity Bucket'!$I$6,IF(V98='Liquidity Bucket'!$A$8,'Liquidity Bucket'!$I$8,'Liquidity Bucket'!$I$7)))))</f>
        <v>High</v>
      </c>
      <c r="Y98" s="153">
        <f>IF(OR(Q98="Cash",Q98="Receivable Investments",Q98="Payable Investments"),0,IF(Q98="Investments",VLOOKUP(R98,'LQA Stress'!E:Q,12,0),"Not Covered"))</f>
        <v>2</v>
      </c>
      <c r="Z98" s="75">
        <f>IF(OR(Q98="Cash",Q98="Receivable Investments",Q98="Payable Investments"),0,IF(Q98="Investments",VLOOKUP(R98,'LQA Stress'!E:Q,9,0),"Not Covered"))</f>
        <v>3.3163999999999999E-2</v>
      </c>
      <c r="AA98" s="13" t="str">
        <f>IF(T98="Comdty","High",IF(Y98&lt;='Liquidity Bucket'!$A$4,'Liquidity Bucket'!$I$4,IF(Y98&lt;='Liquidity Bucket'!$A$5,'Liquidity Bucket'!$I$5,IF(Y98&lt;='Liquidity Bucket'!$A$6,'Liquidity Bucket'!$I$6,IF(Y98='Liquidity Bucket'!$A$8,'Liquidity Bucket'!$I$8,'Liquidity Bucket'!$I$7)))))</f>
        <v>High</v>
      </c>
      <c r="AB98" s="14">
        <f>(N98+M98)/'FX Rates'!$C$5</f>
        <v>3486800.1844685241</v>
      </c>
      <c r="AC98" s="15" t="str">
        <f>IF(X98="Not Covered", (H98/_xll.BDP(R98&amp;" FIGI",$AC$1)),"")</f>
        <v/>
      </c>
      <c r="AD98" s="16" t="str">
        <f>IF(X98="Not Covered", _xll.BDP(R98&amp;" FIGI",$AD$1),"")</f>
        <v/>
      </c>
      <c r="AE98" s="16" t="str">
        <f>IF(OR(T98="Corp",T98="Govt"),IF(_xll.BDP(R98&amp;" FIGI",$AE$1)="#N/A N/A","",_xll.BDP(R98&amp;" FIGI",$AE$1)),"")</f>
        <v/>
      </c>
      <c r="AF98" s="1" t="str">
        <f>IF(OR(T98="Corp",T98="Govt"),IF(_xll.BDP(R98&amp;" FIGI",$AF$1)="#N/A N/A","",_xll.BDP(R98&amp;" FIGI",$AF$1)),"")</f>
        <v/>
      </c>
      <c r="AG98" s="16" t="str">
        <f>IF(OR(T98="Corp",T98="Govt"),IF(_xll.BDP(R98&amp;" FIGI",$AG$1)="#N/A N/A","",_xll.BDP(R98&amp;" FIGI",$AG$1)),"")</f>
        <v/>
      </c>
      <c r="AH98" s="125">
        <f>IF(OR(S98="Cash",S98="M-Mkt"),21,IF(AE98="",0,VLOOKUP(AE98,'Rating Scale'!A:B,2,0)))</f>
        <v>0</v>
      </c>
      <c r="AI98" s="125">
        <f>IF(OR(S98="Cash",S98="M-Mkt"),21,IF(AF98="",0,VLOOKUP(AF98,'Rating Scale'!D:E,2,0)))</f>
        <v>0</v>
      </c>
      <c r="AJ98" s="125">
        <f>IF(OR(S98="Cash",S98="M-Mkt"),21,IF(AG98="",0,VLOOKUP(AG98,'Rating Scale'!G:H,2,0)))</f>
        <v>0</v>
      </c>
      <c r="AK98">
        <f t="shared" si="10"/>
        <v>0</v>
      </c>
      <c r="AL98" s="1" t="str">
        <f>IF(OR(U98="Cash",U98="Cash Adjustments"),_xll.BDP(G98&amp;" Curncy","Country"),IF(T98="Equity",_xll.BDP(R98&amp;" FIGI","CNTRY_ISSUE_ISO"),_xll.BDP(R98&amp;" FIGI",$AL$1)))</f>
        <v>CN</v>
      </c>
      <c r="AM98" s="126" t="str">
        <f>IF(OR(T98="Cash",T98="Cash Adjustments",T98="M-Mkt"), T98, IF(T98="Comdty",AS98, _xll.BDP(R98&amp;" FIGI", $AM$1)))</f>
        <v>Financial</v>
      </c>
      <c r="AN98" s="126" t="str">
        <f>IF(OR(T98="Cash",T98="Cash Adjustments",T98="M-Mkt"), T98,  IF(T98="Comdty",AS98,_xll.BDP(R98&amp;" FIGI", $AN$1)))</f>
        <v>Real Estate</v>
      </c>
      <c r="AO98" s="126" t="str">
        <f>IF(OR(T98="Cash",T98="Cash Adjustments",T98="M-Mkt"), T98,  IF(T98="Comdty",AS98,_xll.BDP(R98&amp;" FIGI", $AO$1)))</f>
        <v>Real Estate Oper/Develop</v>
      </c>
      <c r="AP98" s="13" t="str">
        <f>IF(OR(T98="Cash",T98="Cash Adjustments"), T98, IF(_xll.BDP(R98&amp;" FIGI", $AP$1)="#N/A Field Not Applicable","N",_xll.BDP(R98&amp;" FIGI", $AP$1)))</f>
        <v>N</v>
      </c>
      <c r="AQ98" s="1" t="str">
        <f>IF(OR(T98="Cash",T98="Cash Adjustments"), T98, IF(_xll.BDP(R98&amp;" FIGI", $AQ$1)="#N/A Field Not Applicable"," ",_xll.BDP(R98&amp;" FIGI", $AQ$1)))</f>
        <v xml:space="preserve"> </v>
      </c>
      <c r="AR98" s="1" t="str">
        <f>IF(OR(T98="Cash",T98="Cash Adjustments"), T98, IF(_xll.BDP(R98&amp;" FIGI", $AR$1)="#N/A Field Not Applicable"," ",_xll.BDP(R98&amp;" FIGI", $AR$1)))</f>
        <v>ACTV</v>
      </c>
      <c r="AS98" s="1" t="str">
        <f>VLOOKUP(T98,'SFC Classifcation'!$F$2:$H$7,3,0)</f>
        <v>Corporate</v>
      </c>
      <c r="AT98" s="22" t="str">
        <f t="shared" si="12"/>
        <v>Financial</v>
      </c>
      <c r="AU98" s="1" t="str">
        <f t="shared" si="13"/>
        <v>Non-Investment Grade</v>
      </c>
      <c r="AV98" s="1" t="str">
        <f>IF(OR(T98="Cash",T98="Cash Adjustments"),T98,VLOOKUP(AL98,'SFC Classifcation'!$A:$C,3,0))</f>
        <v>China</v>
      </c>
      <c r="AW98" s="22" t="str">
        <f t="shared" si="14"/>
        <v>High</v>
      </c>
      <c r="AX98" s="22" t="str">
        <f t="shared" si="15"/>
        <v>High</v>
      </c>
      <c r="AY98" s="45" t="str">
        <f>IF(OR(T98="Cash",T98="Cash Adjustments"), T98, _xll.BDP(R98&amp;" FIGI", $AY$1))</f>
        <v>#N/A Field Not Applicable</v>
      </c>
      <c r="AZ98" s="45" t="str">
        <f>IF(OR(T98="Cash",T98="Cash Adjustments"), T98, _xll.BDP(R98&amp;" FIGI", $AZ$1))</f>
        <v>SPECIAL PURPOSE</v>
      </c>
      <c r="BA98" s="45" t="str">
        <f>IF(OR(T98="Cash",T98="Cash Adjustments"), T98, _xll.BDP(R98&amp;" FIGI", $BA$1))</f>
        <v>#N/A Field Not Applicable</v>
      </c>
      <c r="BB98" s="16">
        <f>IF(OR(AS98="Government",AS98="Corporate"),(AK98*AB98/'SFC Report'!$C$20),"")</f>
        <v>0</v>
      </c>
      <c r="BC98" s="174" t="str">
        <f>IF(OR(T98="Cash",T98="Cash Adjustments", T98="FX Forward", T98="Repo", T98="Equity", T98="M-Mkt"), "", _xll.BDP(R98&amp;" FIGI", $BC$1))</f>
        <v>3/4/2021</v>
      </c>
      <c r="BD98" s="125">
        <f ca="1">IF(OR(T98="Cash",T98="Cash Adjustments",T98="FX Forward",T98="Repo", T98="Equity", T98="M-Mkt"),"",(BC98-'SFC Report'!$B$13)/365)</f>
        <v>0.84383561643835614</v>
      </c>
      <c r="BE98" s="82" t="str">
        <f t="shared" ca="1" si="18"/>
        <v>0 - 1 yr</v>
      </c>
      <c r="BF98" s="5">
        <f ca="1">IF(BC98="","",BD98*AB98/'SFC Report'!$C$20)</f>
        <v>5.345428240869577E-3</v>
      </c>
      <c r="BG98" s="14" cm="1">
        <f t="array" ref="BG98">IF(OR(AS98="Corporate",AS98="Government"),_xll.BDP(G98&amp;" ISIN", $BG$1),"")</f>
        <v>0.71256576102854585</v>
      </c>
      <c r="BH98" s="140">
        <f>IF(OR(AS98="Corporate",AS98="Government"),BG98*BN98/'SFC Report'!$C$20,"")</f>
        <v>4.5138757694958755E-3</v>
      </c>
      <c r="BI98" s="140">
        <f>IF(OR(AS98="Corporate",AS98="Government"),_xll.BDP(G98&amp;" ISIN", $BI$1),"")</f>
        <v>9.9293915474155785</v>
      </c>
      <c r="BJ98" s="140">
        <f>IF(OR(AS98="Corporate",AS98="Government"),BI98*AB98/'SFC Report'!$C$20,"")</f>
        <v>6.2899513789465969E-2</v>
      </c>
      <c r="BK98" s="153" t="str">
        <f>IF(OR(T98="Cash",T98="Cash Adjustments"),"-",_xll.BDP(R98&amp;" FIGI",$BK$1))</f>
        <v>XS2127887169</v>
      </c>
      <c r="BL98" s="11" t="str">
        <f>IF(OR(AS98="Cash", AS98="Cash Adjustments"),"-",IF(ISNA(VLOOKUP(BK98,'BBG - VaR Data (Sample, Indus )'!C:N,5,0)),"-",VLOOKUP(BK98,'BBG - VaR Data (Sample, Indus )'!C:N,5,0)))</f>
        <v>-</v>
      </c>
      <c r="BM98" s="11">
        <f>IF(OR(AS98="Cash", AS98="Cash Adjustments"),"-",IF(ISNA(VLOOKUP(BK98,'BBG - Scenarios (Sample View)'!C:Z,14,0)),"-",VLOOKUP(BK98,'BBG - Scenarios (Sample View)'!C:Z,14,0)))</f>
        <v>-2.04</v>
      </c>
      <c r="BN98" s="14">
        <f t="shared" si="16"/>
        <v>3486800.1844685241</v>
      </c>
      <c r="BO98" s="1">
        <f t="shared" si="17"/>
        <v>6.8398776504210741E-3</v>
      </c>
      <c r="BP98" t="str">
        <f>IF(BC98&lt;&gt;0,MaturityBucket(BG98),"")</f>
        <v>0 - 1 yr</v>
      </c>
      <c r="BQ98" s="11" t="str">
        <f>IF(OR(T98="Cash",T98="Cash Adjustments"),T98,VLOOKUP(AL98,'SFC Classifcation'!$A:$C,2,0))</f>
        <v>China</v>
      </c>
      <c r="BR98" s="1" t="e">
        <f>IF(S98="Bond",BH98/'SFC Report'!$B$7,"")</f>
        <v>#VALUE!</v>
      </c>
      <c r="BS98" t="str">
        <f>IF(OR(T98="Cash",T98="Cash Adjustments"),"-",_xll.BDP(R98&amp;" FIGI",$BS$1))</f>
        <v>#N/A N/A</v>
      </c>
      <c r="BT98" t="str">
        <f>IF(OR(T98="Cash",T98="Cash Adjustments"),"-",_xll.BDP(R98&amp;" FIGI",$BT$1))</f>
        <v>#N/A N/A</v>
      </c>
      <c r="BU98" t="str">
        <f>IF(OR(T98="Cash",T98="Cash Adjustments"),"-",_xll.BDP(R98&amp;" FIGI",$BU$1))</f>
        <v>#N/A N/A</v>
      </c>
    </row>
    <row r="99" spans="1:73">
      <c r="A99" s="254" t="s">
        <v>15</v>
      </c>
      <c r="B99" s="254" t="s">
        <v>25</v>
      </c>
      <c r="C99" s="254" t="s">
        <v>46</v>
      </c>
      <c r="D99" s="254" t="s">
        <v>22</v>
      </c>
      <c r="E99" s="254"/>
      <c r="F99" s="254" t="s">
        <v>1317</v>
      </c>
      <c r="G99" s="254" t="s">
        <v>1318</v>
      </c>
      <c r="H99" s="270">
        <v>2000000</v>
      </c>
      <c r="I99" s="270">
        <v>96.918999999999997</v>
      </c>
      <c r="J99" s="270">
        <v>1996877.5</v>
      </c>
      <c r="K99" s="270">
        <v>15520730.369999999</v>
      </c>
      <c r="L99" s="270">
        <v>-497897.69</v>
      </c>
      <c r="M99" s="270">
        <v>354894.57</v>
      </c>
      <c r="N99" s="270">
        <v>15022832.68</v>
      </c>
      <c r="O99" s="255">
        <v>3.3E-3</v>
      </c>
      <c r="P99" s="1"/>
      <c r="Q99" s="1" t="str">
        <f t="shared" si="11"/>
        <v>Investments</v>
      </c>
      <c r="R99" s="1" t="str">
        <f>_xll.BDP(G99&amp;" ISIN",$R$1)</f>
        <v>BBG00GQ752P3</v>
      </c>
      <c r="S99" s="1" t="str">
        <f>IF(Q99="Cash",Q99,IF(OR(Q99="Receivable Investments",Q99="Payable Investments"),"Cash Adjustments",_xll.BDP(R99&amp;" FIGI",$S$1)))</f>
        <v>BOND</v>
      </c>
      <c r="T99" s="1" t="str">
        <f>IF(Q99="Cash",Q99,IF(OR(Q99="Receivable Investments",Q99="Payable Investments"),"Cash Adjustments",VLOOKUP(R99,LQA!E:S,3,0)))</f>
        <v>Corp</v>
      </c>
      <c r="U99" s="1" t="str">
        <f>IF(Q99="Cash",Q99,IF(OR(Q99="Receivable Investments",Q99="Payable Investments"),"Cash Adjustments",_xll.BDP(R99&amp;" FIGI",$U$1)))</f>
        <v>#N/A Field Not Applicable</v>
      </c>
      <c r="V99" s="10">
        <f>IF(OR(Q99="Cash",Q99="Receivable Investments",Q99="Payable Investments"),0,IF(Q99="Investments",VLOOKUP(R99,LQA!E:Q,12,0),"Not Covered"))</f>
        <v>0.2</v>
      </c>
      <c r="W99" s="76">
        <f>IF(OR(Q99="Cash",Q99="Receivable Investments",Q99="Payable Investments"),0,IF(Q99="Investments",VLOOKUP(R99,LQA!E:Q,9,0),"Not Covered"))</f>
        <v>9.1800000000000007E-3</v>
      </c>
      <c r="X99" s="13" t="str">
        <f>IF(OR(H99=0,T99="Comdty"),"High",IF(V99&lt;='Liquidity Bucket'!$A$4,'Liquidity Bucket'!$I$4,IF(V99&lt;='Liquidity Bucket'!$A$5,'Liquidity Bucket'!$I$5,IF(V99&lt;='Liquidity Bucket'!$A$6,'Liquidity Bucket'!$I$6,IF(V99='Liquidity Bucket'!$A$8,'Liquidity Bucket'!$I$8,'Liquidity Bucket'!$I$7)))))</f>
        <v>High</v>
      </c>
      <c r="Y99" s="153">
        <f>IF(OR(Q99="Cash",Q99="Receivable Investments",Q99="Payable Investments"),0,IF(Q99="Investments",VLOOKUP(R99,'LQA Stress'!E:Q,12,0),"Not Covered"))</f>
        <v>0.7</v>
      </c>
      <c r="Z99" s="75">
        <f>IF(OR(Q99="Cash",Q99="Receivable Investments",Q99="Payable Investments"),0,IF(Q99="Investments",VLOOKUP(R99,'LQA Stress'!E:Q,9,0),"Not Covered"))</f>
        <v>2.4903000000000002E-2</v>
      </c>
      <c r="AA99" s="13" t="str">
        <f>IF(T99="Comdty","High",IF(Y99&lt;='Liquidity Bucket'!$A$4,'Liquidity Bucket'!$I$4,IF(Y99&lt;='Liquidity Bucket'!$A$5,'Liquidity Bucket'!$I$5,IF(Y99&lt;='Liquidity Bucket'!$A$6,'Liquidity Bucket'!$I$6,IF(Y99='Liquidity Bucket'!$A$8,'Liquidity Bucket'!$I$8,'Liquidity Bucket'!$I$7)))))</f>
        <v>High</v>
      </c>
      <c r="AB99" s="14">
        <f>(N99+M99)/'FX Rates'!$C$5</f>
        <v>1983710.9455624355</v>
      </c>
      <c r="AC99" s="15" t="str">
        <f>IF(X99="Not Covered", (H99/_xll.BDP(R99&amp;" FIGI",$AC$1)),"")</f>
        <v/>
      </c>
      <c r="AD99" s="16" t="str">
        <f>IF(X99="Not Covered", _xll.BDP(R99&amp;" FIGI",$AD$1),"")</f>
        <v/>
      </c>
      <c r="AE99" s="16" t="str">
        <f>IF(OR(T99="Corp",T99="Govt"),IF(_xll.BDP(R99&amp;" FIGI",$AE$1)="#N/A N/A","",_xll.BDP(R99&amp;" FIGI",$AE$1)),"")</f>
        <v/>
      </c>
      <c r="AF99" s="1" t="str">
        <f>IF(OR(T99="Corp",T99="Govt"),IF(_xll.BDP(R99&amp;" FIGI",$AF$1)="#N/A N/A","",_xll.BDP(R99&amp;" FIGI",$AF$1)),"")</f>
        <v>B1</v>
      </c>
      <c r="AG99" s="16" t="str">
        <f>IF(OR(T99="Corp",T99="Govt"),IF(_xll.BDP(R99&amp;" FIGI",$AG$1)="#N/A N/A","",_xll.BDP(R99&amp;" FIGI",$AG$1)),"")</f>
        <v>BB</v>
      </c>
      <c r="AH99" s="125">
        <f>IF(OR(S99="Cash",S99="M-Mkt"),21,IF(AE99="",0,VLOOKUP(AE99,'Rating Scale'!A:B,2,0)))</f>
        <v>0</v>
      </c>
      <c r="AI99" s="125">
        <f>IF(OR(S99="Cash",S99="M-Mkt"),21,IF(AF99="",0,VLOOKUP(AF99,'Rating Scale'!D:E,2,0)))</f>
        <v>8</v>
      </c>
      <c r="AJ99" s="125">
        <f>IF(OR(S99="Cash",S99="M-Mkt"),21,IF(AG99="",0,VLOOKUP(AG99,'Rating Scale'!G:H,2,0)))</f>
        <v>10</v>
      </c>
      <c r="AK99">
        <f t="shared" si="10"/>
        <v>8</v>
      </c>
      <c r="AL99" s="1" t="str">
        <f>IF(OR(U99="Cash",U99="Cash Adjustments"),_xll.BDP(G99&amp;" Curncy","Country"),IF(T99="Equity",_xll.BDP(R99&amp;" FIGI","CNTRY_ISSUE_ISO"),_xll.BDP(R99&amp;" FIGI",$AL$1)))</f>
        <v>CN</v>
      </c>
      <c r="AM99" s="126" t="str">
        <f>IF(OR(T99="Cash",T99="Cash Adjustments",T99="M-Mkt"), T99, IF(T99="Comdty",AS99, _xll.BDP(R99&amp;" FIGI", $AM$1)))</f>
        <v>Financial</v>
      </c>
      <c r="AN99" s="126" t="str">
        <f>IF(OR(T99="Cash",T99="Cash Adjustments",T99="M-Mkt"), T99,  IF(T99="Comdty",AS99,_xll.BDP(R99&amp;" FIGI", $AN$1)))</f>
        <v>Real Estate</v>
      </c>
      <c r="AO99" s="126" t="str">
        <f>IF(OR(T99="Cash",T99="Cash Adjustments",T99="M-Mkt"), T99,  IF(T99="Comdty",AS99,_xll.BDP(R99&amp;" FIGI", $AO$1)))</f>
        <v>Real Estate Oper/Develop</v>
      </c>
      <c r="AP99" s="13" t="str">
        <f>IF(OR(T99="Cash",T99="Cash Adjustments"), T99, IF(_xll.BDP(R99&amp;" FIGI", $AP$1)="#N/A Field Not Applicable","N",_xll.BDP(R99&amp;" FIGI", $AP$1)))</f>
        <v>N</v>
      </c>
      <c r="AQ99" s="1" t="str">
        <f>IF(OR(T99="Cash",T99="Cash Adjustments"), T99, IF(_xll.BDP(R99&amp;" FIGI", $AQ$1)="#N/A Field Not Applicable"," ",_xll.BDP(R99&amp;" FIGI", $AQ$1)))</f>
        <v xml:space="preserve"> </v>
      </c>
      <c r="AR99" s="1" t="str">
        <f>IF(OR(T99="Cash",T99="Cash Adjustments"), T99, IF(_xll.BDP(R99&amp;" FIGI", $AR$1)="#N/A Field Not Applicable"," ",_xll.BDP(R99&amp;" FIGI", $AR$1)))</f>
        <v>ACTV</v>
      </c>
      <c r="AS99" s="1" t="str">
        <f>VLOOKUP(T99,'SFC Classifcation'!$F$2:$H$7,3,0)</f>
        <v>Corporate</v>
      </c>
      <c r="AT99" s="22" t="str">
        <f t="shared" si="12"/>
        <v>Financial</v>
      </c>
      <c r="AU99" s="1" t="str">
        <f t="shared" si="13"/>
        <v>Non-Investment Grade</v>
      </c>
      <c r="AV99" s="1" t="str">
        <f>IF(OR(T99="Cash",T99="Cash Adjustments"),T99,VLOOKUP(AL99,'SFC Classifcation'!$A:$C,3,0))</f>
        <v>China</v>
      </c>
      <c r="AW99" s="22" t="str">
        <f t="shared" si="14"/>
        <v>High</v>
      </c>
      <c r="AX99" s="22" t="str">
        <f t="shared" si="15"/>
        <v>High</v>
      </c>
      <c r="AY99" s="45" t="str">
        <f>IF(OR(T99="Cash",T99="Cash Adjustments"), T99, _xll.BDP(R99&amp;" FIGI", $AY$1))</f>
        <v>Real Estate</v>
      </c>
      <c r="AZ99" s="45" t="str">
        <f>IF(OR(T99="Cash",T99="Cash Adjustments"), T99, _xll.BDP(R99&amp;" FIGI", $AZ$1))</f>
        <v>FINANCIAL</v>
      </c>
      <c r="BA99" s="45" t="str">
        <f>IF(OR(T99="Cash",T99="Cash Adjustments"), T99, _xll.BDP(R99&amp;" FIGI", $BA$1))</f>
        <v>#N/A Field Not Applicable</v>
      </c>
      <c r="BB99" s="16">
        <f>IF(OR(AS99="Government",AS99="Corporate"),(AK99*AB99/'SFC Report'!$C$20),"")</f>
        <v>2.8831415709832522E-2</v>
      </c>
      <c r="BC99" s="174" t="str">
        <f>IF(OR(T99="Cash",T99="Cash Adjustments", T99="FX Forward", T99="Repo", T99="Equity", T99="M-Mkt"), "", _xll.BDP(R99&amp;" FIGI", $BC$1))</f>
        <v>2/23/2023</v>
      </c>
      <c r="BD99" s="125">
        <f ca="1">IF(OR(T99="Cash",T99="Cash Adjustments",T99="FX Forward",T99="Repo", T99="Equity", T99="M-Mkt"),"",(BC99-'SFC Report'!$B$13)/365)</f>
        <v>2.8191780821917809</v>
      </c>
      <c r="BE99" s="82" t="str">
        <f t="shared" ca="1" si="18"/>
        <v>2 - 3 yrs</v>
      </c>
      <c r="BF99" s="5">
        <f ca="1">IF(BC99="","",BD99*AB99/'SFC Report'!$C$20)</f>
        <v>1.0160111905964954E-2</v>
      </c>
      <c r="BG99" s="14" cm="1">
        <f t="array" ref="BG99">IF(OR(AS99="Corporate",AS99="Government"),_xll.BDP(G99&amp;" ISIN", $BG$1),"")</f>
        <v>2.5130024811284386</v>
      </c>
      <c r="BH99" s="140">
        <f>IF(OR(AS99="Corporate",AS99="Government"),BG99*BN99/'SFC Report'!$C$20,"")</f>
        <v>9.0566774016568197E-3</v>
      </c>
      <c r="BI99" s="140">
        <f>IF(OR(AS99="Corporate",AS99="Government"),_xll.BDP(G99&amp;" ISIN", $BI$1),"")</f>
        <v>5.5791839885072925</v>
      </c>
      <c r="BJ99" s="140">
        <f>IF(OR(AS99="Corporate",AS99="Government"),BI99*AB99/'SFC Report'!$C$20,"")</f>
        <v>2.0106971611786904E-2</v>
      </c>
      <c r="BK99" s="153" t="str">
        <f>IF(OR(T99="Cash",T99="Cash Adjustments"),"-",_xll.BDP(R99&amp;" FIGI",$BK$1))</f>
        <v>XS1618597535</v>
      </c>
      <c r="BL99" s="11" t="str">
        <f>IF(OR(AS99="Cash", AS99="Cash Adjustments"),"-",IF(ISNA(VLOOKUP(BK99,'BBG - VaR Data (Sample, Indus )'!C:N,5,0)),"-",VLOOKUP(BK99,'BBG - VaR Data (Sample, Indus )'!C:N,5,0)))</f>
        <v>-</v>
      </c>
      <c r="BM99" s="11">
        <f>IF(OR(AS99="Cash", AS99="Cash Adjustments"),"-",IF(ISNA(VLOOKUP(BK99,'BBG - Scenarios (Sample View)'!C:Z,14,0)),"-",VLOOKUP(BK99,'BBG - Scenarios (Sample View)'!C:Z,14,0)))</f>
        <v>-3.71</v>
      </c>
      <c r="BN99" s="14">
        <f t="shared" si="16"/>
        <v>1983710.9455624355</v>
      </c>
      <c r="BO99" s="1">
        <f t="shared" si="17"/>
        <v>3.891344339686134E-3</v>
      </c>
      <c r="BP99" t="str">
        <f>IF(BC99&lt;&gt;0,MaturityBucket(BG99),"")</f>
        <v>2 - 3 yrs</v>
      </c>
      <c r="BQ99" s="11" t="str">
        <f>IF(OR(T99="Cash",T99="Cash Adjustments"),T99,VLOOKUP(AL99,'SFC Classifcation'!$A:$C,2,0))</f>
        <v>China</v>
      </c>
      <c r="BR99" s="1" t="e">
        <f>IF(S99="Bond",BH99/'SFC Report'!$B$7,"")</f>
        <v>#VALUE!</v>
      </c>
      <c r="BS99" t="str">
        <f>IF(OR(T99="Cash",T99="Cash Adjustments"),"-",_xll.BDP(R99&amp;" FIGI",$BS$1))</f>
        <v>#N/A N/A</v>
      </c>
      <c r="BT99" t="str">
        <f>IF(OR(T99="Cash",T99="Cash Adjustments"),"-",_xll.BDP(R99&amp;" FIGI",$BT$1))</f>
        <v>5/16/2017</v>
      </c>
      <c r="BU99" t="str">
        <f>IF(OR(T99="Cash",T99="Cash Adjustments"),"-",_xll.BDP(R99&amp;" FIGI",$BU$1))</f>
        <v>9/2/2019</v>
      </c>
    </row>
    <row r="100" spans="1:73">
      <c r="A100" s="254" t="s">
        <v>15</v>
      </c>
      <c r="B100" s="254" t="s">
        <v>25</v>
      </c>
      <c r="C100" s="254" t="s">
        <v>46</v>
      </c>
      <c r="D100" s="254" t="s">
        <v>22</v>
      </c>
      <c r="E100" s="254"/>
      <c r="F100" s="254" t="s">
        <v>1319</v>
      </c>
      <c r="G100" s="254" t="s">
        <v>1320</v>
      </c>
      <c r="H100" s="270">
        <v>800000</v>
      </c>
      <c r="I100" s="270">
        <v>96.289000000000001</v>
      </c>
      <c r="J100" s="270">
        <v>680000</v>
      </c>
      <c r="K100" s="270">
        <v>5271836</v>
      </c>
      <c r="L100" s="270">
        <v>698236.06</v>
      </c>
      <c r="M100" s="270">
        <v>104972.15</v>
      </c>
      <c r="N100" s="270">
        <v>5970072.0599999996</v>
      </c>
      <c r="O100" s="255">
        <v>1.2999999999999999E-3</v>
      </c>
      <c r="P100" s="1"/>
      <c r="Q100" s="1" t="str">
        <f t="shared" si="11"/>
        <v>Investments</v>
      </c>
      <c r="R100" s="1" t="str">
        <f>_xll.BDP(G100&amp;" ISIN",$R$1)</f>
        <v>BBG00RB0MG61</v>
      </c>
      <c r="S100" s="1" t="str">
        <f>IF(Q100="Cash",Q100,IF(OR(Q100="Receivable Investments",Q100="Payable Investments"),"Cash Adjustments",_xll.BDP(R100&amp;" FIGI",$S$1)))</f>
        <v>BOND</v>
      </c>
      <c r="T100" s="1" t="str">
        <f>IF(Q100="Cash",Q100,IF(OR(Q100="Receivable Investments",Q100="Payable Investments"),"Cash Adjustments",VLOOKUP(R100,LQA!E:S,3,0)))</f>
        <v>Corp</v>
      </c>
      <c r="U100" s="1" t="str">
        <f>IF(Q100="Cash",Q100,IF(OR(Q100="Receivable Investments",Q100="Payable Investments"),"Cash Adjustments",_xll.BDP(R100&amp;" FIGI",$U$1)))</f>
        <v>#N/A Field Not Applicable</v>
      </c>
      <c r="V100" s="10">
        <f>IF(OR(Q100="Cash",Q100="Receivable Investments",Q100="Payable Investments"),0,IF(Q100="Investments",VLOOKUP(R100,LQA!E:Q,12,0),"Not Covered"))</f>
        <v>0.1</v>
      </c>
      <c r="W100" s="76">
        <f>IF(OR(Q100="Cash",Q100="Receivable Investments",Q100="Payable Investments"),0,IF(Q100="Investments",VLOOKUP(R100,LQA!E:Q,9,0),"Not Covered"))</f>
        <v>1.3467E-2</v>
      </c>
      <c r="X100" s="13" t="str">
        <f>IF(OR(H100=0,T100="Comdty"),"High",IF(V100&lt;='Liquidity Bucket'!$A$4,'Liquidity Bucket'!$I$4,IF(V100&lt;='Liquidity Bucket'!$A$5,'Liquidity Bucket'!$I$5,IF(V100&lt;='Liquidity Bucket'!$A$6,'Liquidity Bucket'!$I$6,IF(V100='Liquidity Bucket'!$A$8,'Liquidity Bucket'!$I$8,'Liquidity Bucket'!$I$7)))))</f>
        <v>High</v>
      </c>
      <c r="Y100" s="153">
        <f>IF(OR(Q100="Cash",Q100="Receivable Investments",Q100="Payable Investments"),0,IF(Q100="Investments",VLOOKUP(R100,'LQA Stress'!E:Q,12,0),"Not Covered"))</f>
        <v>0.5</v>
      </c>
      <c r="Z100" s="75">
        <f>IF(OR(Q100="Cash",Q100="Receivable Investments",Q100="Payable Investments"),0,IF(Q100="Investments",VLOOKUP(R100,'LQA Stress'!E:Q,9,0),"Not Covered"))</f>
        <v>3.7116000000000003E-2</v>
      </c>
      <c r="AA100" s="13" t="str">
        <f>IF(T100="Comdty","High",IF(Y100&lt;='Liquidity Bucket'!$A$4,'Liquidity Bucket'!$I$4,IF(Y100&lt;='Liquidity Bucket'!$A$5,'Liquidity Bucket'!$I$5,IF(Y100&lt;='Liquidity Bucket'!$A$6,'Liquidity Bucket'!$I$6,IF(Y100='Liquidity Bucket'!$A$8,'Liquidity Bucket'!$I$8,'Liquidity Bucket'!$I$7)))))</f>
        <v>High</v>
      </c>
      <c r="AB100" s="14">
        <f>(N100+M100)/'FX Rates'!$C$5</f>
        <v>783674.43369453051</v>
      </c>
      <c r="AC100" s="15" t="str">
        <f>IF(X100="Not Covered", (H100/_xll.BDP(R100&amp;" FIGI",$AC$1)),"")</f>
        <v/>
      </c>
      <c r="AD100" s="16" t="str">
        <f>IF(X100="Not Covered", _xll.BDP(R100&amp;" FIGI",$AD$1),"")</f>
        <v/>
      </c>
      <c r="AE100" s="16" t="str">
        <f>IF(OR(T100="Corp",T100="Govt"),IF(_xll.BDP(R100&amp;" FIGI",$AE$1)="#N/A N/A","",_xll.BDP(R100&amp;" FIGI",$AE$1)),"")</f>
        <v/>
      </c>
      <c r="AF100" s="1" t="str">
        <f>IF(OR(T100="Corp",T100="Govt"),IF(_xll.BDP(R100&amp;" FIGI",$AF$1)="#N/A N/A","",_xll.BDP(R100&amp;" FIGI",$AF$1)),"")</f>
        <v/>
      </c>
      <c r="AG100" s="16" t="str">
        <f>IF(OR(T100="Corp",T100="Govt"),IF(_xll.BDP(R100&amp;" FIGI",$AG$1)="#N/A N/A","",_xll.BDP(R100&amp;" FIGI",$AG$1)),"")</f>
        <v>BB</v>
      </c>
      <c r="AH100" s="125">
        <f>IF(OR(S100="Cash",S100="M-Mkt"),21,IF(AE100="",0,VLOOKUP(AE100,'Rating Scale'!A:B,2,0)))</f>
        <v>0</v>
      </c>
      <c r="AI100" s="125">
        <f>IF(OR(S100="Cash",S100="M-Mkt"),21,IF(AF100="",0,VLOOKUP(AF100,'Rating Scale'!D:E,2,0)))</f>
        <v>0</v>
      </c>
      <c r="AJ100" s="125">
        <f>IF(OR(S100="Cash",S100="M-Mkt"),21,IF(AG100="",0,VLOOKUP(AG100,'Rating Scale'!G:H,2,0)))</f>
        <v>10</v>
      </c>
      <c r="AK100">
        <f t="shared" si="10"/>
        <v>10</v>
      </c>
      <c r="AL100" s="1" t="str">
        <f>IF(OR(U100="Cash",U100="Cash Adjustments"),_xll.BDP(G100&amp;" Curncy","Country"),IF(T100="Equity",_xll.BDP(R100&amp;" FIGI","CNTRY_ISSUE_ISO"),_xll.BDP(R100&amp;" FIGI",$AL$1)))</f>
        <v>CN</v>
      </c>
      <c r="AM100" s="126" t="str">
        <f>IF(OR(T100="Cash",T100="Cash Adjustments",T100="M-Mkt"), T100, IF(T100="Comdty",AS100, _xll.BDP(R100&amp;" FIGI", $AM$1)))</f>
        <v>Financial</v>
      </c>
      <c r="AN100" s="126" t="str">
        <f>IF(OR(T100="Cash",T100="Cash Adjustments",T100="M-Mkt"), T100,  IF(T100="Comdty",AS100,_xll.BDP(R100&amp;" FIGI", $AN$1)))</f>
        <v>Real Estate</v>
      </c>
      <c r="AO100" s="126" t="str">
        <f>IF(OR(T100="Cash",T100="Cash Adjustments",T100="M-Mkt"), T100,  IF(T100="Comdty",AS100,_xll.BDP(R100&amp;" FIGI", $AO$1)))</f>
        <v>Real Estate Oper/Develop</v>
      </c>
      <c r="AP100" s="13" t="str">
        <f>IF(OR(T100="Cash",T100="Cash Adjustments"), T100, IF(_xll.BDP(R100&amp;" FIGI", $AP$1)="#N/A Field Not Applicable","N",_xll.BDP(R100&amp;" FIGI", $AP$1)))</f>
        <v>N</v>
      </c>
      <c r="AQ100" s="1" t="str">
        <f>IF(OR(T100="Cash",T100="Cash Adjustments"), T100, IF(_xll.BDP(R100&amp;" FIGI", $AQ$1)="#N/A Field Not Applicable"," ",_xll.BDP(R100&amp;" FIGI", $AQ$1)))</f>
        <v xml:space="preserve"> </v>
      </c>
      <c r="AR100" s="1" t="str">
        <f>IF(OR(T100="Cash",T100="Cash Adjustments"), T100, IF(_xll.BDP(R100&amp;" FIGI", $AR$1)="#N/A Field Not Applicable"," ",_xll.BDP(R100&amp;" FIGI", $AR$1)))</f>
        <v>ACTV</v>
      </c>
      <c r="AS100" s="1" t="str">
        <f>VLOOKUP(T100,'SFC Classifcation'!$F$2:$H$7,3,0)</f>
        <v>Corporate</v>
      </c>
      <c r="AT100" s="22" t="str">
        <f t="shared" si="12"/>
        <v>Financial</v>
      </c>
      <c r="AU100" s="1" t="str">
        <f t="shared" si="13"/>
        <v>Non-Investment Grade</v>
      </c>
      <c r="AV100" s="1" t="str">
        <f>IF(OR(T100="Cash",T100="Cash Adjustments"),T100,VLOOKUP(AL100,'SFC Classifcation'!$A:$C,3,0))</f>
        <v>China</v>
      </c>
      <c r="AW100" s="22" t="str">
        <f t="shared" si="14"/>
        <v>High</v>
      </c>
      <c r="AX100" s="22" t="str">
        <f t="shared" si="15"/>
        <v>High</v>
      </c>
      <c r="AY100" s="45" t="str">
        <f>IF(OR(T100="Cash",T100="Cash Adjustments"), T100, _xll.BDP(R100&amp;" FIGI", $AY$1))</f>
        <v>Real Estate</v>
      </c>
      <c r="AZ100" s="45" t="str">
        <f>IF(OR(T100="Cash",T100="Cash Adjustments"), T100, _xll.BDP(R100&amp;" FIGI", $AZ$1))</f>
        <v>FINANCIAL</v>
      </c>
      <c r="BA100" s="45" t="str">
        <f>IF(OR(T100="Cash",T100="Cash Adjustments"), T100, _xll.BDP(R100&amp;" FIGI", $BA$1))</f>
        <v>#N/A Field Not Applicable</v>
      </c>
      <c r="BB100" s="16">
        <f>IF(OR(AS100="Government",AS100="Corporate"),(AK100*AB100/'SFC Report'!$C$20),"")</f>
        <v>1.4237484693497303E-2</v>
      </c>
      <c r="BC100" s="174" t="str">
        <f>IF(OR(T100="Cash",T100="Cash Adjustments", T100="FX Forward", T100="Repo", T100="Equity", T100="M-Mkt"), "", _xll.BDP(R100&amp;" FIGI", $BC$1))</f>
        <v>1/14/2025</v>
      </c>
      <c r="BD100" s="125">
        <f ca="1">IF(OR(T100="Cash",T100="Cash Adjustments",T100="FX Forward",T100="Repo", T100="Equity", T100="M-Mkt"),"",(BC100-'SFC Report'!$B$13)/365)</f>
        <v>4.7123287671232879</v>
      </c>
      <c r="BE100" s="82" t="str">
        <f t="shared" ca="1" si="18"/>
        <v>3 - 5 yrs</v>
      </c>
      <c r="BF100" s="5">
        <f ca="1">IF(BC100="","",BD100*AB100/'SFC Report'!$C$20)</f>
        <v>6.7091708692644829E-3</v>
      </c>
      <c r="BG100" s="14" cm="1">
        <f t="array" ref="BG100">IF(OR(AS100="Corporate",AS100="Government"),_xll.BDP(G100&amp;" ISIN", $BG$1),"")</f>
        <v>3.9201213099512064</v>
      </c>
      <c r="BH100" s="140">
        <f>IF(OR(AS100="Corporate",AS100="Government"),BG100*BN100/'SFC Report'!$C$20,"")</f>
        <v>5.5812667147082896E-3</v>
      </c>
      <c r="BI100" s="140">
        <f>IF(OR(AS100="Corporate",AS100="Government"),_xll.BDP(G100&amp;" ISIN", $BI$1),"")</f>
        <v>6.1411909313024804</v>
      </c>
      <c r="BJ100" s="140">
        <f>IF(OR(AS100="Corporate",AS100="Government"),BI100*AB100/'SFC Report'!$C$20,"")</f>
        <v>8.7435111884263516E-3</v>
      </c>
      <c r="BK100" s="153" t="str">
        <f>IF(OR(T100="Cash",T100="Cash Adjustments"),"-",_xll.BDP(R100&amp;" FIGI",$BK$1))</f>
        <v>XS2099677747</v>
      </c>
      <c r="BL100" s="11" t="str">
        <f>IF(OR(AS100="Cash", AS100="Cash Adjustments"),"-",IF(ISNA(VLOOKUP(BK100,'BBG - VaR Data (Sample, Indus )'!C:N,5,0)),"-",VLOOKUP(BK100,'BBG - VaR Data (Sample, Indus )'!C:N,5,0)))</f>
        <v>-</v>
      </c>
      <c r="BM100" s="11">
        <f>IF(OR(AS100="Cash", AS100="Cash Adjustments"),"-",IF(ISNA(VLOOKUP(BK100,'BBG - Scenarios (Sample View)'!C:Z,14,0)),"-",VLOOKUP(BK100,'BBG - Scenarios (Sample View)'!C:Z,14,0)))</f>
        <v>-5.72</v>
      </c>
      <c r="BN100" s="14">
        <f t="shared" si="16"/>
        <v>783674.43369453051</v>
      </c>
      <c r="BO100" s="1">
        <f t="shared" si="17"/>
        <v>1.5372940692472306E-3</v>
      </c>
      <c r="BP100" t="str">
        <f>IF(BC100&lt;&gt;0,MaturityBucket(BG100),"")</f>
        <v>3 - 5 yrs</v>
      </c>
      <c r="BQ100" s="11" t="str">
        <f>IF(OR(T100="Cash",T100="Cash Adjustments"),T100,VLOOKUP(AL100,'SFC Classifcation'!$A:$C,2,0))</f>
        <v>China</v>
      </c>
      <c r="BR100" s="1" t="e">
        <f>IF(S100="Bond",BH100/'SFC Report'!$B$7,"")</f>
        <v>#VALUE!</v>
      </c>
      <c r="BS100" t="str">
        <f>IF(OR(T100="Cash",T100="Cash Adjustments"),"-",_xll.BDP(R100&amp;" FIGI",$BS$1))</f>
        <v>#N/A N/A</v>
      </c>
      <c r="BT100" t="str">
        <f>IF(OR(T100="Cash",T100="Cash Adjustments"),"-",_xll.BDP(R100&amp;" FIGI",$BT$1))</f>
        <v>#N/A N/A</v>
      </c>
      <c r="BU100" t="str">
        <f>IF(OR(T100="Cash",T100="Cash Adjustments"),"-",_xll.BDP(R100&amp;" FIGI",$BU$1))</f>
        <v>1/6/2020</v>
      </c>
    </row>
    <row r="101" spans="1:73">
      <c r="A101" s="254" t="s">
        <v>15</v>
      </c>
      <c r="B101" s="254" t="s">
        <v>25</v>
      </c>
      <c r="C101" s="254" t="s">
        <v>46</v>
      </c>
      <c r="D101" s="254" t="s">
        <v>22</v>
      </c>
      <c r="E101" s="254"/>
      <c r="F101" s="254" t="s">
        <v>967</v>
      </c>
      <c r="G101" s="254" t="s">
        <v>968</v>
      </c>
      <c r="H101" s="270">
        <v>2000000</v>
      </c>
      <c r="I101" s="270">
        <v>100.261</v>
      </c>
      <c r="J101" s="270">
        <v>2025000</v>
      </c>
      <c r="K101" s="270">
        <v>15886732.5</v>
      </c>
      <c r="L101" s="270">
        <v>-345876.46</v>
      </c>
      <c r="M101" s="270">
        <v>145477.71</v>
      </c>
      <c r="N101" s="270">
        <v>15540856.039999999</v>
      </c>
      <c r="O101" s="255">
        <v>3.3999999999999998E-3</v>
      </c>
      <c r="P101" s="1"/>
      <c r="Q101" s="1" t="str">
        <f t="shared" si="11"/>
        <v>Investments</v>
      </c>
      <c r="R101" s="1" t="str">
        <f>_xll.BDP(G101&amp;" ISIN",$R$1)</f>
        <v>BBG00K6FDF25</v>
      </c>
      <c r="S101" s="1" t="str">
        <f>IF(Q101="Cash",Q101,IF(OR(Q101="Receivable Investments",Q101="Payable Investments"),"Cash Adjustments",_xll.BDP(R101&amp;" FIGI",$S$1)))</f>
        <v>BOND</v>
      </c>
      <c r="T101" s="1" t="str">
        <f>IF(Q101="Cash",Q101,IF(OR(Q101="Receivable Investments",Q101="Payable Investments"),"Cash Adjustments",VLOOKUP(R101,LQA!E:S,3,0)))</f>
        <v>Corp</v>
      </c>
      <c r="U101" s="1" t="str">
        <f>IF(Q101="Cash",Q101,IF(OR(Q101="Receivable Investments",Q101="Payable Investments"),"Cash Adjustments",_xll.BDP(R101&amp;" FIGI",$U$1)))</f>
        <v>#N/A Field Not Applicable</v>
      </c>
      <c r="V101" s="10">
        <f>IF(OR(Q101="Cash",Q101="Receivable Investments",Q101="Payable Investments"),0,IF(Q101="Investments",VLOOKUP(R101,LQA!E:Q,12,0),"Not Covered"))</f>
        <v>0.3</v>
      </c>
      <c r="W101" s="76">
        <f>IF(OR(Q101="Cash",Q101="Receivable Investments",Q101="Payable Investments"),0,IF(Q101="Investments",VLOOKUP(R101,LQA!E:Q,9,0),"Not Covered"))</f>
        <v>6.2300000000000003E-3</v>
      </c>
      <c r="X101" s="13" t="str">
        <f>IF(OR(H101=0,T101="Comdty"),"High",IF(V101&lt;='Liquidity Bucket'!$A$4,'Liquidity Bucket'!$I$4,IF(V101&lt;='Liquidity Bucket'!$A$5,'Liquidity Bucket'!$I$5,IF(V101&lt;='Liquidity Bucket'!$A$6,'Liquidity Bucket'!$I$6,IF(V101='Liquidity Bucket'!$A$8,'Liquidity Bucket'!$I$8,'Liquidity Bucket'!$I$7)))))</f>
        <v>High</v>
      </c>
      <c r="Y101" s="153">
        <f>IF(OR(Q101="Cash",Q101="Receivable Investments",Q101="Payable Investments"),0,IF(Q101="Investments",VLOOKUP(R101,'LQA Stress'!E:Q,12,0),"Not Covered"))</f>
        <v>2</v>
      </c>
      <c r="Z101" s="75">
        <f>IF(OR(Q101="Cash",Q101="Receivable Investments",Q101="Payable Investments"),0,IF(Q101="Investments",VLOOKUP(R101,'LQA Stress'!E:Q,9,0),"Not Covered"))</f>
        <v>1.6233000000000001E-2</v>
      </c>
      <c r="AA101" s="13" t="str">
        <f>IF(T101="Comdty","High",IF(Y101&lt;='Liquidity Bucket'!$A$4,'Liquidity Bucket'!$I$4,IF(Y101&lt;='Liquidity Bucket'!$A$5,'Liquidity Bucket'!$I$5,IF(Y101&lt;='Liquidity Bucket'!$A$6,'Liquidity Bucket'!$I$6,IF(Y101='Liquidity Bucket'!$A$8,'Liquidity Bucket'!$I$8,'Liquidity Bucket'!$I$7)))))</f>
        <v>High</v>
      </c>
      <c r="AB101" s="14">
        <f>(N101+M101)/'FX Rates'!$C$5</f>
        <v>2023520.8655830754</v>
      </c>
      <c r="AC101" s="15" t="str">
        <f>IF(X101="Not Covered", (H101/_xll.BDP(R101&amp;" FIGI",$AC$1)),"")</f>
        <v/>
      </c>
      <c r="AD101" s="16" t="str">
        <f>IF(X101="Not Covered", _xll.BDP(R101&amp;" FIGI",$AD$1),"")</f>
        <v/>
      </c>
      <c r="AE101" s="16" t="str">
        <f>IF(OR(T101="Corp",T101="Govt"),IF(_xll.BDP(R101&amp;" FIGI",$AE$1)="#N/A N/A","",_xll.BDP(R101&amp;" FIGI",$AE$1)),"")</f>
        <v/>
      </c>
      <c r="AF101" s="1" t="str">
        <f>IF(OR(T101="Corp",T101="Govt"),IF(_xll.BDP(R101&amp;" FIGI",$AF$1)="#N/A N/A","",_xll.BDP(R101&amp;" FIGI",$AF$1)),"")</f>
        <v/>
      </c>
      <c r="AG101" s="16" t="str">
        <f>IF(OR(T101="Corp",T101="Govt"),IF(_xll.BDP(R101&amp;" FIGI",$AG$1)="#N/A N/A","",_xll.BDP(R101&amp;" FIGI",$AG$1)),"")</f>
        <v>BB</v>
      </c>
      <c r="AH101" s="125">
        <f>IF(OR(S101="Cash",S101="M-Mkt"),21,IF(AE101="",0,VLOOKUP(AE101,'Rating Scale'!A:B,2,0)))</f>
        <v>0</v>
      </c>
      <c r="AI101" s="125">
        <f>IF(OR(S101="Cash",S101="M-Mkt"),21,IF(AF101="",0,VLOOKUP(AF101,'Rating Scale'!D:E,2,0)))</f>
        <v>0</v>
      </c>
      <c r="AJ101" s="125">
        <f>IF(OR(S101="Cash",S101="M-Mkt"),21,IF(AG101="",0,VLOOKUP(AG101,'Rating Scale'!G:H,2,0)))</f>
        <v>10</v>
      </c>
      <c r="AK101">
        <f t="shared" si="10"/>
        <v>10</v>
      </c>
      <c r="AL101" s="1" t="str">
        <f>IF(OR(U101="Cash",U101="Cash Adjustments"),_xll.BDP(G101&amp;" Curncy","Country"),IF(T101="Equity",_xll.BDP(R101&amp;" FIGI","CNTRY_ISSUE_ISO"),_xll.BDP(R101&amp;" FIGI",$AL$1)))</f>
        <v>CN</v>
      </c>
      <c r="AM101" s="126" t="str">
        <f>IF(OR(T101="Cash",T101="Cash Adjustments",T101="M-Mkt"), T101, IF(T101="Comdty",AS101, _xll.BDP(R101&amp;" FIGI", $AM$1)))</f>
        <v>Financial</v>
      </c>
      <c r="AN101" s="126" t="str">
        <f>IF(OR(T101="Cash",T101="Cash Adjustments",T101="M-Mkt"), T101,  IF(T101="Comdty",AS101,_xll.BDP(R101&amp;" FIGI", $AN$1)))</f>
        <v>Real Estate</v>
      </c>
      <c r="AO101" s="126" t="str">
        <f>IF(OR(T101="Cash",T101="Cash Adjustments",T101="M-Mkt"), T101,  IF(T101="Comdty",AS101,_xll.BDP(R101&amp;" FIGI", $AO$1)))</f>
        <v>Real Estate Oper/Develop</v>
      </c>
      <c r="AP101" s="13" t="str">
        <f>IF(OR(T101="Cash",T101="Cash Adjustments"), T101, IF(_xll.BDP(R101&amp;" FIGI", $AP$1)="#N/A Field Not Applicable","N",_xll.BDP(R101&amp;" FIGI", $AP$1)))</f>
        <v>N</v>
      </c>
      <c r="AQ101" s="1" t="str">
        <f>IF(OR(T101="Cash",T101="Cash Adjustments"), T101, IF(_xll.BDP(R101&amp;" FIGI", $AQ$1)="#N/A Field Not Applicable"," ",_xll.BDP(R101&amp;" FIGI", $AQ$1)))</f>
        <v xml:space="preserve"> </v>
      </c>
      <c r="AR101" s="1" t="str">
        <f>IF(OR(T101="Cash",T101="Cash Adjustments"), T101, IF(_xll.BDP(R101&amp;" FIGI", $AR$1)="#N/A Field Not Applicable"," ",_xll.BDP(R101&amp;" FIGI", $AR$1)))</f>
        <v>ACTV</v>
      </c>
      <c r="AS101" s="1" t="str">
        <f>VLOOKUP(T101,'SFC Classifcation'!$F$2:$H$7,3,0)</f>
        <v>Corporate</v>
      </c>
      <c r="AT101" s="22" t="str">
        <f t="shared" si="12"/>
        <v>Financial</v>
      </c>
      <c r="AU101" s="1" t="str">
        <f t="shared" si="13"/>
        <v>Non-Investment Grade</v>
      </c>
      <c r="AV101" s="1" t="str">
        <f>IF(OR(T101="Cash",T101="Cash Adjustments"),T101,VLOOKUP(AL101,'SFC Classifcation'!$A:$C,3,0))</f>
        <v>China</v>
      </c>
      <c r="AW101" s="22" t="str">
        <f t="shared" si="14"/>
        <v>High</v>
      </c>
      <c r="AX101" s="22" t="str">
        <f t="shared" si="15"/>
        <v>High</v>
      </c>
      <c r="AY101" s="45" t="str">
        <f>IF(OR(T101="Cash",T101="Cash Adjustments"), T101, _xll.BDP(R101&amp;" FIGI", $AY$1))</f>
        <v>Real Estate</v>
      </c>
      <c r="AZ101" s="45" t="str">
        <f>IF(OR(T101="Cash",T101="Cash Adjustments"), T101, _xll.BDP(R101&amp;" FIGI", $AZ$1))</f>
        <v>FINANCIAL</v>
      </c>
      <c r="BA101" s="45" t="str">
        <f>IF(OR(T101="Cash",T101="Cash Adjustments"), T101, _xll.BDP(R101&amp;" FIGI", $BA$1))</f>
        <v>#N/A Field Not Applicable</v>
      </c>
      <c r="BB101" s="16">
        <f>IF(OR(AS101="Government",AS101="Corporate"),(AK101*AB101/'SFC Report'!$C$20),"")</f>
        <v>3.6762520393693592E-2</v>
      </c>
      <c r="BC101" s="174" t="str">
        <f>IF(OR(T101="Cash",T101="Cash Adjustments", T101="FX Forward", T101="Repo", T101="Equity", T101="M-Mkt"), "", _xll.BDP(R101&amp;" FIGI", $BC$1))</f>
        <v>3/7/2021</v>
      </c>
      <c r="BD101" s="125">
        <f ca="1">IF(OR(T101="Cash",T101="Cash Adjustments",T101="FX Forward",T101="Repo", T101="Equity", T101="M-Mkt"),"",(BC101-'SFC Report'!$B$13)/365)</f>
        <v>0.852054794520548</v>
      </c>
      <c r="BE101" s="82" t="str">
        <f t="shared" ca="1" si="18"/>
        <v>0 - 1 yr</v>
      </c>
      <c r="BF101" s="5">
        <f ca="1">IF(BC101="","",BD101*AB101/'SFC Report'!$C$20)</f>
        <v>3.1323681760106049E-3</v>
      </c>
      <c r="BG101" s="14" cm="1">
        <f t="array" ref="BG101">IF(OR(AS101="Corporate",AS101="Government"),_xll.BDP(G101&amp;" ISIN", $BG$1),"")</f>
        <v>0.74268758566031845</v>
      </c>
      <c r="BH101" s="140">
        <f>IF(OR(AS101="Corporate",AS101="Government"),BG101*BN101/'SFC Report'!$C$20,"")</f>
        <v>2.730306751398051E-3</v>
      </c>
      <c r="BI101" s="140">
        <f>IF(OR(AS101="Corporate",AS101="Government"),_xll.BDP(G101&amp;" ISIN", $BI$1),"")</f>
        <v>5.311032732062551</v>
      </c>
      <c r="BJ101" s="140">
        <f>IF(OR(AS101="Corporate",AS101="Government"),BI101*AB101/'SFC Report'!$C$20,"")</f>
        <v>1.9524694912402371E-2</v>
      </c>
      <c r="BK101" s="153" t="str">
        <f>IF(OR(T101="Cash",T101="Cash Adjustments"),"-",_xll.BDP(R101&amp;" FIGI",$BK$1))</f>
        <v>XS1772325210</v>
      </c>
      <c r="BL101" s="11" t="str">
        <f>IF(OR(AS101="Cash", AS101="Cash Adjustments"),"-",IF(ISNA(VLOOKUP(BK101,'BBG - VaR Data (Sample, Indus )'!C:N,5,0)),"-",VLOOKUP(BK101,'BBG - VaR Data (Sample, Indus )'!C:N,5,0)))</f>
        <v>-</v>
      </c>
      <c r="BM101" s="11">
        <f>IF(OR(AS101="Cash", AS101="Cash Adjustments"),"-",IF(ISNA(VLOOKUP(BK101,'BBG - Scenarios (Sample View)'!C:Z,14,0)),"-",VLOOKUP(BK101,'BBG - Scenarios (Sample View)'!C:Z,14,0)))</f>
        <v>-1.19</v>
      </c>
      <c r="BN101" s="14">
        <f t="shared" si="16"/>
        <v>2023520.8655830754</v>
      </c>
      <c r="BO101" s="1">
        <f t="shared" si="17"/>
        <v>3.9694374244080878E-3</v>
      </c>
      <c r="BP101" t="str">
        <f>IF(BC101&lt;&gt;0,MaturityBucket(BG101),"")</f>
        <v>0 - 1 yr</v>
      </c>
      <c r="BQ101" s="11" t="str">
        <f>IF(OR(T101="Cash",T101="Cash Adjustments"),T101,VLOOKUP(AL101,'SFC Classifcation'!$A:$C,2,0))</f>
        <v>China</v>
      </c>
      <c r="BR101" s="1" t="e">
        <f>IF(S101="Bond",BH101/'SFC Report'!$B$7,"")</f>
        <v>#VALUE!</v>
      </c>
      <c r="BS101" t="str">
        <f>IF(OR(T101="Cash",T101="Cash Adjustments"),"-",_xll.BDP(R101&amp;" FIGI",$BS$1))</f>
        <v>#N/A N/A</v>
      </c>
      <c r="BT101" t="str">
        <f>IF(OR(T101="Cash",T101="Cash Adjustments"),"-",_xll.BDP(R101&amp;" FIGI",$BT$1))</f>
        <v>#N/A N/A</v>
      </c>
      <c r="BU101" t="str">
        <f>IF(OR(T101="Cash",T101="Cash Adjustments"),"-",_xll.BDP(R101&amp;" FIGI",$BU$1))</f>
        <v>9/2/2019</v>
      </c>
    </row>
    <row r="102" spans="1:73">
      <c r="A102" s="254" t="s">
        <v>15</v>
      </c>
      <c r="B102" s="254" t="s">
        <v>25</v>
      </c>
      <c r="C102" s="254" t="s">
        <v>46</v>
      </c>
      <c r="D102" s="254" t="s">
        <v>22</v>
      </c>
      <c r="E102" s="254"/>
      <c r="F102" s="254" t="s">
        <v>1321</v>
      </c>
      <c r="G102" s="254" t="s">
        <v>1322</v>
      </c>
      <c r="H102" s="270">
        <v>1000000</v>
      </c>
      <c r="I102" s="270">
        <v>100.82599999999999</v>
      </c>
      <c r="J102" s="270">
        <v>955000</v>
      </c>
      <c r="K102" s="270">
        <v>7414524.5</v>
      </c>
      <c r="L102" s="270">
        <v>399692.15</v>
      </c>
      <c r="M102" s="270">
        <v>8880.44</v>
      </c>
      <c r="N102" s="270">
        <v>7814216.6500000004</v>
      </c>
      <c r="O102" s="255">
        <v>1.6999999999999999E-3</v>
      </c>
      <c r="P102" s="1"/>
      <c r="Q102" s="1" t="str">
        <f t="shared" si="11"/>
        <v>Investments</v>
      </c>
      <c r="R102" s="1" t="str">
        <f>_xll.BDP(G102&amp;" ISIN",$R$1)</f>
        <v>BBG00KNCMN62</v>
      </c>
      <c r="S102" s="1" t="str">
        <f>IF(Q102="Cash",Q102,IF(OR(Q102="Receivable Investments",Q102="Payable Investments"),"Cash Adjustments",_xll.BDP(R102&amp;" FIGI",$S$1)))</f>
        <v>BOND</v>
      </c>
      <c r="T102" s="1" t="str">
        <f>IF(Q102="Cash",Q102,IF(OR(Q102="Receivable Investments",Q102="Payable Investments"),"Cash Adjustments",VLOOKUP(R102,LQA!E:S,3,0)))</f>
        <v>Corp</v>
      </c>
      <c r="U102" s="1" t="str">
        <f>IF(Q102="Cash",Q102,IF(OR(Q102="Receivable Investments",Q102="Payable Investments"),"Cash Adjustments",_xll.BDP(R102&amp;" FIGI",$U$1)))</f>
        <v>#N/A Field Not Applicable</v>
      </c>
      <c r="V102" s="10">
        <f>IF(OR(Q102="Cash",Q102="Receivable Investments",Q102="Payable Investments"),0,IF(Q102="Investments",VLOOKUP(R102,LQA!E:Q,12,0),"Not Covered"))</f>
        <v>0.2</v>
      </c>
      <c r="W102" s="76">
        <f>IF(OR(Q102="Cash",Q102="Receivable Investments",Q102="Payable Investments"),0,IF(Q102="Investments",VLOOKUP(R102,LQA!E:Q,9,0),"Not Covered"))</f>
        <v>4.7739999999999996E-3</v>
      </c>
      <c r="X102" s="13" t="str">
        <f>IF(OR(H102=0,T102="Comdty"),"High",IF(V102&lt;='Liquidity Bucket'!$A$4,'Liquidity Bucket'!$I$4,IF(V102&lt;='Liquidity Bucket'!$A$5,'Liquidity Bucket'!$I$5,IF(V102&lt;='Liquidity Bucket'!$A$6,'Liquidity Bucket'!$I$6,IF(V102='Liquidity Bucket'!$A$8,'Liquidity Bucket'!$I$8,'Liquidity Bucket'!$I$7)))))</f>
        <v>High</v>
      </c>
      <c r="Y102" s="153">
        <f>IF(OR(Q102="Cash",Q102="Receivable Investments",Q102="Payable Investments"),0,IF(Q102="Investments",VLOOKUP(R102,'LQA Stress'!E:Q,12,0),"Not Covered"))</f>
        <v>0.5</v>
      </c>
      <c r="Z102" s="75">
        <f>IF(OR(Q102="Cash",Q102="Receivable Investments",Q102="Payable Investments"),0,IF(Q102="Investments",VLOOKUP(R102,'LQA Stress'!E:Q,9,0),"Not Covered"))</f>
        <v>1.2709E-2</v>
      </c>
      <c r="AA102" s="13" t="str">
        <f>IF(T102="Comdty","High",IF(Y102&lt;='Liquidity Bucket'!$A$4,'Liquidity Bucket'!$I$4,IF(Y102&lt;='Liquidity Bucket'!$A$5,'Liquidity Bucket'!$I$5,IF(Y102&lt;='Liquidity Bucket'!$A$6,'Liquidity Bucket'!$I$6,IF(Y102='Liquidity Bucket'!$A$8,'Liquidity Bucket'!$I$8,'Liquidity Bucket'!$I$7)))))</f>
        <v>High</v>
      </c>
      <c r="AB102" s="14">
        <f>(N102+M102)/'FX Rates'!$C$5</f>
        <v>1009171.4512383902</v>
      </c>
      <c r="AC102" s="15" t="str">
        <f>IF(X102="Not Covered", (H102/_xll.BDP(R102&amp;" FIGI",$AC$1)),"")</f>
        <v/>
      </c>
      <c r="AD102" s="16" t="str">
        <f>IF(X102="Not Covered", _xll.BDP(R102&amp;" FIGI",$AD$1),"")</f>
        <v/>
      </c>
      <c r="AE102" s="16" t="str">
        <f>IF(OR(T102="Corp",T102="Govt"),IF(_xll.BDP(R102&amp;" FIGI",$AE$1)="#N/A N/A","",_xll.BDP(R102&amp;" FIGI",$AE$1)),"")</f>
        <v/>
      </c>
      <c r="AF102" s="1" t="str">
        <f>IF(OR(T102="Corp",T102="Govt"),IF(_xll.BDP(R102&amp;" FIGI",$AF$1)="#N/A N/A","",_xll.BDP(R102&amp;" FIGI",$AF$1)),"")</f>
        <v/>
      </c>
      <c r="AG102" s="16" t="str">
        <f>IF(OR(T102="Corp",T102="Govt"),IF(_xll.BDP(R102&amp;" FIGI",$AG$1)="#N/A N/A","",_xll.BDP(R102&amp;" FIGI",$AG$1)),"")</f>
        <v>BB</v>
      </c>
      <c r="AH102" s="125">
        <f>IF(OR(S102="Cash",S102="M-Mkt"),21,IF(AE102="",0,VLOOKUP(AE102,'Rating Scale'!A:B,2,0)))</f>
        <v>0</v>
      </c>
      <c r="AI102" s="125">
        <f>IF(OR(S102="Cash",S102="M-Mkt"),21,IF(AF102="",0,VLOOKUP(AF102,'Rating Scale'!D:E,2,0)))</f>
        <v>0</v>
      </c>
      <c r="AJ102" s="125">
        <f>IF(OR(S102="Cash",S102="M-Mkt"),21,IF(AG102="",0,VLOOKUP(AG102,'Rating Scale'!G:H,2,0)))</f>
        <v>10</v>
      </c>
      <c r="AK102">
        <f t="shared" si="10"/>
        <v>10</v>
      </c>
      <c r="AL102" s="1" t="str">
        <f>IF(OR(U102="Cash",U102="Cash Adjustments"),_xll.BDP(G102&amp;" Curncy","Country"),IF(T102="Equity",_xll.BDP(R102&amp;" FIGI","CNTRY_ISSUE_ISO"),_xll.BDP(R102&amp;" FIGI",$AL$1)))</f>
        <v>CN</v>
      </c>
      <c r="AM102" s="126" t="str">
        <f>IF(OR(T102="Cash",T102="Cash Adjustments",T102="M-Mkt"), T102, IF(T102="Comdty",AS102, _xll.BDP(R102&amp;" FIGI", $AM$1)))</f>
        <v>Financial</v>
      </c>
      <c r="AN102" s="126" t="str">
        <f>IF(OR(T102="Cash",T102="Cash Adjustments",T102="M-Mkt"), T102,  IF(T102="Comdty",AS102,_xll.BDP(R102&amp;" FIGI", $AN$1)))</f>
        <v>Real Estate</v>
      </c>
      <c r="AO102" s="126" t="str">
        <f>IF(OR(T102="Cash",T102="Cash Adjustments",T102="M-Mkt"), T102,  IF(T102="Comdty",AS102,_xll.BDP(R102&amp;" FIGI", $AO$1)))</f>
        <v>Real Estate Oper/Develop</v>
      </c>
      <c r="AP102" s="13" t="str">
        <f>IF(OR(T102="Cash",T102="Cash Adjustments"), T102, IF(_xll.BDP(R102&amp;" FIGI", $AP$1)="#N/A Field Not Applicable","N",_xll.BDP(R102&amp;" FIGI", $AP$1)))</f>
        <v>N</v>
      </c>
      <c r="AQ102" s="1" t="str">
        <f>IF(OR(T102="Cash",T102="Cash Adjustments"), T102, IF(_xll.BDP(R102&amp;" FIGI", $AQ$1)="#N/A Field Not Applicable"," ",_xll.BDP(R102&amp;" FIGI", $AQ$1)))</f>
        <v xml:space="preserve"> </v>
      </c>
      <c r="AR102" s="1" t="str">
        <f>IF(OR(T102="Cash",T102="Cash Adjustments"), T102, IF(_xll.BDP(R102&amp;" FIGI", $AR$1)="#N/A Field Not Applicable"," ",_xll.BDP(R102&amp;" FIGI", $AR$1)))</f>
        <v>ACTV</v>
      </c>
      <c r="AS102" s="1" t="str">
        <f>VLOOKUP(T102,'SFC Classifcation'!$F$2:$H$7,3,0)</f>
        <v>Corporate</v>
      </c>
      <c r="AT102" s="22" t="str">
        <f t="shared" si="12"/>
        <v>Financial</v>
      </c>
      <c r="AU102" s="1" t="str">
        <f t="shared" si="13"/>
        <v>Non-Investment Grade</v>
      </c>
      <c r="AV102" s="1" t="str">
        <f>IF(OR(T102="Cash",T102="Cash Adjustments"),T102,VLOOKUP(AL102,'SFC Classifcation'!$A:$C,3,0))</f>
        <v>China</v>
      </c>
      <c r="AW102" s="22" t="str">
        <f t="shared" si="14"/>
        <v>High</v>
      </c>
      <c r="AX102" s="22" t="str">
        <f t="shared" si="15"/>
        <v>High</v>
      </c>
      <c r="AY102" s="45" t="str">
        <f>IF(OR(T102="Cash",T102="Cash Adjustments"), T102, _xll.BDP(R102&amp;" FIGI", $AY$1))</f>
        <v>Real Estate</v>
      </c>
      <c r="AZ102" s="45" t="str">
        <f>IF(OR(T102="Cash",T102="Cash Adjustments"), T102, _xll.BDP(R102&amp;" FIGI", $AZ$1))</f>
        <v>FINANCIAL</v>
      </c>
      <c r="BA102" s="45" t="str">
        <f>IF(OR(T102="Cash",T102="Cash Adjustments"), T102, _xll.BDP(R102&amp;" FIGI", $BA$1))</f>
        <v>#N/A Field Not Applicable</v>
      </c>
      <c r="BB102" s="16">
        <f>IF(OR(AS102="Government",AS102="Corporate"),(AK102*AB102/'SFC Report'!$C$20),"")</f>
        <v>1.8334224612106702E-2</v>
      </c>
      <c r="BC102" s="174" t="str">
        <f>IF(OR(T102="Cash",T102="Cash Adjustments", T102="FX Forward", T102="Repo", T102="Equity", T102="M-Mkt"), "", _xll.BDP(R102&amp;" FIGI", $BC$1))</f>
        <v>4/24/2021</v>
      </c>
      <c r="BD102" s="125">
        <f ca="1">IF(OR(T102="Cash",T102="Cash Adjustments",T102="FX Forward",T102="Repo", T102="Equity", T102="M-Mkt"),"",(BC102-'SFC Report'!$B$13)/365)</f>
        <v>0.98356164383561639</v>
      </c>
      <c r="BE102" s="82" t="str">
        <f t="shared" ca="1" si="18"/>
        <v>0 - 1 yr</v>
      </c>
      <c r="BF102" s="5">
        <f ca="1">IF(BC102="","",BD102*AB102/'SFC Report'!$C$20)</f>
        <v>1.8032840097935081E-3</v>
      </c>
      <c r="BG102" s="14" cm="1">
        <f t="array" ref="BG102">IF(OR(AS102="Corporate",AS102="Government"),_xll.BDP(G102&amp;" ISIN", $BG$1),"")</f>
        <v>0.86825775723068821</v>
      </c>
      <c r="BH102" s="140">
        <f>IF(OR(AS102="Corporate",AS102="Government"),BG102*BN102/'SFC Report'!$C$20,"")</f>
        <v>1.5918832742271448E-3</v>
      </c>
      <c r="BI102" s="140">
        <f>IF(OR(AS102="Corporate",AS102="Government"),_xll.BDP(G102&amp;" ISIN", $BI$1),"")</f>
        <v>5.4296152309062862</v>
      </c>
      <c r="BJ102" s="140">
        <f>IF(OR(AS102="Corporate",AS102="Government"),BI102*AB102/'SFC Report'!$C$20,"")</f>
        <v>9.9547785200751419E-3</v>
      </c>
      <c r="BK102" s="153" t="str">
        <f>IF(OR(T102="Cash",T102="Cash Adjustments"),"-",_xll.BDP(R102&amp;" FIGI",$BK$1))</f>
        <v>XS1808311424</v>
      </c>
      <c r="BL102" s="11" t="str">
        <f>IF(OR(AS102="Cash", AS102="Cash Adjustments"),"-",IF(ISNA(VLOOKUP(BK102,'BBG - VaR Data (Sample, Indus )'!C:N,5,0)),"-",VLOOKUP(BK102,'BBG - VaR Data (Sample, Indus )'!C:N,5,0)))</f>
        <v>-</v>
      </c>
      <c r="BM102" s="11">
        <f>IF(OR(AS102="Cash", AS102="Cash Adjustments"),"-",IF(ISNA(VLOOKUP(BK102,'BBG - Scenarios (Sample View)'!C:Z,14,0)),"-",VLOOKUP(BK102,'BBG - Scenarios (Sample View)'!C:Z,14,0)))</f>
        <v>-1.36</v>
      </c>
      <c r="BN102" s="14">
        <f t="shared" si="16"/>
        <v>1009171.4512383902</v>
      </c>
      <c r="BO102" s="1">
        <f t="shared" si="17"/>
        <v>1.9796400394594439E-3</v>
      </c>
      <c r="BP102" t="str">
        <f>IF(BC102&lt;&gt;0,MaturityBucket(BG102),"")</f>
        <v>0 - 1 yr</v>
      </c>
      <c r="BQ102" s="11" t="str">
        <f>IF(OR(T102="Cash",T102="Cash Adjustments"),T102,VLOOKUP(AL102,'SFC Classifcation'!$A:$C,2,0))</f>
        <v>China</v>
      </c>
      <c r="BR102" s="1" t="e">
        <f>IF(S102="Bond",BH102/'SFC Report'!$B$7,"")</f>
        <v>#VALUE!</v>
      </c>
      <c r="BS102" t="str">
        <f>IF(OR(T102="Cash",T102="Cash Adjustments"),"-",_xll.BDP(R102&amp;" FIGI",$BS$1))</f>
        <v>#N/A N/A</v>
      </c>
      <c r="BT102" t="str">
        <f>IF(OR(T102="Cash",T102="Cash Adjustments"),"-",_xll.BDP(R102&amp;" FIGI",$BT$1))</f>
        <v>#N/A N/A</v>
      </c>
      <c r="BU102" t="str">
        <f>IF(OR(T102="Cash",T102="Cash Adjustments"),"-",_xll.BDP(R102&amp;" FIGI",$BU$1))</f>
        <v>9/2/2019</v>
      </c>
    </row>
    <row r="103" spans="1:73">
      <c r="A103" s="254" t="s">
        <v>15</v>
      </c>
      <c r="B103" s="254" t="s">
        <v>25</v>
      </c>
      <c r="C103" s="254" t="s">
        <v>46</v>
      </c>
      <c r="D103" s="254" t="s">
        <v>22</v>
      </c>
      <c r="E103" s="254"/>
      <c r="F103" s="254" t="s">
        <v>80</v>
      </c>
      <c r="G103" s="254" t="s">
        <v>81</v>
      </c>
      <c r="H103" s="270">
        <v>5000000</v>
      </c>
      <c r="I103" s="270">
        <v>102.08799999999999</v>
      </c>
      <c r="J103" s="270">
        <v>4991125</v>
      </c>
      <c r="K103" s="270">
        <v>39175468.350000001</v>
      </c>
      <c r="L103" s="270">
        <v>384652.53</v>
      </c>
      <c r="M103" s="270">
        <v>524753.13</v>
      </c>
      <c r="N103" s="270">
        <v>39560120.880000003</v>
      </c>
      <c r="O103" s="255">
        <v>8.6999999999999994E-3</v>
      </c>
      <c r="P103" s="1"/>
      <c r="Q103" s="1" t="str">
        <f t="shared" si="11"/>
        <v>Investments</v>
      </c>
      <c r="R103" s="1" t="str">
        <f>_xll.BDP(G103&amp;" ISIN",$R$1)</f>
        <v>BBG00NDM7WZ0</v>
      </c>
      <c r="S103" s="1" t="str">
        <f>IF(Q103="Cash",Q103,IF(OR(Q103="Receivable Investments",Q103="Payable Investments"),"Cash Adjustments",_xll.BDP(R103&amp;" FIGI",$S$1)))</f>
        <v>BOND</v>
      </c>
      <c r="T103" s="1" t="str">
        <f>IF(Q103="Cash",Q103,IF(OR(Q103="Receivable Investments",Q103="Payable Investments"),"Cash Adjustments",VLOOKUP(R103,LQA!E:S,3,0)))</f>
        <v>Corp</v>
      </c>
      <c r="U103" s="1" t="str">
        <f>IF(Q103="Cash",Q103,IF(OR(Q103="Receivable Investments",Q103="Payable Investments"),"Cash Adjustments",_xll.BDP(R103&amp;" FIGI",$U$1)))</f>
        <v>#N/A Field Not Applicable</v>
      </c>
      <c r="V103" s="10">
        <f>IF(OR(Q103="Cash",Q103="Receivable Investments",Q103="Payable Investments"),0,IF(Q103="Investments",VLOOKUP(R103,LQA!E:Q,12,0),"Not Covered"))</f>
        <v>0.3</v>
      </c>
      <c r="W103" s="76">
        <f>IF(OR(Q103="Cash",Q103="Receivable Investments",Q103="Payable Investments"),0,IF(Q103="Investments",VLOOKUP(R103,LQA!E:Q,9,0),"Not Covered"))</f>
        <v>7.6899999999999998E-3</v>
      </c>
      <c r="X103" s="13" t="str">
        <f>IF(OR(H103=0,T103="Comdty"),"High",IF(V103&lt;='Liquidity Bucket'!$A$4,'Liquidity Bucket'!$I$4,IF(V103&lt;='Liquidity Bucket'!$A$5,'Liquidity Bucket'!$I$5,IF(V103&lt;='Liquidity Bucket'!$A$6,'Liquidity Bucket'!$I$6,IF(V103='Liquidity Bucket'!$A$8,'Liquidity Bucket'!$I$8,'Liquidity Bucket'!$I$7)))))</f>
        <v>High</v>
      </c>
      <c r="Y103" s="153">
        <f>IF(OR(Q103="Cash",Q103="Receivable Investments",Q103="Payable Investments"),0,IF(Q103="Investments",VLOOKUP(R103,'LQA Stress'!E:Q,12,0),"Not Covered"))</f>
        <v>2</v>
      </c>
      <c r="Z103" s="75">
        <f>IF(OR(Q103="Cash",Q103="Receivable Investments",Q103="Payable Investments"),0,IF(Q103="Investments",VLOOKUP(R103,'LQA Stress'!E:Q,9,0),"Not Covered"))</f>
        <v>2.0216000000000001E-2</v>
      </c>
      <c r="AA103" s="13" t="str">
        <f>IF(T103="Comdty","High",IF(Y103&lt;='Liquidity Bucket'!$A$4,'Liquidity Bucket'!$I$4,IF(Y103&lt;='Liquidity Bucket'!$A$5,'Liquidity Bucket'!$I$5,IF(Y103&lt;='Liquidity Bucket'!$A$6,'Liquidity Bucket'!$I$6,IF(Y103='Liquidity Bucket'!$A$8,'Liquidity Bucket'!$I$8,'Liquidity Bucket'!$I$7)))))</f>
        <v>High</v>
      </c>
      <c r="AB103" s="14">
        <f>(N103+M103)/'FX Rates'!$C$5</f>
        <v>5170907.3800309608</v>
      </c>
      <c r="AC103" s="15" t="str">
        <f>IF(X103="Not Covered", (H103/_xll.BDP(R103&amp;" FIGI",$AC$1)),"")</f>
        <v/>
      </c>
      <c r="AD103" s="16" t="str">
        <f>IF(X103="Not Covered", _xll.BDP(R103&amp;" FIGI",$AD$1),"")</f>
        <v/>
      </c>
      <c r="AE103" s="16" t="str">
        <f>IF(OR(T103="Corp",T103="Govt"),IF(_xll.BDP(R103&amp;" FIGI",$AE$1)="#N/A N/A","",_xll.BDP(R103&amp;" FIGI",$AE$1)),"")</f>
        <v>BB-</v>
      </c>
      <c r="AF103" s="1" t="str">
        <f>IF(OR(T103="Corp",T103="Govt"),IF(_xll.BDP(R103&amp;" FIGI",$AF$1)="#N/A N/A","",_xll.BDP(R103&amp;" FIGI",$AF$1)),"")</f>
        <v/>
      </c>
      <c r="AG103" s="16" t="str">
        <f>IF(OR(T103="Corp",T103="Govt"),IF(_xll.BDP(R103&amp;" FIGI",$AG$1)="#N/A N/A","",_xll.BDP(R103&amp;" FIGI",$AG$1)),"")</f>
        <v>BB</v>
      </c>
      <c r="AH103" s="125">
        <f>IF(OR(S103="Cash",S103="M-Mkt"),21,IF(AE103="",0,VLOOKUP(AE103,'Rating Scale'!A:B,2,0)))</f>
        <v>9</v>
      </c>
      <c r="AI103" s="125">
        <f>IF(OR(S103="Cash",S103="M-Mkt"),21,IF(AF103="",0,VLOOKUP(AF103,'Rating Scale'!D:E,2,0)))</f>
        <v>0</v>
      </c>
      <c r="AJ103" s="125">
        <f>IF(OR(S103="Cash",S103="M-Mkt"),21,IF(AG103="",0,VLOOKUP(AG103,'Rating Scale'!G:H,2,0)))</f>
        <v>10</v>
      </c>
      <c r="AK103">
        <f t="shared" si="10"/>
        <v>9</v>
      </c>
      <c r="AL103" s="1" t="str">
        <f>IF(OR(U103="Cash",U103="Cash Adjustments"),_xll.BDP(G103&amp;" Curncy","Country"),IF(T103="Equity",_xll.BDP(R103&amp;" FIGI","CNTRY_ISSUE_ISO"),_xll.BDP(R103&amp;" FIGI",$AL$1)))</f>
        <v>CN</v>
      </c>
      <c r="AM103" s="126" t="str">
        <f>IF(OR(T103="Cash",T103="Cash Adjustments",T103="M-Mkt"), T103, IF(T103="Comdty",AS103, _xll.BDP(R103&amp;" FIGI", $AM$1)))</f>
        <v>Financial</v>
      </c>
      <c r="AN103" s="126" t="str">
        <f>IF(OR(T103="Cash",T103="Cash Adjustments",T103="M-Mkt"), T103,  IF(T103="Comdty",AS103,_xll.BDP(R103&amp;" FIGI", $AN$1)))</f>
        <v>Real Estate</v>
      </c>
      <c r="AO103" s="126" t="str">
        <f>IF(OR(T103="Cash",T103="Cash Adjustments",T103="M-Mkt"), T103,  IF(T103="Comdty",AS103,_xll.BDP(R103&amp;" FIGI", $AO$1)))</f>
        <v>Real Estate Oper/Develop</v>
      </c>
      <c r="AP103" s="13" t="str">
        <f>IF(OR(T103="Cash",T103="Cash Adjustments"), T103, IF(_xll.BDP(R103&amp;" FIGI", $AP$1)="#N/A Field Not Applicable","N",_xll.BDP(R103&amp;" FIGI", $AP$1)))</f>
        <v>N</v>
      </c>
      <c r="AQ103" s="1" t="str">
        <f>IF(OR(T103="Cash",T103="Cash Adjustments"), T103, IF(_xll.BDP(R103&amp;" FIGI", $AQ$1)="#N/A Field Not Applicable"," ",_xll.BDP(R103&amp;" FIGI", $AQ$1)))</f>
        <v xml:space="preserve"> </v>
      </c>
      <c r="AR103" s="1" t="str">
        <f>IF(OR(T103="Cash",T103="Cash Adjustments"), T103, IF(_xll.BDP(R103&amp;" FIGI", $AR$1)="#N/A Field Not Applicable"," ",_xll.BDP(R103&amp;" FIGI", $AR$1)))</f>
        <v>ACTV</v>
      </c>
      <c r="AS103" s="1" t="str">
        <f>VLOOKUP(T103,'SFC Classifcation'!$F$2:$H$7,3,0)</f>
        <v>Corporate</v>
      </c>
      <c r="AT103" s="22" t="str">
        <f t="shared" si="12"/>
        <v>Financial</v>
      </c>
      <c r="AU103" s="1" t="str">
        <f t="shared" si="13"/>
        <v>Non-Investment Grade</v>
      </c>
      <c r="AV103" s="1" t="str">
        <f>IF(OR(T103="Cash",T103="Cash Adjustments"),T103,VLOOKUP(AL103,'SFC Classifcation'!$A:$C,3,0))</f>
        <v>China</v>
      </c>
      <c r="AW103" s="22" t="str">
        <f t="shared" si="14"/>
        <v>High</v>
      </c>
      <c r="AX103" s="22" t="str">
        <f t="shared" si="15"/>
        <v>High</v>
      </c>
      <c r="AY103" s="45" t="str">
        <f>IF(OR(T103="Cash",T103="Cash Adjustments"), T103, _xll.BDP(R103&amp;" FIGI", $AY$1))</f>
        <v>Real Estate</v>
      </c>
      <c r="AZ103" s="45" t="str">
        <f>IF(OR(T103="Cash",T103="Cash Adjustments"), T103, _xll.BDP(R103&amp;" FIGI", $AZ$1))</f>
        <v>FINANCIAL</v>
      </c>
      <c r="BA103" s="45" t="str">
        <f>IF(OR(T103="Cash",T103="Cash Adjustments"), T103, _xll.BDP(R103&amp;" FIGI", $BA$1))</f>
        <v>#N/A Field Not Applicable</v>
      </c>
      <c r="BB103" s="16">
        <f>IF(OR(AS103="Government",AS103="Corporate"),(AK103*AB103/'SFC Report'!$C$20),"")</f>
        <v>8.4548685472418755E-2</v>
      </c>
      <c r="BC103" s="174" t="str">
        <f>IF(OR(T103="Cash",T103="Cash Adjustments", T103="FX Forward", T103="Repo", T103="Equity", T103="M-Mkt"), "", _xll.BDP(R103&amp;" FIGI", $BC$1))</f>
        <v>8/25/2022</v>
      </c>
      <c r="BD103" s="125">
        <f ca="1">IF(OR(T103="Cash",T103="Cash Adjustments",T103="FX Forward",T103="Repo", T103="Equity", T103="M-Mkt"),"",(BC103-'SFC Report'!$B$13)/365)</f>
        <v>2.3205479452054796</v>
      </c>
      <c r="BE103" s="82" t="str">
        <f t="shared" ca="1" si="18"/>
        <v>2 - 3 yrs</v>
      </c>
      <c r="BF103" s="5">
        <f ca="1">IF(BC103="","",BD103*AB103/'SFC Report'!$C$20)</f>
        <v>2.1799919815871746E-2</v>
      </c>
      <c r="BG103" s="14" cm="1">
        <f t="array" ref="BG103">IF(OR(AS103="Corporate",AS103="Government"),_xll.BDP(G103&amp;" ISIN", $BG$1),"")</f>
        <v>0.7092396569557915</v>
      </c>
      <c r="BH103" s="140">
        <f>IF(OR(AS103="Corporate",AS103="Government"),BG103*BN103/'SFC Report'!$C$20,"")</f>
        <v>6.6628089645023765E-3</v>
      </c>
      <c r="BI103" s="140">
        <f>IF(OR(AS103="Corporate",AS103="Government"),_xll.BDP(G103&amp;" ISIN", $BI$1),"")</f>
        <v>5.6978060649017177</v>
      </c>
      <c r="BJ103" s="140">
        <f>IF(OR(AS103="Corporate",AS103="Government"),BI103*AB103/'SFC Report'!$C$20,"")</f>
        <v>5.3526890318246145E-2</v>
      </c>
      <c r="BK103" s="153" t="str">
        <f>IF(OR(T103="Cash",T103="Cash Adjustments"),"-",_xll.BDP(R103&amp;" FIGI",$BK$1))</f>
        <v>XS1954961295</v>
      </c>
      <c r="BL103" s="11" t="str">
        <f>IF(OR(AS103="Cash", AS103="Cash Adjustments"),"-",IF(ISNA(VLOOKUP(BK103,'BBG - VaR Data (Sample, Indus )'!C:N,5,0)),"-",VLOOKUP(BK103,'BBG - VaR Data (Sample, Indus )'!C:N,5,0)))</f>
        <v>-</v>
      </c>
      <c r="BM103" s="11">
        <f>IF(OR(AS103="Cash", AS103="Cash Adjustments"),"-",IF(ISNA(VLOOKUP(BK103,'BBG - Scenarios (Sample View)'!C:Z,14,0)),"-",VLOOKUP(BK103,'BBG - Scenarios (Sample View)'!C:Z,14,0)))</f>
        <v>-2.13</v>
      </c>
      <c r="BN103" s="14">
        <f t="shared" si="16"/>
        <v>5170907.3800309608</v>
      </c>
      <c r="BO103" s="1">
        <f t="shared" si="17"/>
        <v>1.0143504631729331E-2</v>
      </c>
      <c r="BP103" t="str">
        <f>IF(BC103&lt;&gt;0,MaturityBucket(BG103),"")</f>
        <v>0 - 1 yr</v>
      </c>
      <c r="BQ103" s="11" t="str">
        <f>IF(OR(T103="Cash",T103="Cash Adjustments"),T103,VLOOKUP(AL103,'SFC Classifcation'!$A:$C,2,0))</f>
        <v>China</v>
      </c>
      <c r="BR103" s="1" t="e">
        <f>IF(S103="Bond",BH103/'SFC Report'!$B$7,"")</f>
        <v>#VALUE!</v>
      </c>
      <c r="BS103" t="str">
        <f>IF(OR(T103="Cash",T103="Cash Adjustments"),"-",_xll.BDP(R103&amp;" FIGI",$BS$1))</f>
        <v>8/28/2019</v>
      </c>
      <c r="BT103" t="str">
        <f>IF(OR(T103="Cash",T103="Cash Adjustments"),"-",_xll.BDP(R103&amp;" FIGI",$BT$1))</f>
        <v>#N/A N/A</v>
      </c>
      <c r="BU103" t="str">
        <f>IF(OR(T103="Cash",T103="Cash Adjustments"),"-",_xll.BDP(R103&amp;" FIGI",$BU$1))</f>
        <v>9/27/2019</v>
      </c>
    </row>
    <row r="104" spans="1:73">
      <c r="A104" s="254" t="s">
        <v>15</v>
      </c>
      <c r="B104" s="254" t="s">
        <v>25</v>
      </c>
      <c r="C104" s="254" t="s">
        <v>46</v>
      </c>
      <c r="D104" s="254" t="s">
        <v>22</v>
      </c>
      <c r="E104" s="254"/>
      <c r="F104" s="254" t="s">
        <v>82</v>
      </c>
      <c r="G104" s="254" t="s">
        <v>83</v>
      </c>
      <c r="H104" s="270">
        <v>5000000</v>
      </c>
      <c r="I104" s="270">
        <v>101.587</v>
      </c>
      <c r="J104" s="270">
        <v>5062500</v>
      </c>
      <c r="K104" s="270">
        <v>39724118.990000002</v>
      </c>
      <c r="L104" s="270">
        <v>-358140.61</v>
      </c>
      <c r="M104" s="270">
        <v>508606.87</v>
      </c>
      <c r="N104" s="270">
        <v>39365978.380000003</v>
      </c>
      <c r="O104" s="255">
        <v>8.6999999999999994E-3</v>
      </c>
      <c r="P104" s="1"/>
      <c r="Q104" s="1" t="str">
        <f t="shared" si="11"/>
        <v>Investments</v>
      </c>
      <c r="R104" s="1" t="str">
        <f>_xll.BDP(G104&amp;" ISIN",$R$1)</f>
        <v>BBG00LSRS878</v>
      </c>
      <c r="S104" s="1" t="str">
        <f>IF(Q104="Cash",Q104,IF(OR(Q104="Receivable Investments",Q104="Payable Investments"),"Cash Adjustments",_xll.BDP(R104&amp;" FIGI",$S$1)))</f>
        <v>BOND</v>
      </c>
      <c r="T104" s="1" t="str">
        <f>IF(Q104="Cash",Q104,IF(OR(Q104="Receivable Investments",Q104="Payable Investments"),"Cash Adjustments",VLOOKUP(R104,LQA!E:S,3,0)))</f>
        <v>Corp</v>
      </c>
      <c r="U104" s="1" t="str">
        <f>IF(Q104="Cash",Q104,IF(OR(Q104="Receivable Investments",Q104="Payable Investments"),"Cash Adjustments",_xll.BDP(R104&amp;" FIGI",$U$1)))</f>
        <v>#N/A Field Not Applicable</v>
      </c>
      <c r="V104" s="10">
        <f>IF(OR(Q104="Cash",Q104="Receivable Investments",Q104="Payable Investments"),0,IF(Q104="Investments",VLOOKUP(R104,LQA!E:Q,12,0),"Not Covered"))</f>
        <v>0.3</v>
      </c>
      <c r="W104" s="76">
        <f>IF(OR(Q104="Cash",Q104="Receivable Investments",Q104="Payable Investments"),0,IF(Q104="Investments",VLOOKUP(R104,LQA!E:Q,9,0),"Not Covered"))</f>
        <v>6.3160000000000004E-3</v>
      </c>
      <c r="X104" s="13" t="str">
        <f>IF(OR(H104=0,T104="Comdty"),"High",IF(V104&lt;='Liquidity Bucket'!$A$4,'Liquidity Bucket'!$I$4,IF(V104&lt;='Liquidity Bucket'!$A$5,'Liquidity Bucket'!$I$5,IF(V104&lt;='Liquidity Bucket'!$A$6,'Liquidity Bucket'!$I$6,IF(V104='Liquidity Bucket'!$A$8,'Liquidity Bucket'!$I$8,'Liquidity Bucket'!$I$7)))))</f>
        <v>High</v>
      </c>
      <c r="Y104" s="153">
        <f>IF(OR(Q104="Cash",Q104="Receivable Investments",Q104="Payable Investments"),0,IF(Q104="Investments",VLOOKUP(R104,'LQA Stress'!E:Q,12,0),"Not Covered"))</f>
        <v>1.8</v>
      </c>
      <c r="Z104" s="75">
        <f>IF(OR(Q104="Cash",Q104="Receivable Investments",Q104="Payable Investments"),0,IF(Q104="Investments",VLOOKUP(R104,'LQA Stress'!E:Q,9,0),"Not Covered"))</f>
        <v>1.6676E-2</v>
      </c>
      <c r="AA104" s="13" t="str">
        <f>IF(T104="Comdty","High",IF(Y104&lt;='Liquidity Bucket'!$A$4,'Liquidity Bucket'!$I$4,IF(Y104&lt;='Liquidity Bucket'!$A$5,'Liquidity Bucket'!$I$5,IF(Y104&lt;='Liquidity Bucket'!$A$6,'Liquidity Bucket'!$I$6,IF(Y104='Liquidity Bucket'!$A$8,'Liquidity Bucket'!$I$8,'Liquidity Bucket'!$I$7)))))</f>
        <v>High</v>
      </c>
      <c r="AB104" s="14">
        <f>(N104+M104)/'FX Rates'!$C$5</f>
        <v>5143780.3470072243</v>
      </c>
      <c r="AC104" s="15" t="str">
        <f>IF(X104="Not Covered", (H104/_xll.BDP(R104&amp;" FIGI",$AC$1)),"")</f>
        <v/>
      </c>
      <c r="AD104" s="16" t="str">
        <f>IF(X104="Not Covered", _xll.BDP(R104&amp;" FIGI",$AD$1),"")</f>
        <v/>
      </c>
      <c r="AE104" s="16" t="str">
        <f>IF(OR(T104="Corp",T104="Govt"),IF(_xll.BDP(R104&amp;" FIGI",$AE$1)="#N/A N/A","",_xll.BDP(R104&amp;" FIGI",$AE$1)),"")</f>
        <v>BB-</v>
      </c>
      <c r="AF104" s="1" t="str">
        <f>IF(OR(T104="Corp",T104="Govt"),IF(_xll.BDP(R104&amp;" FIGI",$AF$1)="#N/A N/A","",_xll.BDP(R104&amp;" FIGI",$AF$1)),"")</f>
        <v/>
      </c>
      <c r="AG104" s="16" t="str">
        <f>IF(OR(T104="Corp",T104="Govt"),IF(_xll.BDP(R104&amp;" FIGI",$AG$1)="#N/A N/A","",_xll.BDP(R104&amp;" FIGI",$AG$1)),"")</f>
        <v>BB</v>
      </c>
      <c r="AH104" s="125">
        <f>IF(OR(S104="Cash",S104="M-Mkt"),21,IF(AE104="",0,VLOOKUP(AE104,'Rating Scale'!A:B,2,0)))</f>
        <v>9</v>
      </c>
      <c r="AI104" s="125">
        <f>IF(OR(S104="Cash",S104="M-Mkt"),21,IF(AF104="",0,VLOOKUP(AF104,'Rating Scale'!D:E,2,0)))</f>
        <v>0</v>
      </c>
      <c r="AJ104" s="125">
        <f>IF(OR(S104="Cash",S104="M-Mkt"),21,IF(AG104="",0,VLOOKUP(AG104,'Rating Scale'!G:H,2,0)))</f>
        <v>10</v>
      </c>
      <c r="AK104">
        <f t="shared" si="10"/>
        <v>9</v>
      </c>
      <c r="AL104" s="1" t="str">
        <f>IF(OR(U104="Cash",U104="Cash Adjustments"),_xll.BDP(G104&amp;" Curncy","Country"),IF(T104="Equity",_xll.BDP(R104&amp;" FIGI","CNTRY_ISSUE_ISO"),_xll.BDP(R104&amp;" FIGI",$AL$1)))</f>
        <v>CN</v>
      </c>
      <c r="AM104" s="126" t="str">
        <f>IF(OR(T104="Cash",T104="Cash Adjustments",T104="M-Mkt"), T104, IF(T104="Comdty",AS104, _xll.BDP(R104&amp;" FIGI", $AM$1)))</f>
        <v>Financial</v>
      </c>
      <c r="AN104" s="126" t="str">
        <f>IF(OR(T104="Cash",T104="Cash Adjustments",T104="M-Mkt"), T104,  IF(T104="Comdty",AS104,_xll.BDP(R104&amp;" FIGI", $AN$1)))</f>
        <v>Real Estate</v>
      </c>
      <c r="AO104" s="126" t="str">
        <f>IF(OR(T104="Cash",T104="Cash Adjustments",T104="M-Mkt"), T104,  IF(T104="Comdty",AS104,_xll.BDP(R104&amp;" FIGI", $AO$1)))</f>
        <v>Real Estate Oper/Develop</v>
      </c>
      <c r="AP104" s="13" t="str">
        <f>IF(OR(T104="Cash",T104="Cash Adjustments"), T104, IF(_xll.BDP(R104&amp;" FIGI", $AP$1)="#N/A Field Not Applicable","N",_xll.BDP(R104&amp;" FIGI", $AP$1)))</f>
        <v>N</v>
      </c>
      <c r="AQ104" s="1" t="str">
        <f>IF(OR(T104="Cash",T104="Cash Adjustments"), T104, IF(_xll.BDP(R104&amp;" FIGI", $AQ$1)="#N/A Field Not Applicable"," ",_xll.BDP(R104&amp;" FIGI", $AQ$1)))</f>
        <v xml:space="preserve"> </v>
      </c>
      <c r="AR104" s="1" t="str">
        <f>IF(OR(T104="Cash",T104="Cash Adjustments"), T104, IF(_xll.BDP(R104&amp;" FIGI", $AR$1)="#N/A Field Not Applicable"," ",_xll.BDP(R104&amp;" FIGI", $AR$1)))</f>
        <v>ACTV</v>
      </c>
      <c r="AS104" s="1" t="str">
        <f>VLOOKUP(T104,'SFC Classifcation'!$F$2:$H$7,3,0)</f>
        <v>Corporate</v>
      </c>
      <c r="AT104" s="22" t="str">
        <f t="shared" si="12"/>
        <v>Financial</v>
      </c>
      <c r="AU104" s="1" t="str">
        <f t="shared" si="13"/>
        <v>Non-Investment Grade</v>
      </c>
      <c r="AV104" s="1" t="str">
        <f>IF(OR(T104="Cash",T104="Cash Adjustments"),T104,VLOOKUP(AL104,'SFC Classifcation'!$A:$C,3,0))</f>
        <v>China</v>
      </c>
      <c r="AW104" s="22" t="str">
        <f t="shared" si="14"/>
        <v>High</v>
      </c>
      <c r="AX104" s="22" t="str">
        <f t="shared" si="15"/>
        <v>High</v>
      </c>
      <c r="AY104" s="45" t="str">
        <f>IF(OR(T104="Cash",T104="Cash Adjustments"), T104, _xll.BDP(R104&amp;" FIGI", $AY$1))</f>
        <v>Real Estate</v>
      </c>
      <c r="AZ104" s="45" t="str">
        <f>IF(OR(T104="Cash",T104="Cash Adjustments"), T104, _xll.BDP(R104&amp;" FIGI", $AZ$1))</f>
        <v>FINANCIAL</v>
      </c>
      <c r="BA104" s="45" t="str">
        <f>IF(OR(T104="Cash",T104="Cash Adjustments"), T104, _xll.BDP(R104&amp;" FIGI", $BA$1))</f>
        <v>#N/A Field Not Applicable</v>
      </c>
      <c r="BB104" s="16">
        <f>IF(OR(AS104="Government",AS104="Corporate"),(AK104*AB104/'SFC Report'!$C$20),"")</f>
        <v>8.4105135663002109E-2</v>
      </c>
      <c r="BC104" s="174" t="str">
        <f>IF(OR(T104="Cash",T104="Cash Adjustments", T104="FX Forward", T104="Repo", T104="Equity", T104="M-Mkt"), "", _xll.BDP(R104&amp;" FIGI", $BC$1))</f>
        <v>8/27/2021</v>
      </c>
      <c r="BD104" s="125">
        <f ca="1">IF(OR(T104="Cash",T104="Cash Adjustments",T104="FX Forward",T104="Repo", T104="Equity", T104="M-Mkt"),"",(BC104-'SFC Report'!$B$13)/365)</f>
        <v>1.3260273972602741</v>
      </c>
      <c r="BE104" s="82" t="str">
        <f t="shared" ca="1" si="18"/>
        <v>1 - 2 yrs</v>
      </c>
      <c r="BF104" s="5">
        <f ca="1">IF(BC104="","",BD104*AB104/'SFC Report'!$C$20)</f>
        <v>1.239174601549255E-2</v>
      </c>
      <c r="BG104" s="14" cm="1">
        <f t="array" ref="BG104">IF(OR(AS104="Corporate",AS104="Government"),_xll.BDP(G104&amp;" ISIN", $BG$1),"")</f>
        <v>1.1644601922860778</v>
      </c>
      <c r="BH104" s="140">
        <f>IF(OR(AS104="Corporate",AS104="Government"),BG104*BN104/'SFC Report'!$C$20,"")</f>
        <v>1.0881898049598457E-2</v>
      </c>
      <c r="BI104" s="140">
        <f>IF(OR(AS104="Corporate",AS104="Government"),_xll.BDP(G104&amp;" ISIN", $BI$1),"")</f>
        <v>5.6221762776169264</v>
      </c>
      <c r="BJ104" s="140">
        <f>IF(OR(AS104="Corporate",AS104="Government"),BI104*AB104/'SFC Report'!$C$20,"")</f>
        <v>5.2539322061142653E-2</v>
      </c>
      <c r="BK104" s="153" t="str">
        <f>IF(OR(T104="Cash",T104="Cash Adjustments"),"-",_xll.BDP(R104&amp;" FIGI",$BK$1))</f>
        <v>XS1870205819</v>
      </c>
      <c r="BL104" s="11" t="str">
        <f>IF(OR(AS104="Cash", AS104="Cash Adjustments"),"-",IF(ISNA(VLOOKUP(BK104,'BBG - VaR Data (Sample, Indus )'!C:N,5,0)),"-",VLOOKUP(BK104,'BBG - VaR Data (Sample, Indus )'!C:N,5,0)))</f>
        <v>-</v>
      </c>
      <c r="BM104" s="11">
        <f>IF(OR(AS104="Cash", AS104="Cash Adjustments"),"-",IF(ISNA(VLOOKUP(BK104,'BBG - Scenarios (Sample View)'!C:Z,14,0)),"-",VLOOKUP(BK104,'BBG - Scenarios (Sample View)'!C:Z,14,0)))</f>
        <v>-1.38</v>
      </c>
      <c r="BN104" s="14">
        <f t="shared" si="16"/>
        <v>5143780.3470072243</v>
      </c>
      <c r="BO104" s="1">
        <f t="shared" si="17"/>
        <v>1.0090290917984628E-2</v>
      </c>
      <c r="BP104" t="str">
        <f>IF(BC104&lt;&gt;0,MaturityBucket(BG104),"")</f>
        <v>1 - 2 yrs</v>
      </c>
      <c r="BQ104" s="11" t="str">
        <f>IF(OR(T104="Cash",T104="Cash Adjustments"),T104,VLOOKUP(AL104,'SFC Classifcation'!$A:$C,2,0))</f>
        <v>China</v>
      </c>
      <c r="BR104" s="1" t="e">
        <f>IF(S104="Bond",BH104/'SFC Report'!$B$7,"")</f>
        <v>#VALUE!</v>
      </c>
      <c r="BS104" t="str">
        <f>IF(OR(T104="Cash",T104="Cash Adjustments"),"-",_xll.BDP(R104&amp;" FIGI",$BS$1))</f>
        <v>8/28/2019</v>
      </c>
      <c r="BT104" t="str">
        <f>IF(OR(T104="Cash",T104="Cash Adjustments"),"-",_xll.BDP(R104&amp;" FIGI",$BT$1))</f>
        <v>#N/A N/A</v>
      </c>
      <c r="BU104" t="str">
        <f>IF(OR(T104="Cash",T104="Cash Adjustments"),"-",_xll.BDP(R104&amp;" FIGI",$BU$1))</f>
        <v>9/2/2019</v>
      </c>
    </row>
    <row r="105" spans="1:73">
      <c r="A105" s="254" t="s">
        <v>15</v>
      </c>
      <c r="B105" s="254" t="s">
        <v>25</v>
      </c>
      <c r="C105" s="254" t="s">
        <v>46</v>
      </c>
      <c r="D105" s="254" t="s">
        <v>22</v>
      </c>
      <c r="E105" s="254"/>
      <c r="F105" s="254" t="s">
        <v>1323</v>
      </c>
      <c r="G105" s="254" t="s">
        <v>1324</v>
      </c>
      <c r="H105" s="270">
        <v>1800000</v>
      </c>
      <c r="I105" s="270">
        <v>69.3</v>
      </c>
      <c r="J105" s="270">
        <v>1262125</v>
      </c>
      <c r="K105" s="270">
        <v>9799361.5399999991</v>
      </c>
      <c r="L105" s="270">
        <v>-131762.06</v>
      </c>
      <c r="M105" s="270">
        <v>470824.66</v>
      </c>
      <c r="N105" s="270">
        <v>9667599.4800000004</v>
      </c>
      <c r="O105" s="255">
        <v>2.0999999999999999E-3</v>
      </c>
      <c r="P105" s="1"/>
      <c r="Q105" s="1" t="str">
        <f t="shared" si="11"/>
        <v>Investments</v>
      </c>
      <c r="R105" s="1" t="str">
        <f>_xll.BDP(G105&amp;" ISIN",$R$1)</f>
        <v>BBG00F2W1SP3</v>
      </c>
      <c r="S105" s="1" t="str">
        <f>IF(Q105="Cash",Q105,IF(OR(Q105="Receivable Investments",Q105="Payable Investments"),"Cash Adjustments",_xll.BDP(R105&amp;" FIGI",$S$1)))</f>
        <v>BOND</v>
      </c>
      <c r="T105" s="1" t="str">
        <f>IF(Q105="Cash",Q105,IF(OR(Q105="Receivable Investments",Q105="Payable Investments"),"Cash Adjustments",VLOOKUP(R105,LQA!E:S,3,0)))</f>
        <v>Corp</v>
      </c>
      <c r="U105" s="1" t="str">
        <f>IF(Q105="Cash",Q105,IF(OR(Q105="Receivable Investments",Q105="Payable Investments"),"Cash Adjustments",_xll.BDP(R105&amp;" FIGI",$U$1)))</f>
        <v>#N/A Field Not Applicable</v>
      </c>
      <c r="V105" s="10">
        <f>IF(OR(Q105="Cash",Q105="Receivable Investments",Q105="Payable Investments"),0,IF(Q105="Investments",VLOOKUP(R105,LQA!E:Q,12,0),"Not Covered"))</f>
        <v>0.3</v>
      </c>
      <c r="W105" s="76">
        <f>IF(OR(Q105="Cash",Q105="Receivable Investments",Q105="Payable Investments"),0,IF(Q105="Investments",VLOOKUP(R105,LQA!E:Q,9,0),"Not Covered"))</f>
        <v>3.5632999999999998E-2</v>
      </c>
      <c r="X105" s="13" t="str">
        <f>IF(OR(H105=0,T105="Comdty"),"High",IF(V105&lt;='Liquidity Bucket'!$A$4,'Liquidity Bucket'!$I$4,IF(V105&lt;='Liquidity Bucket'!$A$5,'Liquidity Bucket'!$I$5,IF(V105&lt;='Liquidity Bucket'!$A$6,'Liquidity Bucket'!$I$6,IF(V105='Liquidity Bucket'!$A$8,'Liquidity Bucket'!$I$8,'Liquidity Bucket'!$I$7)))))</f>
        <v>High</v>
      </c>
      <c r="Y105" s="153">
        <f>IF(OR(Q105="Cash",Q105="Receivable Investments",Q105="Payable Investments"),0,IF(Q105="Investments",VLOOKUP(R105,'LQA Stress'!E:Q,12,0),"Not Covered"))</f>
        <v>1.5</v>
      </c>
      <c r="Z105" s="75">
        <f>IF(OR(Q105="Cash",Q105="Receivable Investments",Q105="Payable Investments"),0,IF(Q105="Investments",VLOOKUP(R105,'LQA Stress'!E:Q,9,0),"Not Covered"))</f>
        <v>9.4696000000000002E-2</v>
      </c>
      <c r="AA105" s="13" t="str">
        <f>IF(T105="Comdty","High",IF(Y105&lt;='Liquidity Bucket'!$A$4,'Liquidity Bucket'!$I$4,IF(Y105&lt;='Liquidity Bucket'!$A$5,'Liquidity Bucket'!$I$5,IF(Y105&lt;='Liquidity Bucket'!$A$6,'Liquidity Bucket'!$I$6,IF(Y105='Liquidity Bucket'!$A$8,'Liquidity Bucket'!$I$8,'Liquidity Bucket'!$I$7)))))</f>
        <v>High</v>
      </c>
      <c r="AB105" s="14">
        <f>(N105+M105)/'FX Rates'!$C$5</f>
        <v>1307846.2512899898</v>
      </c>
      <c r="AC105" s="15" t="str">
        <f>IF(X105="Not Covered", (H105/_xll.BDP(R105&amp;" FIGI",$AC$1)),"")</f>
        <v/>
      </c>
      <c r="AD105" s="16" t="str">
        <f>IF(X105="Not Covered", _xll.BDP(R105&amp;" FIGI",$AD$1),"")</f>
        <v/>
      </c>
      <c r="AE105" s="16" t="str">
        <f>IF(OR(T105="Corp",T105="Govt"),IF(_xll.BDP(R105&amp;" FIGI",$AE$1)="#N/A N/A","",_xll.BDP(R105&amp;" FIGI",$AE$1)),"")</f>
        <v>B-</v>
      </c>
      <c r="AF105" s="1" t="str">
        <f>IF(OR(T105="Corp",T105="Govt"),IF(_xll.BDP(R105&amp;" FIGI",$AF$1)="#N/A N/A","",_xll.BDP(R105&amp;" FIGI",$AF$1)),"")</f>
        <v>B3</v>
      </c>
      <c r="AG105" s="16" t="str">
        <f>IF(OR(T105="Corp",T105="Govt"),IF(_xll.BDP(R105&amp;" FIGI",$AG$1)="#N/A N/A","",_xll.BDP(R105&amp;" FIGI",$AG$1)),"")</f>
        <v>B-</v>
      </c>
      <c r="AH105" s="125">
        <f>IF(OR(S105="Cash",S105="M-Mkt"),21,IF(AE105="",0,VLOOKUP(AE105,'Rating Scale'!A:B,2,0)))</f>
        <v>6</v>
      </c>
      <c r="AI105" s="125">
        <f>IF(OR(S105="Cash",S105="M-Mkt"),21,IF(AF105="",0,VLOOKUP(AF105,'Rating Scale'!D:E,2,0)))</f>
        <v>6</v>
      </c>
      <c r="AJ105" s="125">
        <f>IF(OR(S105="Cash",S105="M-Mkt"),21,IF(AG105="",0,VLOOKUP(AG105,'Rating Scale'!G:H,2,0)))</f>
        <v>6</v>
      </c>
      <c r="AK105">
        <f t="shared" si="10"/>
        <v>6</v>
      </c>
      <c r="AL105" s="1" t="str">
        <f>IF(OR(U105="Cash",U105="Cash Adjustments"),_xll.BDP(G105&amp;" Curncy","Country"),IF(T105="Equity",_xll.BDP(R105&amp;" FIGI","CNTRY_ISSUE_ISO"),_xll.BDP(R105&amp;" FIGI",$AL$1)))</f>
        <v>ID</v>
      </c>
      <c r="AM105" s="126" t="str">
        <f>IF(OR(T105="Cash",T105="Cash Adjustments",T105="M-Mkt"), T105, IF(T105="Comdty",AS105, _xll.BDP(R105&amp;" FIGI", $AM$1)))</f>
        <v>Financial</v>
      </c>
      <c r="AN105" s="126" t="str">
        <f>IF(OR(T105="Cash",T105="Cash Adjustments",T105="M-Mkt"), T105,  IF(T105="Comdty",AS105,_xll.BDP(R105&amp;" FIGI", $AN$1)))</f>
        <v>Real Estate</v>
      </c>
      <c r="AO105" s="126" t="str">
        <f>IF(OR(T105="Cash",T105="Cash Adjustments",T105="M-Mkt"), T105,  IF(T105="Comdty",AS105,_xll.BDP(R105&amp;" FIGI", $AO$1)))</f>
        <v>Real Estate Oper/Develop</v>
      </c>
      <c r="AP105" s="13" t="str">
        <f>IF(OR(T105="Cash",T105="Cash Adjustments"), T105, IF(_xll.BDP(R105&amp;" FIGI", $AP$1)="#N/A Field Not Applicable","N",_xll.BDP(R105&amp;" FIGI", $AP$1)))</f>
        <v>N</v>
      </c>
      <c r="AQ105" s="1" t="str">
        <f>IF(OR(T105="Cash",T105="Cash Adjustments"), T105, IF(_xll.BDP(R105&amp;" FIGI", $AQ$1)="#N/A Field Not Applicable"," ",_xll.BDP(R105&amp;" FIGI", $AQ$1)))</f>
        <v xml:space="preserve"> </v>
      </c>
      <c r="AR105" s="1" t="str">
        <f>IF(OR(T105="Cash",T105="Cash Adjustments"), T105, IF(_xll.BDP(R105&amp;" FIGI", $AR$1)="#N/A Field Not Applicable"," ",_xll.BDP(R105&amp;" FIGI", $AR$1)))</f>
        <v>ACTV</v>
      </c>
      <c r="AS105" s="1" t="str">
        <f>VLOOKUP(T105,'SFC Classifcation'!$F$2:$H$7,3,0)</f>
        <v>Corporate</v>
      </c>
      <c r="AT105" s="22" t="str">
        <f t="shared" si="12"/>
        <v>Financial</v>
      </c>
      <c r="AU105" s="1" t="str">
        <f t="shared" si="13"/>
        <v>Non-Investment Grade</v>
      </c>
      <c r="AV105" s="1" t="str">
        <f>IF(OR(T105="Cash",T105="Cash Adjustments"),T105,VLOOKUP(AL105,'SFC Classifcation'!$A:$C,3,0))</f>
        <v>Asia - others (1)</v>
      </c>
      <c r="AW105" s="22" t="str">
        <f t="shared" si="14"/>
        <v>High</v>
      </c>
      <c r="AX105" s="22" t="str">
        <f t="shared" si="15"/>
        <v>High</v>
      </c>
      <c r="AY105" s="45" t="str">
        <f>IF(OR(T105="Cash",T105="Cash Adjustments"), T105, _xll.BDP(R105&amp;" FIGI", $AY$1))</f>
        <v>#N/A Field Not Applicable</v>
      </c>
      <c r="AZ105" s="45" t="str">
        <f>IF(OR(T105="Cash",T105="Cash Adjustments"), T105, _xll.BDP(R105&amp;" FIGI", $AZ$1))</f>
        <v>FINANCIAL</v>
      </c>
      <c r="BA105" s="45" t="str">
        <f>IF(OR(T105="Cash",T105="Cash Adjustments"), T105, _xll.BDP(R105&amp;" FIGI", $BA$1))</f>
        <v>#N/A Field Not Applicable</v>
      </c>
      <c r="BB105" s="16">
        <f>IF(OR(AS105="Government",AS105="Corporate"),(AK105*AB105/'SFC Report'!$C$20),"")</f>
        <v>1.425625758625716E-2</v>
      </c>
      <c r="BC105" s="174" t="str">
        <f>IF(OR(T105="Cash",T105="Cash Adjustments", T105="FX Forward", T105="Repo", T105="Equity", T105="M-Mkt"), "", _xll.BDP(R105&amp;" FIGI", $BC$1))</f>
        <v>10/31/2026</v>
      </c>
      <c r="BD105" s="125">
        <f ca="1">IF(OR(T105="Cash",T105="Cash Adjustments",T105="FX Forward",T105="Repo", T105="Equity", T105="M-Mkt"),"",(BC105-'SFC Report'!$B$13)/365)</f>
        <v>6.506849315068493</v>
      </c>
      <c r="BE105" s="82" t="str">
        <f t="shared" ca="1" si="18"/>
        <v>5 - 7 yrs</v>
      </c>
      <c r="BF105" s="5">
        <f ca="1">IF(BC105="","",BD105*AB105/'SFC Report'!$C$20)</f>
        <v>1.5460553318429568E-2</v>
      </c>
      <c r="BG105" s="14" cm="1">
        <f t="array" ref="BG105">IF(OR(AS105="Corporate",AS105="Government"),_xll.BDP(G105&amp;" ISIN", $BG$1),"")</f>
        <v>4.7869589543722189</v>
      </c>
      <c r="BH105" s="140">
        <f>IF(OR(AS105="Corporate",AS105="Government"),BG105*BN105/'SFC Report'!$C$20,"")</f>
        <v>1.1374019984728432E-2</v>
      </c>
      <c r="BI105" s="140">
        <f>IF(OR(AS105="Corporate",AS105="Government"),_xll.BDP(G105&amp;" ISIN", $BI$1),"")</f>
        <v>12.41385469325644</v>
      </c>
      <c r="BJ105" s="140">
        <f>IF(OR(AS105="Corporate",AS105="Government"),BI105*AB105/'SFC Report'!$C$20,"")</f>
        <v>2.9495851690905194E-2</v>
      </c>
      <c r="BK105" s="153" t="str">
        <f>IF(OR(T105="Cash",T105="Cash Adjustments"),"-",_xll.BDP(R105&amp;" FIGI",$BK$1))</f>
        <v>XS1506085114</v>
      </c>
      <c r="BL105" s="11" t="str">
        <f>IF(OR(AS105="Cash", AS105="Cash Adjustments"),"-",IF(ISNA(VLOOKUP(BK105,'BBG - VaR Data (Sample, Indus )'!C:N,5,0)),"-",VLOOKUP(BK105,'BBG - VaR Data (Sample, Indus )'!C:N,5,0)))</f>
        <v>-</v>
      </c>
      <c r="BM105" s="11">
        <f>IF(OR(AS105="Cash", AS105="Cash Adjustments"),"-",IF(ISNA(VLOOKUP(BK105,'BBG - Scenarios (Sample View)'!C:Z,14,0)),"-",VLOOKUP(BK105,'BBG - Scenarios (Sample View)'!C:Z,14,0)))</f>
        <v>-13.27</v>
      </c>
      <c r="BN105" s="14">
        <f t="shared" si="16"/>
        <v>1307846.2512899898</v>
      </c>
      <c r="BO105" s="1">
        <f t="shared" si="17"/>
        <v>2.5655351242184548E-3</v>
      </c>
      <c r="BP105" t="str">
        <f>IF(BC105&lt;&gt;0,MaturityBucket(BG105),"")</f>
        <v>3 - 5 yrs</v>
      </c>
      <c r="BQ105" s="11" t="str">
        <f>IF(OR(T105="Cash",T105="Cash Adjustments"),T105,VLOOKUP(AL105,'SFC Classifcation'!$A:$C,2,0))</f>
        <v>Indonesia</v>
      </c>
      <c r="BR105" s="1" t="e">
        <f>IF(S105="Bond",BH105/'SFC Report'!$B$7,"")</f>
        <v>#VALUE!</v>
      </c>
      <c r="BS105" t="str">
        <f>IF(OR(T105="Cash",T105="Cash Adjustments"),"-",_xll.BDP(R105&amp;" FIGI",$BS$1))</f>
        <v>7/18/2019</v>
      </c>
      <c r="BT105" t="str">
        <f>IF(OR(T105="Cash",T105="Cash Adjustments"),"-",_xll.BDP(R105&amp;" FIGI",$BT$1))</f>
        <v>9/19/2018</v>
      </c>
      <c r="BU105" t="str">
        <f>IF(OR(T105="Cash",T105="Cash Adjustments"),"-",_xll.BDP(R105&amp;" FIGI",$BU$1))</f>
        <v>7/19/2019</v>
      </c>
    </row>
    <row r="106" spans="1:73">
      <c r="A106" s="254" t="s">
        <v>15</v>
      </c>
      <c r="B106" s="254" t="s">
        <v>25</v>
      </c>
      <c r="C106" s="254" t="s">
        <v>46</v>
      </c>
      <c r="D106" s="254" t="s">
        <v>22</v>
      </c>
      <c r="E106" s="254"/>
      <c r="F106" s="254" t="s">
        <v>1156</v>
      </c>
      <c r="G106" s="254" t="s">
        <v>1157</v>
      </c>
      <c r="H106" s="270">
        <v>1500000</v>
      </c>
      <c r="I106" s="270">
        <v>78.048000000000002</v>
      </c>
      <c r="J106" s="270">
        <v>1515406.81</v>
      </c>
      <c r="K106" s="270">
        <v>11772549.98</v>
      </c>
      <c r="L106" s="270">
        <v>-2699235.83</v>
      </c>
      <c r="M106" s="270">
        <v>257129.03</v>
      </c>
      <c r="N106" s="270">
        <v>9073314.1500000004</v>
      </c>
      <c r="O106" s="255">
        <v>2E-3</v>
      </c>
      <c r="P106" s="1"/>
      <c r="Q106" s="1" t="str">
        <f t="shared" si="11"/>
        <v>Investments</v>
      </c>
      <c r="R106" s="1" t="str">
        <f>_xll.BDP(G106&amp;" ISIN",$R$1)</f>
        <v>BBG00RD4VH41</v>
      </c>
      <c r="S106" s="1" t="str">
        <f>IF(Q106="Cash",Q106,IF(OR(Q106="Receivable Investments",Q106="Payable Investments"),"Cash Adjustments",_xll.BDP(R106&amp;" FIGI",$S$1)))</f>
        <v>BOND</v>
      </c>
      <c r="T106" s="1" t="str">
        <f>IF(Q106="Cash",Q106,IF(OR(Q106="Receivable Investments",Q106="Payable Investments"),"Cash Adjustments",VLOOKUP(R106,LQA!E:S,3,0)))</f>
        <v>Corp</v>
      </c>
      <c r="U106" s="1" t="str">
        <f>IF(Q106="Cash",Q106,IF(OR(Q106="Receivable Investments",Q106="Payable Investments"),"Cash Adjustments",_xll.BDP(R106&amp;" FIGI",$U$1)))</f>
        <v>#N/A Field Not Applicable</v>
      </c>
      <c r="V106" s="10">
        <f>IF(OR(Q106="Cash",Q106="Receivable Investments",Q106="Payable Investments"),0,IF(Q106="Investments",VLOOKUP(R106,LQA!E:Q,12,0),"Not Covered"))</f>
        <v>0.2</v>
      </c>
      <c r="W106" s="76">
        <f>IF(OR(Q106="Cash",Q106="Receivable Investments",Q106="Payable Investments"),0,IF(Q106="Investments",VLOOKUP(R106,LQA!E:Q,9,0),"Not Covered"))</f>
        <v>4.2731999999999999E-2</v>
      </c>
      <c r="X106" s="13" t="str">
        <f>IF(OR(H106=0,T106="Comdty"),"High",IF(V106&lt;='Liquidity Bucket'!$A$4,'Liquidity Bucket'!$I$4,IF(V106&lt;='Liquidity Bucket'!$A$5,'Liquidity Bucket'!$I$5,IF(V106&lt;='Liquidity Bucket'!$A$6,'Liquidity Bucket'!$I$6,IF(V106='Liquidity Bucket'!$A$8,'Liquidity Bucket'!$I$8,'Liquidity Bucket'!$I$7)))))</f>
        <v>High</v>
      </c>
      <c r="Y106" s="153">
        <f>IF(OR(Q106="Cash",Q106="Receivable Investments",Q106="Payable Investments"),0,IF(Q106="Investments",VLOOKUP(R106,'LQA Stress'!E:Q,12,0),"Not Covered"))</f>
        <v>1.6</v>
      </c>
      <c r="Z106" s="75">
        <f>IF(OR(Q106="Cash",Q106="Receivable Investments",Q106="Payable Investments"),0,IF(Q106="Investments",VLOOKUP(R106,'LQA Stress'!E:Q,9,0),"Not Covered"))</f>
        <v>0.116713</v>
      </c>
      <c r="AA106" s="13" t="str">
        <f>IF(T106="Comdty","High",IF(Y106&lt;='Liquidity Bucket'!$A$4,'Liquidity Bucket'!$I$4,IF(Y106&lt;='Liquidity Bucket'!$A$5,'Liquidity Bucket'!$I$5,IF(Y106&lt;='Liquidity Bucket'!$A$6,'Liquidity Bucket'!$I$6,IF(Y106='Liquidity Bucket'!$A$8,'Liquidity Bucket'!$I$8,'Liquidity Bucket'!$I$7)))))</f>
        <v>High</v>
      </c>
      <c r="AB106" s="14">
        <f>(N106+M106)/'FX Rates'!$C$5</f>
        <v>1203617.5412796699</v>
      </c>
      <c r="AC106" s="15" t="str">
        <f>IF(X106="Not Covered", (H106/_xll.BDP(R106&amp;" FIGI",$AC$1)),"")</f>
        <v/>
      </c>
      <c r="AD106" s="16" t="str">
        <f>IF(X106="Not Covered", _xll.BDP(R106&amp;" FIGI",$AD$1),"")</f>
        <v/>
      </c>
      <c r="AE106" s="16" t="str">
        <f>IF(OR(T106="Corp",T106="Govt"),IF(_xll.BDP(R106&amp;" FIGI",$AE$1)="#N/A N/A","",_xll.BDP(R106&amp;" FIGI",$AE$1)),"")</f>
        <v>B-</v>
      </c>
      <c r="AF106" s="1" t="str">
        <f>IF(OR(T106="Corp",T106="Govt"),IF(_xll.BDP(R106&amp;" FIGI",$AF$1)="#N/A N/A","",_xll.BDP(R106&amp;" FIGI",$AF$1)),"")</f>
        <v>B3</v>
      </c>
      <c r="AG106" s="16" t="str">
        <f>IF(OR(T106="Corp",T106="Govt"),IF(_xll.BDP(R106&amp;" FIGI",$AG$1)="#N/A N/A","",_xll.BDP(R106&amp;" FIGI",$AG$1)),"")</f>
        <v>B-</v>
      </c>
      <c r="AH106" s="125">
        <f>IF(OR(S106="Cash",S106="M-Mkt"),21,IF(AE106="",0,VLOOKUP(AE106,'Rating Scale'!A:B,2,0)))</f>
        <v>6</v>
      </c>
      <c r="AI106" s="125">
        <f>IF(OR(S106="Cash",S106="M-Mkt"),21,IF(AF106="",0,VLOOKUP(AF106,'Rating Scale'!D:E,2,0)))</f>
        <v>6</v>
      </c>
      <c r="AJ106" s="125">
        <f>IF(OR(S106="Cash",S106="M-Mkt"),21,IF(AG106="",0,VLOOKUP(AG106,'Rating Scale'!G:H,2,0)))</f>
        <v>6</v>
      </c>
      <c r="AK106">
        <f t="shared" si="10"/>
        <v>6</v>
      </c>
      <c r="AL106" s="1" t="str">
        <f>IF(OR(U106="Cash",U106="Cash Adjustments"),_xll.BDP(G106&amp;" Curncy","Country"),IF(T106="Equity",_xll.BDP(R106&amp;" FIGI","CNTRY_ISSUE_ISO"),_xll.BDP(R106&amp;" FIGI",$AL$1)))</f>
        <v>ID</v>
      </c>
      <c r="AM106" s="126" t="str">
        <f>IF(OR(T106="Cash",T106="Cash Adjustments",T106="M-Mkt"), T106, IF(T106="Comdty",AS106, _xll.BDP(R106&amp;" FIGI", $AM$1)))</f>
        <v>Financial</v>
      </c>
      <c r="AN106" s="126" t="str">
        <f>IF(OR(T106="Cash",T106="Cash Adjustments",T106="M-Mkt"), T106,  IF(T106="Comdty",AS106,_xll.BDP(R106&amp;" FIGI", $AN$1)))</f>
        <v>Real Estate</v>
      </c>
      <c r="AO106" s="126" t="str">
        <f>IF(OR(T106="Cash",T106="Cash Adjustments",T106="M-Mkt"), T106,  IF(T106="Comdty",AS106,_xll.BDP(R106&amp;" FIGI", $AO$1)))</f>
        <v>Real Estate Oper/Develop</v>
      </c>
      <c r="AP106" s="13" t="str">
        <f>IF(OR(T106="Cash",T106="Cash Adjustments"), T106, IF(_xll.BDP(R106&amp;" FIGI", $AP$1)="#N/A Field Not Applicable","N",_xll.BDP(R106&amp;" FIGI", $AP$1)))</f>
        <v>N</v>
      </c>
      <c r="AQ106" s="1" t="str">
        <f>IF(OR(T106="Cash",T106="Cash Adjustments"), T106, IF(_xll.BDP(R106&amp;" FIGI", $AQ$1)="#N/A Field Not Applicable"," ",_xll.BDP(R106&amp;" FIGI", $AQ$1)))</f>
        <v xml:space="preserve"> </v>
      </c>
      <c r="AR106" s="1" t="str">
        <f>IF(OR(T106="Cash",T106="Cash Adjustments"), T106, IF(_xll.BDP(R106&amp;" FIGI", $AR$1)="#N/A Field Not Applicable"," ",_xll.BDP(R106&amp;" FIGI", $AR$1)))</f>
        <v>ACTV</v>
      </c>
      <c r="AS106" s="1" t="str">
        <f>VLOOKUP(T106,'SFC Classifcation'!$F$2:$H$7,3,0)</f>
        <v>Corporate</v>
      </c>
      <c r="AT106" s="22" t="str">
        <f t="shared" si="12"/>
        <v>Financial</v>
      </c>
      <c r="AU106" s="1" t="str">
        <f t="shared" si="13"/>
        <v>Non-Investment Grade</v>
      </c>
      <c r="AV106" s="1" t="str">
        <f>IF(OR(T106="Cash",T106="Cash Adjustments"),T106,VLOOKUP(AL106,'SFC Classifcation'!$A:$C,3,0))</f>
        <v>Asia - others (1)</v>
      </c>
      <c r="AW106" s="22" t="str">
        <f t="shared" si="14"/>
        <v>High</v>
      </c>
      <c r="AX106" s="22" t="str">
        <f t="shared" si="15"/>
        <v>High</v>
      </c>
      <c r="AY106" s="45" t="str">
        <f>IF(OR(T106="Cash",T106="Cash Adjustments"), T106, _xll.BDP(R106&amp;" FIGI", $AY$1))</f>
        <v>#N/A Field Not Applicable</v>
      </c>
      <c r="AZ106" s="45" t="str">
        <f>IF(OR(T106="Cash",T106="Cash Adjustments"), T106, _xll.BDP(R106&amp;" FIGI", $AZ$1))</f>
        <v>FINANCIAL</v>
      </c>
      <c r="BA106" s="45" t="str">
        <f>IF(OR(T106="Cash",T106="Cash Adjustments"), T106, _xll.BDP(R106&amp;" FIGI", $BA$1))</f>
        <v>#N/A Field Not Applicable</v>
      </c>
      <c r="BB106" s="16">
        <f>IF(OR(AS106="Government",AS106="Corporate"),(AK106*AB106/'SFC Report'!$C$20),"")</f>
        <v>1.3120106195124756E-2</v>
      </c>
      <c r="BC106" s="174" t="str">
        <f>IF(OR(T106="Cash",T106="Cash Adjustments", T106="FX Forward", T106="Repo", T106="Equity", T106="M-Mkt"), "", _xll.BDP(R106&amp;" FIGI", $BC$1))</f>
        <v>1/22/2025</v>
      </c>
      <c r="BD106" s="125">
        <f ca="1">IF(OR(T106="Cash",T106="Cash Adjustments",T106="FX Forward",T106="Repo", T106="Equity", T106="M-Mkt"),"",(BC106-'SFC Report'!$B$13)/365)</f>
        <v>4.7342465753424658</v>
      </c>
      <c r="BE106" s="82" t="str">
        <f t="shared" ca="1" si="18"/>
        <v>3 - 5 yrs</v>
      </c>
      <c r="BF106" s="5">
        <f ca="1">IF(BC106="","",BD106*AB106/'SFC Report'!$C$20)</f>
        <v>1.0352302970399808E-2</v>
      </c>
      <c r="BG106" s="14" cm="1">
        <f t="array" ref="BG106">IF(OR(AS106="Corporate",AS106="Government"),_xll.BDP(G106&amp;" ISIN", $BG$1),"")</f>
        <v>3.54047830797994</v>
      </c>
      <c r="BH106" s="140">
        <f>IF(OR(AS106="Corporate",AS106="Government"),BG106*BN106/'SFC Report'!$C$20,"")</f>
        <v>7.7419085637054057E-3</v>
      </c>
      <c r="BI106" s="140">
        <f>IF(OR(AS106="Corporate",AS106="Government"),_xll.BDP(G106&amp;" ISIN", $BI$1),"")</f>
        <v>12.843951791596956</v>
      </c>
      <c r="BJ106" s="140">
        <f>IF(OR(AS106="Corporate",AS106="Government"),BI106*AB106/'SFC Report'!$C$20,"")</f>
        <v>2.8085668578469156E-2</v>
      </c>
      <c r="BK106" s="153" t="str">
        <f>IF(OR(T106="Cash",T106="Cash Adjustments"),"-",_xll.BDP(R106&amp;" FIGI",$BK$1))</f>
        <v>XS2099273737</v>
      </c>
      <c r="BL106" s="11" t="str">
        <f>IF(OR(AS106="Cash", AS106="Cash Adjustments"),"-",IF(ISNA(VLOOKUP(BK106,'BBG - VaR Data (Sample, Indus )'!C:N,5,0)),"-",VLOOKUP(BK106,'BBG - VaR Data (Sample, Indus )'!C:N,5,0)))</f>
        <v>-</v>
      </c>
      <c r="BM106" s="11">
        <f>IF(OR(AS106="Cash", AS106="Cash Adjustments"),"-",IF(ISNA(VLOOKUP(BK106,'BBG - Scenarios (Sample View)'!C:Z,14,0)),"-",VLOOKUP(BK106,'BBG - Scenarios (Sample View)'!C:Z,14,0)))</f>
        <v>-10.34</v>
      </c>
      <c r="BN106" s="14">
        <f t="shared" si="16"/>
        <v>1203617.5412796699</v>
      </c>
      <c r="BO106" s="1">
        <f t="shared" si="17"/>
        <v>2.3610749927468048E-3</v>
      </c>
      <c r="BP106" t="str">
        <f>IF(BC106&lt;&gt;0,MaturityBucket(BG106),"")</f>
        <v>3 - 5 yrs</v>
      </c>
      <c r="BQ106" s="11" t="str">
        <f>IF(OR(T106="Cash",T106="Cash Adjustments"),T106,VLOOKUP(AL106,'SFC Classifcation'!$A:$C,2,0))</f>
        <v>Indonesia</v>
      </c>
      <c r="BR106" s="1" t="e">
        <f>IF(S106="Bond",BH106/'SFC Report'!$B$7,"")</f>
        <v>#VALUE!</v>
      </c>
      <c r="BS106" t="str">
        <f>IF(OR(T106="Cash",T106="Cash Adjustments"),"-",_xll.BDP(R106&amp;" FIGI",$BS$1))</f>
        <v>1/13/2020</v>
      </c>
      <c r="BT106" t="str">
        <f>IF(OR(T106="Cash",T106="Cash Adjustments"),"-",_xll.BDP(R106&amp;" FIGI",$BT$1))</f>
        <v>1/14/2020</v>
      </c>
      <c r="BU106" t="str">
        <f>IF(OR(T106="Cash",T106="Cash Adjustments"),"-",_xll.BDP(R106&amp;" FIGI",$BU$1))</f>
        <v>1/13/2020</v>
      </c>
    </row>
    <row r="107" spans="1:73">
      <c r="A107" s="254" t="s">
        <v>15</v>
      </c>
      <c r="B107" s="254" t="s">
        <v>25</v>
      </c>
      <c r="C107" s="254" t="s">
        <v>46</v>
      </c>
      <c r="D107" s="254" t="s">
        <v>22</v>
      </c>
      <c r="E107" s="254"/>
      <c r="F107" s="254" t="s">
        <v>1936</v>
      </c>
      <c r="G107" s="254" t="s">
        <v>1937</v>
      </c>
      <c r="H107" s="270">
        <v>1300000</v>
      </c>
      <c r="I107" s="270">
        <v>100.233</v>
      </c>
      <c r="J107" s="270">
        <v>1303090</v>
      </c>
      <c r="K107" s="270">
        <v>10099599.050000001</v>
      </c>
      <c r="L107" s="270">
        <v>-863.7</v>
      </c>
      <c r="M107" s="270">
        <v>1092.8900000000001</v>
      </c>
      <c r="N107" s="270">
        <v>10098735.35</v>
      </c>
      <c r="O107" s="255">
        <v>2.2000000000000001E-3</v>
      </c>
      <c r="P107" s="1"/>
      <c r="Q107" s="1" t="str">
        <f t="shared" si="11"/>
        <v>Investments</v>
      </c>
      <c r="R107" s="1" t="str">
        <f>_xll.BDP(G107&amp;" ISIN",$R$1)</f>
        <v>BBG00CP5W6B3</v>
      </c>
      <c r="S107" s="1" t="str">
        <f>IF(Q107="Cash",Q107,IF(OR(Q107="Receivable Investments",Q107="Payable Investments"),"Cash Adjustments",_xll.BDP(R107&amp;" FIGI",$S$1)))</f>
        <v>BOND</v>
      </c>
      <c r="T107" s="1" t="str">
        <f>IF(Q107="Cash",Q107,IF(OR(Q107="Receivable Investments",Q107="Payable Investments"),"Cash Adjustments",VLOOKUP(R107,LQA!E:S,3,0)))</f>
        <v>Corp</v>
      </c>
      <c r="U107" s="1" t="str">
        <f>IF(Q107="Cash",Q107,IF(OR(Q107="Receivable Investments",Q107="Payable Investments"),"Cash Adjustments",_xll.BDP(R107&amp;" FIGI",$U$1)))</f>
        <v>#N/A Field Not Applicable</v>
      </c>
      <c r="V107" s="10">
        <f>IF(OR(Q107="Cash",Q107="Receivable Investments",Q107="Payable Investments"),0,IF(Q107="Investments",VLOOKUP(R107,LQA!E:Q,12,0),"Not Covered"))</f>
        <v>0.3</v>
      </c>
      <c r="W107" s="76">
        <f>IF(OR(Q107="Cash",Q107="Receivable Investments",Q107="Payable Investments"),0,IF(Q107="Investments",VLOOKUP(R107,LQA!E:Q,9,0),"Not Covered"))</f>
        <v>2.6559999999999999E-3</v>
      </c>
      <c r="X107" s="13" t="str">
        <f>IF(OR(H107=0,T107="Comdty"),"High",IF(V107&lt;='Liquidity Bucket'!$A$4,'Liquidity Bucket'!$I$4,IF(V107&lt;='Liquidity Bucket'!$A$5,'Liquidity Bucket'!$I$5,IF(V107&lt;='Liquidity Bucket'!$A$6,'Liquidity Bucket'!$I$6,IF(V107='Liquidity Bucket'!$A$8,'Liquidity Bucket'!$I$8,'Liquidity Bucket'!$I$7)))))</f>
        <v>High</v>
      </c>
      <c r="Y107" s="153">
        <f>IF(OR(Q107="Cash",Q107="Receivable Investments",Q107="Payable Investments"),0,IF(Q107="Investments",VLOOKUP(R107,'LQA Stress'!E:Q,12,0),"Not Covered"))</f>
        <v>1.7</v>
      </c>
      <c r="Z107" s="75">
        <f>IF(OR(Q107="Cash",Q107="Receivable Investments",Q107="Payable Investments"),0,IF(Q107="Investments",VLOOKUP(R107,'LQA Stress'!E:Q,9,0),"Not Covered"))</f>
        <v>6.7749999999999998E-3</v>
      </c>
      <c r="AA107" s="13" t="str">
        <f>IF(T107="Comdty","High",IF(Y107&lt;='Liquidity Bucket'!$A$4,'Liquidity Bucket'!$I$4,IF(Y107&lt;='Liquidity Bucket'!$A$5,'Liquidity Bucket'!$I$5,IF(Y107&lt;='Liquidity Bucket'!$A$6,'Liquidity Bucket'!$I$6,IF(Y107='Liquidity Bucket'!$A$8,'Liquidity Bucket'!$I$8,'Liquidity Bucket'!$I$7)))))</f>
        <v>High</v>
      </c>
      <c r="AB107" s="14">
        <f>(N107+M107)/'FX Rates'!$C$5</f>
        <v>1302867.4200206399</v>
      </c>
      <c r="AC107" s="15" t="str">
        <f>IF(X107="Not Covered", (H107/_xll.BDP(R107&amp;" FIGI",$AC$1)),"")</f>
        <v/>
      </c>
      <c r="AD107" s="16" t="str">
        <f>IF(X107="Not Covered", _xll.BDP(R107&amp;" FIGI",$AD$1),"")</f>
        <v/>
      </c>
      <c r="AE107" s="16" t="str">
        <f>IF(OR(T107="Corp",T107="Govt"),IF(_xll.BDP(R107&amp;" FIGI",$AE$1)="#N/A N/A","",_xll.BDP(R107&amp;" FIGI",$AE$1)),"")</f>
        <v>BBB</v>
      </c>
      <c r="AF107" s="1" t="str">
        <f>IF(OR(T107="Corp",T107="Govt"),IF(_xll.BDP(R107&amp;" FIGI",$AF$1)="#N/A N/A","",_xll.BDP(R107&amp;" FIGI",$AF$1)),"")</f>
        <v>Baa2</v>
      </c>
      <c r="AG107" s="16" t="str">
        <f>IF(OR(T107="Corp",T107="Govt"),IF(_xll.BDP(R107&amp;" FIGI",$AG$1)="#N/A N/A","",_xll.BDP(R107&amp;" FIGI",$AG$1)),"")</f>
        <v/>
      </c>
      <c r="AH107" s="125">
        <f>IF(OR(S107="Cash",S107="M-Mkt"),21,IF(AE107="",0,VLOOKUP(AE107,'Rating Scale'!A:B,2,0)))</f>
        <v>13</v>
      </c>
      <c r="AI107" s="125">
        <f>IF(OR(S107="Cash",S107="M-Mkt"),21,IF(AF107="",0,VLOOKUP(AF107,'Rating Scale'!D:E,2,0)))</f>
        <v>13</v>
      </c>
      <c r="AJ107" s="125">
        <f>IF(OR(S107="Cash",S107="M-Mkt"),21,IF(AG107="",0,VLOOKUP(AG107,'Rating Scale'!G:H,2,0)))</f>
        <v>0</v>
      </c>
      <c r="AK107">
        <f t="shared" si="10"/>
        <v>13</v>
      </c>
      <c r="AL107" s="1" t="str">
        <f>IF(OR(U107="Cash",U107="Cash Adjustments"),_xll.BDP(G107&amp;" Curncy","Country"),IF(T107="Equity",_xll.BDP(R107&amp;" FIGI","CNTRY_ISSUE_ISO"),_xll.BDP(R107&amp;" FIGI",$AL$1)))</f>
        <v>MY</v>
      </c>
      <c r="AM107" s="126" t="str">
        <f>IF(OR(T107="Cash",T107="Cash Adjustments",T107="M-Mkt"), T107, IF(T107="Comdty",AS107, _xll.BDP(R107&amp;" FIGI", $AM$1)))</f>
        <v>Financial</v>
      </c>
      <c r="AN107" s="126" t="str">
        <f>IF(OR(T107="Cash",T107="Cash Adjustments",T107="M-Mkt"), T107,  IF(T107="Comdty",AS107,_xll.BDP(R107&amp;" FIGI", $AN$1)))</f>
        <v>Banks</v>
      </c>
      <c r="AO107" s="126" t="str">
        <f>IF(OR(T107="Cash",T107="Cash Adjustments",T107="M-Mkt"), T107,  IF(T107="Comdty",AS107,_xll.BDP(R107&amp;" FIGI", $AO$1)))</f>
        <v>Commer Banks Non-US</v>
      </c>
      <c r="AP107" s="13" t="str">
        <f>IF(OR(T107="Cash",T107="Cash Adjustments"), T107, IF(_xll.BDP(R107&amp;" FIGI", $AP$1)="#N/A Field Not Applicable","N",_xll.BDP(R107&amp;" FIGI", $AP$1)))</f>
        <v>N</v>
      </c>
      <c r="AQ107" s="1" t="str">
        <f>IF(OR(T107="Cash",T107="Cash Adjustments"), T107, IF(_xll.BDP(R107&amp;" FIGI", $AQ$1)="#N/A Field Not Applicable"," ",_xll.BDP(R107&amp;" FIGI", $AQ$1)))</f>
        <v xml:space="preserve"> </v>
      </c>
      <c r="AR107" s="1" t="str">
        <f>IF(OR(T107="Cash",T107="Cash Adjustments"), T107, IF(_xll.BDP(R107&amp;" FIGI", $AR$1)="#N/A Field Not Applicable"," ",_xll.BDP(R107&amp;" FIGI", $AR$1)))</f>
        <v>ACTV</v>
      </c>
      <c r="AS107" s="1" t="str">
        <f>VLOOKUP(T107,'SFC Classifcation'!$F$2:$H$7,3,0)</f>
        <v>Corporate</v>
      </c>
      <c r="AT107" s="22" t="str">
        <f t="shared" si="12"/>
        <v>Financial</v>
      </c>
      <c r="AU107" s="1" t="str">
        <f t="shared" si="13"/>
        <v>Investment Grade</v>
      </c>
      <c r="AV107" s="1" t="str">
        <f>IF(OR(T107="Cash",T107="Cash Adjustments"),T107,VLOOKUP(AL107,'SFC Classifcation'!$A:$C,3,0))</f>
        <v>Asia - others (1)</v>
      </c>
      <c r="AW107" s="22" t="str">
        <f t="shared" si="14"/>
        <v>High</v>
      </c>
      <c r="AX107" s="22" t="str">
        <f t="shared" si="15"/>
        <v>High</v>
      </c>
      <c r="AY107" s="45" t="str">
        <f>IF(OR(T107="Cash",T107="Cash Adjustments"), T107, _xll.BDP(R107&amp;" FIGI", $AY$1))</f>
        <v>Financials</v>
      </c>
      <c r="AZ107" s="45" t="str">
        <f>IF(OR(T107="Cash",T107="Cash Adjustments"), T107, _xll.BDP(R107&amp;" FIGI", $AZ$1))</f>
        <v>BANK</v>
      </c>
      <c r="BA107" s="45" t="str">
        <f>IF(OR(T107="Cash",T107="Cash Adjustments"), T107, _xll.BDP(R107&amp;" FIGI", $BA$1))</f>
        <v>#N/A Field Not Applicable</v>
      </c>
      <c r="BB107" s="16">
        <f>IF(OR(AS107="Government",AS107="Corporate"),(AK107*AB107/'SFC Report'!$C$20),"")</f>
        <v>3.0770968655409563E-2</v>
      </c>
      <c r="BC107" s="174" t="str">
        <f>IF(OR(T107="Cash",T107="Cash Adjustments", T107="FX Forward", T107="Repo", T107="Equity", T107="M-Mkt"), "", _xll.BDP(R107&amp;" FIGI", $BC$1))</f>
        <v>10/29/2026</v>
      </c>
      <c r="BD107" s="125">
        <f ca="1">IF(OR(T107="Cash",T107="Cash Adjustments",T107="FX Forward",T107="Repo", T107="Equity", T107="M-Mkt"),"",(BC107-'SFC Report'!$B$13)/365)</f>
        <v>6.5013698630136982</v>
      </c>
      <c r="BE107" s="82" t="str">
        <f t="shared" ca="1" si="18"/>
        <v>5 - 7 yrs</v>
      </c>
      <c r="BF107" s="5">
        <f ca="1">IF(BC107="","",BD107*AB107/'SFC Report'!$C$20)</f>
        <v>1.5388726790155299E-2</v>
      </c>
      <c r="BG107" s="14" cm="1">
        <f t="array" ref="BG107">IF(OR(AS107="Corporate",AS107="Government"),_xll.BDP(G107&amp;" ISIN", $BG$1),"")</f>
        <v>1.3733791975132534</v>
      </c>
      <c r="BH107" s="140">
        <f>IF(OR(AS107="Corporate",AS107="Government"),BG107*BN107/'SFC Report'!$C$20,"")</f>
        <v>3.2507852491286044E-3</v>
      </c>
      <c r="BI107" s="140">
        <f>IF(OR(AS107="Corporate",AS107="Government"),_xll.BDP(G107&amp;" ISIN", $BI$1),"")</f>
        <v>2.9340676283150273</v>
      </c>
      <c r="BJ107" s="140">
        <f>IF(OR(AS107="Corporate",AS107="Government"),BI107*AB107/'SFC Report'!$C$20,"")</f>
        <v>6.94493100182566E-3</v>
      </c>
      <c r="BK107" s="153" t="str">
        <f>IF(OR(T107="Cash",T107="Cash Adjustments"),"-",_xll.BDP(R107&amp;" FIGI",$BK$1))</f>
        <v>XS1402194952</v>
      </c>
      <c r="BL107" s="11" t="str">
        <f>IF(OR(AS107="Cash", AS107="Cash Adjustments"),"-",IF(ISNA(VLOOKUP(BK107,'BBG - VaR Data (Sample, Indus )'!C:N,5,0)),"-",VLOOKUP(BK107,'BBG - VaR Data (Sample, Indus )'!C:N,5,0)))</f>
        <v>-</v>
      </c>
      <c r="BM107" s="11">
        <f>IF(OR(AS107="Cash", AS107="Cash Adjustments"),"-",IF(ISNA(VLOOKUP(BK107,'BBG - Scenarios (Sample View)'!C:Z,14,0)),"-",VLOOKUP(BK107,'BBG - Scenarios (Sample View)'!C:Z,14,0)))</f>
        <v>-3.25</v>
      </c>
      <c r="BN107" s="14">
        <f t="shared" si="16"/>
        <v>1302867.4200206399</v>
      </c>
      <c r="BO107" s="1">
        <f t="shared" si="17"/>
        <v>2.5557684054726727E-3</v>
      </c>
      <c r="BP107" t="str">
        <f>IF(BC107&lt;&gt;0,MaturityBucket(BG107),"")</f>
        <v>1 - 2 yrs</v>
      </c>
      <c r="BQ107" s="11" t="str">
        <f>IF(OR(T107="Cash",T107="Cash Adjustments"),T107,VLOOKUP(AL107,'SFC Classifcation'!$A:$C,2,0))</f>
        <v>Malaysia</v>
      </c>
      <c r="BR107" s="1" t="e">
        <f>IF(S107="Bond",BH107/'SFC Report'!$B$7,"")</f>
        <v>#VALUE!</v>
      </c>
      <c r="BS107" t="str">
        <f>IF(OR(T107="Cash",T107="Cash Adjustments"),"-",_xll.BDP(R107&amp;" FIGI",$BS$1))</f>
        <v>4/26/2016</v>
      </c>
      <c r="BT107" t="str">
        <f>IF(OR(T107="Cash",T107="Cash Adjustments"),"-",_xll.BDP(R107&amp;" FIGI",$BT$1))</f>
        <v>4/21/2016</v>
      </c>
      <c r="BU107" t="str">
        <f>IF(OR(T107="Cash",T107="Cash Adjustments"),"-",_xll.BDP(R107&amp;" FIGI",$BU$1))</f>
        <v>#N/A N/A</v>
      </c>
    </row>
    <row r="108" spans="1:73">
      <c r="A108" s="254" t="s">
        <v>15</v>
      </c>
      <c r="B108" s="254" t="s">
        <v>25</v>
      </c>
      <c r="C108" s="254" t="s">
        <v>46</v>
      </c>
      <c r="D108" s="254" t="s">
        <v>22</v>
      </c>
      <c r="E108" s="254"/>
      <c r="F108" s="254" t="s">
        <v>1325</v>
      </c>
      <c r="G108" s="254" t="s">
        <v>1326</v>
      </c>
      <c r="H108" s="270">
        <v>3200000</v>
      </c>
      <c r="I108" s="270">
        <v>80.668999999999997</v>
      </c>
      <c r="J108" s="270">
        <v>3330000</v>
      </c>
      <c r="K108" s="270">
        <v>25883937</v>
      </c>
      <c r="L108" s="270">
        <v>-5877508.7199999997</v>
      </c>
      <c r="M108" s="270">
        <v>459156.3</v>
      </c>
      <c r="N108" s="270">
        <v>20006428.280000001</v>
      </c>
      <c r="O108" s="255">
        <v>4.4000000000000003E-3</v>
      </c>
      <c r="P108" s="1"/>
      <c r="Q108" s="1" t="str">
        <f t="shared" si="11"/>
        <v>Investments</v>
      </c>
      <c r="R108" s="1" t="str">
        <f>_xll.BDP(G108&amp;" ISIN",$R$1)</f>
        <v>BBG00LSR9049</v>
      </c>
      <c r="S108" s="1" t="str">
        <f>IF(Q108="Cash",Q108,IF(OR(Q108="Receivable Investments",Q108="Payable Investments"),"Cash Adjustments",_xll.BDP(R108&amp;" FIGI",$S$1)))</f>
        <v>BOND</v>
      </c>
      <c r="T108" s="1" t="str">
        <f>IF(Q108="Cash",Q108,IF(OR(Q108="Receivable Investments",Q108="Payable Investments"),"Cash Adjustments",VLOOKUP(R108,LQA!E:S,3,0)))</f>
        <v>Corp</v>
      </c>
      <c r="U108" s="1" t="str">
        <f>IF(Q108="Cash",Q108,IF(OR(Q108="Receivable Investments",Q108="Payable Investments"),"Cash Adjustments",_xll.BDP(R108&amp;" FIGI",$U$1)))</f>
        <v>#N/A Field Not Applicable</v>
      </c>
      <c r="V108" s="10">
        <f>IF(OR(Q108="Cash",Q108="Receivable Investments",Q108="Payable Investments"),0,IF(Q108="Investments",VLOOKUP(R108,LQA!E:Q,12,0),"Not Covered"))</f>
        <v>1.8</v>
      </c>
      <c r="W108" s="76">
        <f>IF(OR(Q108="Cash",Q108="Receivable Investments",Q108="Payable Investments"),0,IF(Q108="Investments",VLOOKUP(R108,LQA!E:Q,9,0),"Not Covered"))</f>
        <v>1.0588E-2</v>
      </c>
      <c r="X108" s="13" t="str">
        <f>IF(OR(H108=0,T108="Comdty"),"High",IF(V108&lt;='Liquidity Bucket'!$A$4,'Liquidity Bucket'!$I$4,IF(V108&lt;='Liquidity Bucket'!$A$5,'Liquidity Bucket'!$I$5,IF(V108&lt;='Liquidity Bucket'!$A$6,'Liquidity Bucket'!$I$6,IF(V108='Liquidity Bucket'!$A$8,'Liquidity Bucket'!$I$8,'Liquidity Bucket'!$I$7)))))</f>
        <v>High</v>
      </c>
      <c r="Y108" s="153">
        <f>IF(OR(Q108="Cash",Q108="Receivable Investments",Q108="Payable Investments"),0,IF(Q108="Investments",VLOOKUP(R108,'LQA Stress'!E:Q,12,0),"Not Covered"))</f>
        <v>5.7</v>
      </c>
      <c r="Z108" s="75">
        <f>IF(OR(Q108="Cash",Q108="Receivable Investments",Q108="Payable Investments"),0,IF(Q108="Investments",VLOOKUP(R108,'LQA Stress'!E:Q,9,0),"Not Covered"))</f>
        <v>2.6519999999999998E-2</v>
      </c>
      <c r="AA108" s="13" t="str">
        <f>IF(T108="Comdty","High",IF(Y108&lt;='Liquidity Bucket'!$A$4,'Liquidity Bucket'!$I$4,IF(Y108&lt;='Liquidity Bucket'!$A$5,'Liquidity Bucket'!$I$5,IF(Y108&lt;='Liquidity Bucket'!$A$6,'Liquidity Bucket'!$I$6,IF(Y108='Liquidity Bucket'!$A$8,'Liquidity Bucket'!$I$8,'Liquidity Bucket'!$I$7)))))</f>
        <v>Medium</v>
      </c>
      <c r="AB108" s="14">
        <f>(N108+M108)/'FX Rates'!$C$5</f>
        <v>2640039.2905056761</v>
      </c>
      <c r="AC108" s="15" t="str">
        <f>IF(X108="Not Covered", (H108/_xll.BDP(R108&amp;" FIGI",$AC$1)),"")</f>
        <v/>
      </c>
      <c r="AD108" s="16" t="str">
        <f>IF(X108="Not Covered", _xll.BDP(R108&amp;" FIGI",$AD$1),"")</f>
        <v/>
      </c>
      <c r="AE108" s="16" t="str">
        <f>IF(OR(T108="Corp",T108="Govt"),IF(_xll.BDP(R108&amp;" FIGI",$AE$1)="#N/A N/A","",_xll.BDP(R108&amp;" FIGI",$AE$1)),"")</f>
        <v>B- *-</v>
      </c>
      <c r="AF108" s="1" t="str">
        <f>IF(OR(T108="Corp",T108="Govt"),IF(_xll.BDP(R108&amp;" FIGI",$AF$1)="#N/A N/A","",_xll.BDP(R108&amp;" FIGI",$AF$1)),"")</f>
        <v>B3</v>
      </c>
      <c r="AG108" s="16" t="str">
        <f>IF(OR(T108="Corp",T108="Govt"),IF(_xll.BDP(R108&amp;" FIGI",$AG$1)="#N/A N/A","",_xll.BDP(R108&amp;" FIGI",$AG$1)),"")</f>
        <v>B *-</v>
      </c>
      <c r="AH108" s="125">
        <f>IF(OR(S108="Cash",S108="M-Mkt"),21,IF(AE108="",0,VLOOKUP(AE108,'Rating Scale'!A:B,2,0)))</f>
        <v>6</v>
      </c>
      <c r="AI108" s="125">
        <f>IF(OR(S108="Cash",S108="M-Mkt"),21,IF(AF108="",0,VLOOKUP(AF108,'Rating Scale'!D:E,2,0)))</f>
        <v>6</v>
      </c>
      <c r="AJ108" s="125">
        <f>IF(OR(S108="Cash",S108="M-Mkt"),21,IF(AG108="",0,VLOOKUP(AG108,'Rating Scale'!G:H,2,0)))</f>
        <v>7</v>
      </c>
      <c r="AK108">
        <f t="shared" ref="AK108:AK148" si="19">Rating(AH108,AI108,AJ108)</f>
        <v>6</v>
      </c>
      <c r="AL108" s="1" t="str">
        <f>IF(OR(U108="Cash",U108="Cash Adjustments"),_xll.BDP(G108&amp;" Curncy","Country"),IF(T108="Equity",_xll.BDP(R108&amp;" FIGI","CNTRY_ISSUE_ISO"),_xll.BDP(R108&amp;" FIGI",$AL$1)))</f>
        <v>ID</v>
      </c>
      <c r="AM108" s="126" t="str">
        <f>IF(OR(T108="Cash",T108="Cash Adjustments",T108="M-Mkt"), T108, IF(T108="Comdty",AS108, _xll.BDP(R108&amp;" FIGI", $AM$1)))</f>
        <v>Financial</v>
      </c>
      <c r="AN108" s="126" t="str">
        <f>IF(OR(T108="Cash",T108="Cash Adjustments",T108="M-Mkt"), T108,  IF(T108="Comdty",AS108,_xll.BDP(R108&amp;" FIGI", $AN$1)))</f>
        <v>Real Estate</v>
      </c>
      <c r="AO108" s="126" t="str">
        <f>IF(OR(T108="Cash",T108="Cash Adjustments",T108="M-Mkt"), T108,  IF(T108="Comdty",AS108,_xll.BDP(R108&amp;" FIGI", $AO$1)))</f>
        <v>Real Estate Oper/Develop</v>
      </c>
      <c r="AP108" s="13" t="str">
        <f>IF(OR(T108="Cash",T108="Cash Adjustments"), T108, IF(_xll.BDP(R108&amp;" FIGI", $AP$1)="#N/A Field Not Applicable","N",_xll.BDP(R108&amp;" FIGI", $AP$1)))</f>
        <v>N</v>
      </c>
      <c r="AQ108" s="1" t="str">
        <f>IF(OR(T108="Cash",T108="Cash Adjustments"), T108, IF(_xll.BDP(R108&amp;" FIGI", $AQ$1)="#N/A Field Not Applicable"," ",_xll.BDP(R108&amp;" FIGI", $AQ$1)))</f>
        <v xml:space="preserve"> </v>
      </c>
      <c r="AR108" s="1" t="str">
        <f>IF(OR(T108="Cash",T108="Cash Adjustments"), T108, IF(_xll.BDP(R108&amp;" FIGI", $AR$1)="#N/A Field Not Applicable"," ",_xll.BDP(R108&amp;" FIGI", $AR$1)))</f>
        <v>ACTV</v>
      </c>
      <c r="AS108" s="1" t="str">
        <f>VLOOKUP(T108,'SFC Classifcation'!$F$2:$H$7,3,0)</f>
        <v>Corporate</v>
      </c>
      <c r="AT108" s="22" t="str">
        <f t="shared" si="12"/>
        <v>Financial</v>
      </c>
      <c r="AU108" s="1" t="str">
        <f t="shared" si="13"/>
        <v>Non-Investment Grade</v>
      </c>
      <c r="AV108" s="1" t="str">
        <f>IF(OR(T108="Cash",T108="Cash Adjustments"),T108,VLOOKUP(AL108,'SFC Classifcation'!$A:$C,3,0))</f>
        <v>Asia - others (1)</v>
      </c>
      <c r="AW108" s="22" t="str">
        <f t="shared" si="14"/>
        <v>High</v>
      </c>
      <c r="AX108" s="22" t="str">
        <f t="shared" si="15"/>
        <v>Medium</v>
      </c>
      <c r="AY108" s="45" t="str">
        <f>IF(OR(T108="Cash",T108="Cash Adjustments"), T108, _xll.BDP(R108&amp;" FIGI", $AY$1))</f>
        <v>#N/A Field Not Applicable</v>
      </c>
      <c r="AZ108" s="45" t="str">
        <f>IF(OR(T108="Cash",T108="Cash Adjustments"), T108, _xll.BDP(R108&amp;" FIGI", $AZ$1))</f>
        <v>SPECIAL PURPOSE</v>
      </c>
      <c r="BA108" s="45" t="str">
        <f>IF(OR(T108="Cash",T108="Cash Adjustments"), T108, _xll.BDP(R108&amp;" FIGI", $BA$1))</f>
        <v>#N/A Field Not Applicable</v>
      </c>
      <c r="BB108" s="16">
        <f>IF(OR(AS108="Government",AS108="Corporate"),(AK108*AB108/'SFC Report'!$C$20),"")</f>
        <v>2.8777908814713739E-2</v>
      </c>
      <c r="BC108" s="174" t="str">
        <f>IF(OR(T108="Cash",T108="Cash Adjustments", T108="FX Forward", T108="Repo", T108="Equity", T108="M-Mkt"), "", _xll.BDP(R108&amp;" FIGI", $BC$1))</f>
        <v>8/30/2021</v>
      </c>
      <c r="BD108" s="125">
        <f ca="1">IF(OR(T108="Cash",T108="Cash Adjustments",T108="FX Forward",T108="Repo", T108="Equity", T108="M-Mkt"),"",(BC108-'SFC Report'!$B$13)/365)</f>
        <v>1.3342465753424657</v>
      </c>
      <c r="BE108" s="82" t="str">
        <f t="shared" ca="1" si="18"/>
        <v>1 - 2 yrs</v>
      </c>
      <c r="BF108" s="5">
        <f ca="1">IF(BC108="","",BD108*AB108/'SFC Report'!$C$20)</f>
        <v>6.3994710469249269E-3</v>
      </c>
      <c r="BG108" s="14" cm="1">
        <f t="array" ref="BG108">IF(OR(AS108="Corporate",AS108="Government"),_xll.BDP(G108&amp;" ISIN", $BG$1),"")</f>
        <v>1.0167287009351149</v>
      </c>
      <c r="BH108" s="140">
        <f>IF(OR(AS108="Corporate",AS108="Government"),BG108*BN108/'SFC Report'!$C$20,"")</f>
        <v>4.876554307468849E-3</v>
      </c>
      <c r="BI108" s="140">
        <f>IF(OR(AS108="Corporate",AS108="Government"),_xll.BDP(G108&amp;" ISIN", $BI$1),"")</f>
        <v>30.442064682618796</v>
      </c>
      <c r="BJ108" s="140">
        <f>IF(OR(AS108="Corporate",AS108="Government"),BI108*AB108/'SFC Report'!$C$20,"")</f>
        <v>0.14600982692800354</v>
      </c>
      <c r="BK108" s="153" t="str">
        <f>IF(OR(T108="Cash",T108="Cash Adjustments"),"-",_xll.BDP(R108&amp;" FIGI",$BK$1))</f>
        <v>XS1871087133</v>
      </c>
      <c r="BL108" s="11" t="str">
        <f>IF(OR(AS108="Cash", AS108="Cash Adjustments"),"-",IF(ISNA(VLOOKUP(BK108,'BBG - VaR Data (Sample, Indus )'!C:N,5,0)),"-",VLOOKUP(BK108,'BBG - VaR Data (Sample, Indus )'!C:N,5,0)))</f>
        <v>-</v>
      </c>
      <c r="BM108" s="11">
        <f>IF(OR(AS108="Cash", AS108="Cash Adjustments"),"-",IF(ISNA(VLOOKUP(BK108,'BBG - Scenarios (Sample View)'!C:Z,14,0)),"-",VLOOKUP(BK108,'BBG - Scenarios (Sample View)'!C:Z,14,0)))</f>
        <v>-4.76</v>
      </c>
      <c r="BN108" s="14">
        <f t="shared" si="16"/>
        <v>2640039.2905056761</v>
      </c>
      <c r="BO108" s="1">
        <f t="shared" si="17"/>
        <v>5.1788300975198287E-3</v>
      </c>
      <c r="BP108" t="str">
        <f>IF(BC108&lt;&gt;0,MaturityBucket(BG108),"")</f>
        <v>1 - 2 yrs</v>
      </c>
      <c r="BQ108" s="11" t="str">
        <f>IF(OR(T108="Cash",T108="Cash Adjustments"),T108,VLOOKUP(AL108,'SFC Classifcation'!$A:$C,2,0))</f>
        <v>Indonesia</v>
      </c>
      <c r="BR108" s="1" t="e">
        <f>IF(S108="Bond",BH108/'SFC Report'!$B$7,"")</f>
        <v>#VALUE!</v>
      </c>
      <c r="BS108" t="str">
        <f>IF(OR(T108="Cash",T108="Cash Adjustments"),"-",_xll.BDP(R108&amp;" FIGI",$BS$1))</f>
        <v>4/7/2020</v>
      </c>
      <c r="BT108" t="str">
        <f>IF(OR(T108="Cash",T108="Cash Adjustments"),"-",_xll.BDP(R108&amp;" FIGI",$BT$1))</f>
        <v>4/8/2020</v>
      </c>
      <c r="BU108" t="str">
        <f>IF(OR(T108="Cash",T108="Cash Adjustments"),"-",_xll.BDP(R108&amp;" FIGI",$BU$1))</f>
        <v>4/23/2020</v>
      </c>
    </row>
    <row r="109" spans="1:73">
      <c r="A109" s="254" t="s">
        <v>15</v>
      </c>
      <c r="B109" s="254" t="s">
        <v>25</v>
      </c>
      <c r="C109" s="254" t="s">
        <v>46</v>
      </c>
      <c r="D109" s="254" t="s">
        <v>22</v>
      </c>
      <c r="E109" s="254"/>
      <c r="F109" s="254" t="s">
        <v>1114</v>
      </c>
      <c r="G109" s="254" t="s">
        <v>1115</v>
      </c>
      <c r="H109" s="270">
        <v>4653000</v>
      </c>
      <c r="I109" s="270">
        <v>64.772000000000006</v>
      </c>
      <c r="J109" s="270">
        <v>4218247.4000000004</v>
      </c>
      <c r="K109" s="270">
        <v>33001027.699999999</v>
      </c>
      <c r="L109" s="270">
        <v>-9643155.9399999995</v>
      </c>
      <c r="M109" s="270">
        <v>118352.43</v>
      </c>
      <c r="N109" s="270">
        <v>23357871.760000002</v>
      </c>
      <c r="O109" s="255">
        <v>5.1000000000000004E-3</v>
      </c>
      <c r="P109" s="1"/>
      <c r="Q109" s="1" t="str">
        <f t="shared" si="11"/>
        <v>Investments</v>
      </c>
      <c r="R109" s="1" t="str">
        <f>_xll.BDP(G109&amp;" ISIN",$R$1)</f>
        <v>BBG00GDDS1Y1</v>
      </c>
      <c r="S109" s="1" t="str">
        <f>IF(Q109="Cash",Q109,IF(OR(Q109="Receivable Investments",Q109="Payable Investments"),"Cash Adjustments",_xll.BDP(R109&amp;" FIGI",$S$1)))</f>
        <v>BOND</v>
      </c>
      <c r="T109" s="1" t="str">
        <f>IF(Q109="Cash",Q109,IF(OR(Q109="Receivable Investments",Q109="Payable Investments"),"Cash Adjustments",VLOOKUP(R109,LQA!E:S,3,0)))</f>
        <v>Corp</v>
      </c>
      <c r="U109" s="1" t="str">
        <f>IF(Q109="Cash",Q109,IF(OR(Q109="Receivable Investments",Q109="Payable Investments"),"Cash Adjustments",_xll.BDP(R109&amp;" FIGI",$U$1)))</f>
        <v>#N/A Field Not Applicable</v>
      </c>
      <c r="V109" s="10">
        <f>IF(OR(Q109="Cash",Q109="Receivable Investments",Q109="Payable Investments"),0,IF(Q109="Investments",VLOOKUP(R109,LQA!E:Q,12,0),"Not Covered"))</f>
        <v>1.5</v>
      </c>
      <c r="W109" s="76">
        <f>IF(OR(Q109="Cash",Q109="Receivable Investments",Q109="Payable Investments"),0,IF(Q109="Investments",VLOOKUP(R109,LQA!E:Q,9,0),"Not Covered"))</f>
        <v>3.0758000000000001E-2</v>
      </c>
      <c r="X109" s="13" t="str">
        <f>IF(OR(H109=0,T109="Comdty"),"High",IF(V109&lt;='Liquidity Bucket'!$A$4,'Liquidity Bucket'!$I$4,IF(V109&lt;='Liquidity Bucket'!$A$5,'Liquidity Bucket'!$I$5,IF(V109&lt;='Liquidity Bucket'!$A$6,'Liquidity Bucket'!$I$6,IF(V109='Liquidity Bucket'!$A$8,'Liquidity Bucket'!$I$8,'Liquidity Bucket'!$I$7)))))</f>
        <v>High</v>
      </c>
      <c r="Y109" s="153">
        <f>IF(OR(Q109="Cash",Q109="Receivable Investments",Q109="Payable Investments"),0,IF(Q109="Investments",VLOOKUP(R109,'LQA Stress'!E:Q,12,0),"Not Covered"))</f>
        <v>6.8</v>
      </c>
      <c r="Z109" s="75">
        <f>IF(OR(Q109="Cash",Q109="Receivable Investments",Q109="Payable Investments"),0,IF(Q109="Investments",VLOOKUP(R109,'LQA Stress'!E:Q,9,0),"Not Covered"))</f>
        <v>7.9551999999999998E-2</v>
      </c>
      <c r="AA109" s="13" t="str">
        <f>IF(T109="Comdty","High",IF(Y109&lt;='Liquidity Bucket'!$A$4,'Liquidity Bucket'!$I$4,IF(Y109&lt;='Liquidity Bucket'!$A$5,'Liquidity Bucket'!$I$5,IF(Y109&lt;='Liquidity Bucket'!$A$6,'Liquidity Bucket'!$I$6,IF(Y109='Liquidity Bucket'!$A$8,'Liquidity Bucket'!$I$8,'Liquidity Bucket'!$I$7)))))</f>
        <v>Medium</v>
      </c>
      <c r="AB109" s="14">
        <f>(N109+M109)/'FX Rates'!$C$5</f>
        <v>3028408.6932404544</v>
      </c>
      <c r="AC109" s="15" t="str">
        <f>IF(X109="Not Covered", (H109/_xll.BDP(R109&amp;" FIGI",$AC$1)),"")</f>
        <v/>
      </c>
      <c r="AD109" s="16" t="str">
        <f>IF(X109="Not Covered", _xll.BDP(R109&amp;" FIGI",$AD$1),"")</f>
        <v/>
      </c>
      <c r="AE109" s="16" t="str">
        <f>IF(OR(T109="Corp",T109="Govt"),IF(_xll.BDP(R109&amp;" FIGI",$AE$1)="#N/A N/A","",_xll.BDP(R109&amp;" FIGI",$AE$1)),"")</f>
        <v>B- *-</v>
      </c>
      <c r="AF109" s="1" t="str">
        <f>IF(OR(T109="Corp",T109="Govt"),IF(_xll.BDP(R109&amp;" FIGI",$AF$1)="#N/A N/A","",_xll.BDP(R109&amp;" FIGI",$AF$1)),"")</f>
        <v>B3</v>
      </c>
      <c r="AG109" s="16" t="str">
        <f>IF(OR(T109="Corp",T109="Govt"),IF(_xll.BDP(R109&amp;" FIGI",$AG$1)="#N/A N/A","",_xll.BDP(R109&amp;" FIGI",$AG$1)),"")</f>
        <v>B *-</v>
      </c>
      <c r="AH109" s="125">
        <f>IF(OR(S109="Cash",S109="M-Mkt"),21,IF(AE109="",0,VLOOKUP(AE109,'Rating Scale'!A:B,2,0)))</f>
        <v>6</v>
      </c>
      <c r="AI109" s="125">
        <f>IF(OR(S109="Cash",S109="M-Mkt"),21,IF(AF109="",0,VLOOKUP(AF109,'Rating Scale'!D:E,2,0)))</f>
        <v>6</v>
      </c>
      <c r="AJ109" s="125">
        <f>IF(OR(S109="Cash",S109="M-Mkt"),21,IF(AG109="",0,VLOOKUP(AG109,'Rating Scale'!G:H,2,0)))</f>
        <v>7</v>
      </c>
      <c r="AK109">
        <f>Rating(AH109,AI109,AJ109)</f>
        <v>6</v>
      </c>
      <c r="AL109" s="1" t="str">
        <f>IF(OR(U109="Cash",U109="Cash Adjustments"),_xll.BDP(G109&amp;" Curncy","Country"),IF(T109="Equity",_xll.BDP(R109&amp;" FIGI","CNTRY_ISSUE_ISO"),_xll.BDP(R109&amp;" FIGI",$AL$1)))</f>
        <v>ID</v>
      </c>
      <c r="AM109" s="126" t="str">
        <f>IF(OR(T109="Cash",T109="Cash Adjustments",T109="M-Mkt"), T109, IF(T109="Comdty",AS109, _xll.BDP(R109&amp;" FIGI", $AM$1)))</f>
        <v>Financial</v>
      </c>
      <c r="AN109" s="126" t="str">
        <f>IF(OR(T109="Cash",T109="Cash Adjustments",T109="M-Mkt"), T109,  IF(T109="Comdty",AS109,_xll.BDP(R109&amp;" FIGI", $AN$1)))</f>
        <v>Real Estate</v>
      </c>
      <c r="AO109" s="126" t="str">
        <f>IF(OR(T109="Cash",T109="Cash Adjustments",T109="M-Mkt"), T109,  IF(T109="Comdty",AS109,_xll.BDP(R109&amp;" FIGI", $AO$1)))</f>
        <v>Real Estate Oper/Develop</v>
      </c>
      <c r="AP109" s="13" t="str">
        <f>IF(OR(T109="Cash",T109="Cash Adjustments"), T109, IF(_xll.BDP(R109&amp;" FIGI", $AP$1)="#N/A Field Not Applicable","N",_xll.BDP(R109&amp;" FIGI", $AP$1)))</f>
        <v>N</v>
      </c>
      <c r="AQ109" s="1" t="str">
        <f>IF(OR(T109="Cash",T109="Cash Adjustments"), T109, IF(_xll.BDP(R109&amp;" FIGI", $AQ$1)="#N/A Field Not Applicable"," ",_xll.BDP(R109&amp;" FIGI", $AQ$1)))</f>
        <v xml:space="preserve"> </v>
      </c>
      <c r="AR109" s="1" t="str">
        <f>IF(OR(T109="Cash",T109="Cash Adjustments"), T109, IF(_xll.BDP(R109&amp;" FIGI", $AR$1)="#N/A Field Not Applicable"," ",_xll.BDP(R109&amp;" FIGI", $AR$1)))</f>
        <v>ACTV</v>
      </c>
      <c r="AS109" s="1" t="str">
        <f>VLOOKUP(T109,'SFC Classifcation'!$F$2:$H$7,3,0)</f>
        <v>Corporate</v>
      </c>
      <c r="AT109" s="22" t="str">
        <f t="shared" si="12"/>
        <v>Financial</v>
      </c>
      <c r="AU109" s="1" t="str">
        <f t="shared" si="13"/>
        <v>Non-Investment Grade</v>
      </c>
      <c r="AV109" s="1" t="str">
        <f>IF(OR(T109="Cash",T109="Cash Adjustments"),T109,VLOOKUP(AL109,'SFC Classifcation'!$A:$C,3,0))</f>
        <v>Asia - others (1)</v>
      </c>
      <c r="AW109" s="22" t="str">
        <f t="shared" si="14"/>
        <v>High</v>
      </c>
      <c r="AX109" s="22" t="str">
        <f t="shared" si="15"/>
        <v>Medium</v>
      </c>
      <c r="AY109" s="45" t="str">
        <f>IF(OR(T109="Cash",T109="Cash Adjustments"), T109, _xll.BDP(R109&amp;" FIGI", $AY$1))</f>
        <v>#N/A Field Not Applicable</v>
      </c>
      <c r="AZ109" s="45" t="str">
        <f>IF(OR(T109="Cash",T109="Cash Adjustments"), T109, _xll.BDP(R109&amp;" FIGI", $AZ$1))</f>
        <v>SPECIAL PURPOSE</v>
      </c>
      <c r="BA109" s="45" t="str">
        <f>IF(OR(T109="Cash",T109="Cash Adjustments"), T109, _xll.BDP(R109&amp;" FIGI", $BA$1))</f>
        <v>#N/A Field Not Applicable</v>
      </c>
      <c r="BB109" s="16">
        <f>IF(OR(AS109="Government",AS109="Corporate"),(AK109*AB109/'SFC Report'!$C$20),"")</f>
        <v>3.3011353104168056E-2</v>
      </c>
      <c r="BC109" s="174" t="str">
        <f>IF(OR(T109="Cash",T109="Cash Adjustments", T109="FX Forward", T109="Repo", T109="Equity", T109="M-Mkt"), "", _xll.BDP(R109&amp;" FIGI", $BC$1))</f>
        <v>4/13/2024</v>
      </c>
      <c r="BD109" s="125">
        <f ca="1">IF(OR(T109="Cash",T109="Cash Adjustments",T109="FX Forward",T109="Repo", T109="Equity", T109="M-Mkt"),"",(BC109-'SFC Report'!$B$13)/365)</f>
        <v>3.956164383561644</v>
      </c>
      <c r="BE109" s="82" t="str">
        <f t="shared" ca="1" si="18"/>
        <v>3 - 5 yrs</v>
      </c>
      <c r="BF109" s="5">
        <f ca="1">IF(BC109="","",BD109*AB109/'SFC Report'!$C$20)</f>
        <v>2.17663899006478E-2</v>
      </c>
      <c r="BG109" s="14" cm="1">
        <f t="array" ref="BG109">IF(OR(AS109="Corporate",AS109="Government"),_xll.BDP(G109&amp;" ISIN", $BG$1),"")</f>
        <v>2.9103654948748852</v>
      </c>
      <c r="BH109" s="140">
        <f>IF(OR(AS109="Corporate",AS109="Government"),BG109*BN109/'SFC Report'!$C$20,"")</f>
        <v>1.601251716891694E-2</v>
      </c>
      <c r="BI109" s="140">
        <f>IF(OR(AS109="Corporate",AS109="Government"),_xll.BDP(G109&amp;" ISIN", $BI$1),"")</f>
        <v>24.244596471992722</v>
      </c>
      <c r="BJ109" s="140">
        <f>IF(OR(AS109="Corporate",AS109="Government"),BI109*AB109/'SFC Report'!$C$20,"")</f>
        <v>0.13339115583416983</v>
      </c>
      <c r="BK109" s="153" t="str">
        <f>IF(OR(T109="Cash",T109="Cash Adjustments"),"-",_xll.BDP(R109&amp;" FIGI",$BK$1))</f>
        <v>XS1592893546</v>
      </c>
      <c r="BL109" s="11" t="str">
        <f>IF(OR(AS109="Cash", AS109="Cash Adjustments"),"-",IF(ISNA(VLOOKUP(BK109,'BBG - VaR Data (Sample, Indus )'!C:N,5,0)),"-",VLOOKUP(BK109,'BBG - VaR Data (Sample, Indus )'!C:N,5,0)))</f>
        <v>-</v>
      </c>
      <c r="BM109" s="11">
        <f>IF(OR(AS109="Cash", AS109="Cash Adjustments"),"-",IF(ISNA(VLOOKUP(BK109,'BBG - Scenarios (Sample View)'!C:Z,14,0)),"-",VLOOKUP(BK109,'BBG - Scenarios (Sample View)'!C:Z,14,0)))</f>
        <v>-12.24</v>
      </c>
      <c r="BN109" s="14">
        <f t="shared" si="16"/>
        <v>3028408.6932404544</v>
      </c>
      <c r="BO109" s="1">
        <f t="shared" si="17"/>
        <v>5.9406744984997189E-3</v>
      </c>
      <c r="BP109" t="str">
        <f>IF(BC109&lt;&gt;0,MaturityBucket(BG109),"")</f>
        <v>2 - 3 yrs</v>
      </c>
      <c r="BQ109" s="11" t="str">
        <f>IF(OR(T109="Cash",T109="Cash Adjustments"),T109,VLOOKUP(AL109,'SFC Classifcation'!$A:$C,2,0))</f>
        <v>Indonesia</v>
      </c>
      <c r="BR109" s="1" t="e">
        <f>IF(S109="Bond",BH109/'SFC Report'!$B$7,"")</f>
        <v>#VALUE!</v>
      </c>
      <c r="BS109" t="str">
        <f>IF(OR(T109="Cash",T109="Cash Adjustments"),"-",_xll.BDP(R109&amp;" FIGI",$BS$1))</f>
        <v>4/7/2020</v>
      </c>
      <c r="BT109" t="str">
        <f>IF(OR(T109="Cash",T109="Cash Adjustments"),"-",_xll.BDP(R109&amp;" FIGI",$BT$1))</f>
        <v>4/8/2020</v>
      </c>
      <c r="BU109" t="str">
        <f>IF(OR(T109="Cash",T109="Cash Adjustments"),"-",_xll.BDP(R109&amp;" FIGI",$BU$1))</f>
        <v>4/23/2020</v>
      </c>
    </row>
    <row r="110" spans="1:73">
      <c r="A110" s="254" t="s">
        <v>15</v>
      </c>
      <c r="B110" s="254" t="s">
        <v>25</v>
      </c>
      <c r="C110" s="254" t="s">
        <v>46</v>
      </c>
      <c r="D110" s="254" t="s">
        <v>22</v>
      </c>
      <c r="E110" s="254"/>
      <c r="F110" s="254" t="s">
        <v>1327</v>
      </c>
      <c r="G110" s="254" t="s">
        <v>1328</v>
      </c>
      <c r="H110" s="270">
        <v>3200000</v>
      </c>
      <c r="I110" s="270">
        <v>62.8</v>
      </c>
      <c r="J110" s="270">
        <v>3197000</v>
      </c>
      <c r="K110" s="270">
        <v>24848682.5</v>
      </c>
      <c r="L110" s="270">
        <v>-9273880.5800000001</v>
      </c>
      <c r="M110" s="270">
        <v>418510.81</v>
      </c>
      <c r="N110" s="270">
        <v>15574801.92</v>
      </c>
      <c r="O110" s="255">
        <v>3.3999999999999998E-3</v>
      </c>
      <c r="P110" s="1"/>
      <c r="Q110" s="1" t="str">
        <f t="shared" si="11"/>
        <v>Investments</v>
      </c>
      <c r="R110" s="1" t="str">
        <f>_xll.BDP(G110&amp;" ISIN",$R$1)</f>
        <v>BBG00JVKTCJ1</v>
      </c>
      <c r="S110" s="1" t="str">
        <f>IF(Q110="Cash",Q110,IF(OR(Q110="Receivable Investments",Q110="Payable Investments"),"Cash Adjustments",_xll.BDP(R110&amp;" FIGI",$S$1)))</f>
        <v>BOND</v>
      </c>
      <c r="T110" s="1" t="str">
        <f>IF(Q110="Cash",Q110,IF(OR(Q110="Receivable Investments",Q110="Payable Investments"),"Cash Adjustments",VLOOKUP(R110,LQA!E:S,3,0)))</f>
        <v>Corp</v>
      </c>
      <c r="U110" s="1" t="str">
        <f>IF(Q110="Cash",Q110,IF(OR(Q110="Receivable Investments",Q110="Payable Investments"),"Cash Adjustments",_xll.BDP(R110&amp;" FIGI",$U$1)))</f>
        <v>#N/A Field Not Applicable</v>
      </c>
      <c r="V110" s="10">
        <f>IF(OR(Q110="Cash",Q110="Receivable Investments",Q110="Payable Investments"),0,IF(Q110="Investments",VLOOKUP(R110,LQA!E:Q,12,0),"Not Covered"))</f>
        <v>0.3</v>
      </c>
      <c r="W110" s="76">
        <f>IF(OR(Q110="Cash",Q110="Receivable Investments",Q110="Payable Investments"),0,IF(Q110="Investments",VLOOKUP(R110,LQA!E:Q,9,0),"Not Covered"))</f>
        <v>5.4140000000000001E-2</v>
      </c>
      <c r="X110" s="13" t="str">
        <f>IF(OR(H110=0,T110="Comdty"),"High",IF(V110&lt;='Liquidity Bucket'!$A$4,'Liquidity Bucket'!$I$4,IF(V110&lt;='Liquidity Bucket'!$A$5,'Liquidity Bucket'!$I$5,IF(V110&lt;='Liquidity Bucket'!$A$6,'Liquidity Bucket'!$I$6,IF(V110='Liquidity Bucket'!$A$8,'Liquidity Bucket'!$I$8,'Liquidity Bucket'!$I$7)))))</f>
        <v>High</v>
      </c>
      <c r="Y110" s="153">
        <f>IF(OR(Q110="Cash",Q110="Receivable Investments",Q110="Payable Investments"),0,IF(Q110="Investments",VLOOKUP(R110,'LQA Stress'!E:Q,12,0),"Not Covered"))</f>
        <v>1.9</v>
      </c>
      <c r="Z110" s="75">
        <f>IF(OR(Q110="Cash",Q110="Receivable Investments",Q110="Payable Investments"),0,IF(Q110="Investments",VLOOKUP(R110,'LQA Stress'!E:Q,9,0),"Not Covered"))</f>
        <v>0.14280399999999999</v>
      </c>
      <c r="AA110" s="13" t="str">
        <f>IF(T110="Comdty","High",IF(Y110&lt;='Liquidity Bucket'!$A$4,'Liquidity Bucket'!$I$4,IF(Y110&lt;='Liquidity Bucket'!$A$5,'Liquidity Bucket'!$I$5,IF(Y110&lt;='Liquidity Bucket'!$A$6,'Liquidity Bucket'!$I$6,IF(Y110='Liquidity Bucket'!$A$8,'Liquidity Bucket'!$I$8,'Liquidity Bucket'!$I$7)))))</f>
        <v>High</v>
      </c>
      <c r="AB110" s="14">
        <f>(N110+M110)/'FX Rates'!$C$5</f>
        <v>2063120.8372033024</v>
      </c>
      <c r="AC110" s="15" t="str">
        <f>IF(X110="Not Covered", (H110/_xll.BDP(R110&amp;" FIGI",$AC$1)),"")</f>
        <v/>
      </c>
      <c r="AD110" s="16" t="str">
        <f>IF(X110="Not Covered", _xll.BDP(R110&amp;" FIGI",$AD$1),"")</f>
        <v/>
      </c>
      <c r="AE110" s="16" t="str">
        <f>IF(OR(T110="Corp",T110="Govt"),IF(_xll.BDP(R110&amp;" FIGI",$AE$1)="#N/A N/A","",_xll.BDP(R110&amp;" FIGI",$AE$1)),"")</f>
        <v>B+</v>
      </c>
      <c r="AF110" s="1" t="str">
        <f>IF(OR(T110="Corp",T110="Govt"),IF(_xll.BDP(R110&amp;" FIGI",$AF$1)="#N/A N/A","",_xll.BDP(R110&amp;" FIGI",$AF$1)),"")</f>
        <v>B1</v>
      </c>
      <c r="AG110" s="16" t="str">
        <f>IF(OR(T110="Corp",T110="Govt"),IF(_xll.BDP(R110&amp;" FIGI",$AG$1)="#N/A N/A","",_xll.BDP(R110&amp;" FIGI",$AG$1)),"")</f>
        <v>B+</v>
      </c>
      <c r="AH110" s="125">
        <f>IF(OR(S110="Cash",S110="M-Mkt"),21,IF(AE110="",0,VLOOKUP(AE110,'Rating Scale'!A:B,2,0)))</f>
        <v>8</v>
      </c>
      <c r="AI110" s="125">
        <f>IF(OR(S110="Cash",S110="M-Mkt"),21,IF(AF110="",0,VLOOKUP(AF110,'Rating Scale'!D:E,2,0)))</f>
        <v>8</v>
      </c>
      <c r="AJ110" s="125">
        <f>IF(OR(S110="Cash",S110="M-Mkt"),21,IF(AG110="",0,VLOOKUP(AG110,'Rating Scale'!G:H,2,0)))</f>
        <v>8</v>
      </c>
      <c r="AK110">
        <f t="shared" si="19"/>
        <v>8</v>
      </c>
      <c r="AL110" s="1" t="str">
        <f>IF(OR(U110="Cash",U110="Cash Adjustments"),_xll.BDP(G110&amp;" Curncy","Country"),IF(T110="Equity",_xll.BDP(R110&amp;" FIGI","CNTRY_ISSUE_ISO"),_xll.BDP(R110&amp;" FIGI",$AL$1)))</f>
        <v>ID</v>
      </c>
      <c r="AM110" s="126" t="str">
        <f>IF(OR(T110="Cash",T110="Cash Adjustments",T110="M-Mkt"), T110, IF(T110="Comdty",AS110, _xll.BDP(R110&amp;" FIGI", $AM$1)))</f>
        <v>Energy</v>
      </c>
      <c r="AN110" s="126" t="str">
        <f>IF(OR(T110="Cash",T110="Cash Adjustments",T110="M-Mkt"), T110,  IF(T110="Comdty",AS110,_xll.BDP(R110&amp;" FIGI", $AN$1)))</f>
        <v>Oil&amp;Gas</v>
      </c>
      <c r="AO110" s="126" t="str">
        <f>IF(OR(T110="Cash",T110="Cash Adjustments",T110="M-Mkt"), T110,  IF(T110="Comdty",AS110,_xll.BDP(R110&amp;" FIGI", $AO$1)))</f>
        <v>Oil Comp-Explor&amp;Prodtn</v>
      </c>
      <c r="AP110" s="13" t="str">
        <f>IF(OR(T110="Cash",T110="Cash Adjustments"), T110, IF(_xll.BDP(R110&amp;" FIGI", $AP$1)="#N/A Field Not Applicable","N",_xll.BDP(R110&amp;" FIGI", $AP$1)))</f>
        <v>N</v>
      </c>
      <c r="AQ110" s="1" t="str">
        <f>IF(OR(T110="Cash",T110="Cash Adjustments"), T110, IF(_xll.BDP(R110&amp;" FIGI", $AQ$1)="#N/A Field Not Applicable"," ",_xll.BDP(R110&amp;" FIGI", $AQ$1)))</f>
        <v xml:space="preserve"> </v>
      </c>
      <c r="AR110" s="1" t="str">
        <f>IF(OR(T110="Cash",T110="Cash Adjustments"), T110, IF(_xll.BDP(R110&amp;" FIGI", $AR$1)="#N/A Field Not Applicable"," ",_xll.BDP(R110&amp;" FIGI", $AR$1)))</f>
        <v>ACTV</v>
      </c>
      <c r="AS110" s="1" t="str">
        <f>VLOOKUP(T110,'SFC Classifcation'!$F$2:$H$7,3,0)</f>
        <v>Corporate</v>
      </c>
      <c r="AT110" s="22" t="str">
        <f t="shared" si="12"/>
        <v>Non-Financial</v>
      </c>
      <c r="AU110" s="1" t="str">
        <f t="shared" si="13"/>
        <v>Non-Investment Grade</v>
      </c>
      <c r="AV110" s="1" t="str">
        <f>IF(OR(T110="Cash",T110="Cash Adjustments"),T110,VLOOKUP(AL110,'SFC Classifcation'!$A:$C,3,0))</f>
        <v>Asia - others (1)</v>
      </c>
      <c r="AW110" s="22" t="str">
        <f t="shared" si="14"/>
        <v>High</v>
      </c>
      <c r="AX110" s="22" t="str">
        <f t="shared" si="15"/>
        <v>High</v>
      </c>
      <c r="AY110" s="45" t="str">
        <f>IF(OR(T110="Cash",T110="Cash Adjustments"), T110, _xll.BDP(R110&amp;" FIGI", $AY$1))</f>
        <v>#N/A Field Not Applicable</v>
      </c>
      <c r="AZ110" s="45" t="str">
        <f>IF(OR(T110="Cash",T110="Cash Adjustments"), T110, _xll.BDP(R110&amp;" FIGI", $AZ$1))</f>
        <v>INDUSTRIAL</v>
      </c>
      <c r="BA110" s="45" t="str">
        <f>IF(OR(T110="Cash",T110="Cash Adjustments"), T110, _xll.BDP(R110&amp;" FIGI", $BA$1))</f>
        <v>#N/A Field Not Applicable</v>
      </c>
      <c r="BB110" s="16">
        <f>IF(OR(AS110="Government",AS110="Corporate"),(AK110*AB110/'SFC Report'!$C$20),"")</f>
        <v>2.9985565513004301E-2</v>
      </c>
      <c r="BC110" s="174" t="str">
        <f>IF(OR(T110="Cash",T110="Cash Adjustments", T110="FX Forward", T110="Repo", T110="Equity", T110="M-Mkt"), "", _xll.BDP(R110&amp;" FIGI", $BC$1))</f>
        <v>1/30/2025</v>
      </c>
      <c r="BD110" s="125">
        <f ca="1">IF(OR(T110="Cash",T110="Cash Adjustments",T110="FX Forward",T110="Repo", T110="Equity", T110="M-Mkt"),"",(BC110-'SFC Report'!$B$13)/365)</f>
        <v>4.7561643835616438</v>
      </c>
      <c r="BE110" s="82" t="str">
        <f t="shared" ca="1" si="18"/>
        <v>3 - 5 yrs</v>
      </c>
      <c r="BF110" s="5">
        <f ca="1">IF(BC110="","",BD110*AB110/'SFC Report'!$C$20)</f>
        <v>1.7827034839238174E-2</v>
      </c>
      <c r="BG110" s="14" cm="1">
        <f t="array" ref="BG110">IF(OR(AS110="Corporate",AS110="Government"),_xll.BDP(G110&amp;" ISIN", $BG$1),"")</f>
        <v>3.7538589785483225</v>
      </c>
      <c r="BH110" s="140">
        <f>IF(OR(AS110="Corporate",AS110="Government"),BG110*BN110/'SFC Report'!$C$20,"")</f>
        <v>1.4070198040980015E-2</v>
      </c>
      <c r="BI110" s="140">
        <f>IF(OR(AS110="Corporate",AS110="Government"),_xll.BDP(G110&amp;" ISIN", $BI$1),"")</f>
        <v>10.087844429298356</v>
      </c>
      <c r="BJ110" s="140">
        <f>IF(OR(AS110="Corporate",AS110="Government"),BI110*AB110/'SFC Report'!$C$20,"")</f>
        <v>3.7811215002465162E-2</v>
      </c>
      <c r="BK110" s="153" t="str">
        <f>IF(OR(T110="Cash",T110="Cash Adjustments"),"-",_xll.BDP(R110&amp;" FIGI",$BK$1))</f>
        <v>USY59505AA82</v>
      </c>
      <c r="BL110" s="11" t="str">
        <f>IF(OR(AS110="Cash", AS110="Cash Adjustments"),"-",IF(ISNA(VLOOKUP(BK110,'BBG - VaR Data (Sample, Indus )'!C:N,5,0)),"-",VLOOKUP(BK110,'BBG - VaR Data (Sample, Indus )'!C:N,5,0)))</f>
        <v>-</v>
      </c>
      <c r="BM110" s="11">
        <f>IF(OR(AS110="Cash", AS110="Cash Adjustments"),"-",IF(ISNA(VLOOKUP(BK110,'BBG - Scenarios (Sample View)'!C:Z,14,0)),"-",VLOOKUP(BK110,'BBG - Scenarios (Sample View)'!C:Z,14,0)))</f>
        <v>-8.18</v>
      </c>
      <c r="BN110" s="14">
        <f t="shared" si="16"/>
        <v>2063120.8372033024</v>
      </c>
      <c r="BO110" s="1">
        <f t="shared" si="17"/>
        <v>4.0471186640870932E-3</v>
      </c>
      <c r="BP110" t="str">
        <f>IF(BC110&lt;&gt;0,MaturityBucket(BG110),"")</f>
        <v>3 - 5 yrs</v>
      </c>
      <c r="BQ110" s="11" t="str">
        <f>IF(OR(T110="Cash",T110="Cash Adjustments"),T110,VLOOKUP(AL110,'SFC Classifcation'!$A:$C,2,0))</f>
        <v>Indonesia</v>
      </c>
      <c r="BR110" s="1" t="e">
        <f>IF(S110="Bond",BH110/'SFC Report'!$B$7,"")</f>
        <v>#VALUE!</v>
      </c>
      <c r="BS110" t="str">
        <f>IF(OR(T110="Cash",T110="Cash Adjustments"),"-",_xll.BDP(R110&amp;" FIGI",$BS$1))</f>
        <v>1/9/2020</v>
      </c>
      <c r="BT110" t="str">
        <f>IF(OR(T110="Cash",T110="Cash Adjustments"),"-",_xll.BDP(R110&amp;" FIGI",$BT$1))</f>
        <v>1/9/2020</v>
      </c>
      <c r="BU110" t="str">
        <f>IF(OR(T110="Cash",T110="Cash Adjustments"),"-",_xll.BDP(R110&amp;" FIGI",$BU$1))</f>
        <v>4/22/2019</v>
      </c>
    </row>
    <row r="111" spans="1:73">
      <c r="A111" s="254" t="s">
        <v>15</v>
      </c>
      <c r="B111" s="254" t="s">
        <v>25</v>
      </c>
      <c r="C111" s="254" t="s">
        <v>46</v>
      </c>
      <c r="D111" s="254" t="s">
        <v>22</v>
      </c>
      <c r="E111" s="254"/>
      <c r="F111" s="254" t="s">
        <v>1329</v>
      </c>
      <c r="G111" s="254" t="s">
        <v>1330</v>
      </c>
      <c r="H111" s="270">
        <v>1000000</v>
      </c>
      <c r="I111" s="270">
        <v>97.036000000000001</v>
      </c>
      <c r="J111" s="270">
        <v>977500</v>
      </c>
      <c r="K111" s="270">
        <v>7589833.5</v>
      </c>
      <c r="L111" s="270">
        <v>-69349.42</v>
      </c>
      <c r="M111" s="270">
        <v>133583.29999999999</v>
      </c>
      <c r="N111" s="270">
        <v>7520484.0800000001</v>
      </c>
      <c r="O111" s="255">
        <v>1.6999999999999999E-3</v>
      </c>
      <c r="P111" s="1"/>
      <c r="Q111" s="1" t="str">
        <f t="shared" si="11"/>
        <v>Investments</v>
      </c>
      <c r="R111" s="1" t="str">
        <f>_xll.BDP(G111&amp;" ISIN",$R$1)</f>
        <v>BBG00HDTX5P9</v>
      </c>
      <c r="S111" s="1" t="str">
        <f>IF(Q111="Cash",Q111,IF(OR(Q111="Receivable Investments",Q111="Payable Investments"),"Cash Adjustments",_xll.BDP(R111&amp;" FIGI",$S$1)))</f>
        <v>BOND</v>
      </c>
      <c r="T111" s="1" t="str">
        <f>IF(Q111="Cash",Q111,IF(OR(Q111="Receivable Investments",Q111="Payable Investments"),"Cash Adjustments",VLOOKUP(R111,LQA!E:S,3,0)))</f>
        <v>Corp</v>
      </c>
      <c r="U111" s="1" t="str">
        <f>IF(Q111="Cash",Q111,IF(OR(Q111="Receivable Investments",Q111="Payable Investments"),"Cash Adjustments",_xll.BDP(R111&amp;" FIGI",$U$1)))</f>
        <v>#N/A Field Not Applicable</v>
      </c>
      <c r="V111" s="10">
        <f>IF(OR(Q111="Cash",Q111="Receivable Investments",Q111="Payable Investments"),0,IF(Q111="Investments",VLOOKUP(R111,LQA!E:Q,12,0),"Not Covered"))</f>
        <v>4.7</v>
      </c>
      <c r="W111" s="76">
        <f>IF(OR(Q111="Cash",Q111="Receivable Investments",Q111="Payable Investments"),0,IF(Q111="Investments",VLOOKUP(R111,LQA!E:Q,9,0),"Not Covered"))</f>
        <v>1.2978999999999999E-2</v>
      </c>
      <c r="X111" s="13" t="str">
        <f>IF(OR(H111=0,T111="Comdty"),"High",IF(V111&lt;='Liquidity Bucket'!$A$4,'Liquidity Bucket'!$I$4,IF(V111&lt;='Liquidity Bucket'!$A$5,'Liquidity Bucket'!$I$5,IF(V111&lt;='Liquidity Bucket'!$A$6,'Liquidity Bucket'!$I$6,IF(V111='Liquidity Bucket'!$A$8,'Liquidity Bucket'!$I$8,'Liquidity Bucket'!$I$7)))))</f>
        <v>Medium</v>
      </c>
      <c r="Y111" s="153">
        <f>IF(OR(Q111="Cash",Q111="Receivable Investments",Q111="Payable Investments"),0,IF(Q111="Investments",VLOOKUP(R111,'LQA Stress'!E:Q,12,0),"Not Covered"))</f>
        <v>8.6999999999999993</v>
      </c>
      <c r="Z111" s="75">
        <f>IF(OR(Q111="Cash",Q111="Receivable Investments",Q111="Payable Investments"),0,IF(Q111="Investments",VLOOKUP(R111,'LQA Stress'!E:Q,9,0),"Not Covered"))</f>
        <v>3.4876999999999998E-2</v>
      </c>
      <c r="AA111" s="13" t="str">
        <f>IF(T111="Comdty","High",IF(Y111&lt;='Liquidity Bucket'!$A$4,'Liquidity Bucket'!$I$4,IF(Y111&lt;='Liquidity Bucket'!$A$5,'Liquidity Bucket'!$I$5,IF(Y111&lt;='Liquidity Bucket'!$A$6,'Liquidity Bucket'!$I$6,IF(Y111='Liquidity Bucket'!$A$8,'Liquidity Bucket'!$I$8,'Liquidity Bucket'!$I$7)))))</f>
        <v>Low</v>
      </c>
      <c r="AB111" s="14">
        <f>(N111+M111)/'FX Rates'!$C$5</f>
        <v>987366.79308565531</v>
      </c>
      <c r="AC111" s="15" t="str">
        <f>IF(X111="Not Covered", (H111/_xll.BDP(R111&amp;" FIGI",$AC$1)),"")</f>
        <v/>
      </c>
      <c r="AD111" s="16" t="str">
        <f>IF(X111="Not Covered", _xll.BDP(R111&amp;" FIGI",$AD$1),"")</f>
        <v/>
      </c>
      <c r="AE111" s="16" t="str">
        <f>IF(OR(T111="Corp",T111="Govt"),IF(_xll.BDP(R111&amp;" FIGI",$AE$1)="#N/A N/A","",_xll.BDP(R111&amp;" FIGI",$AE$1)),"")</f>
        <v>B+</v>
      </c>
      <c r="AF111" s="1" t="str">
        <f>IF(OR(T111="Corp",T111="Govt"),IF(_xll.BDP(R111&amp;" FIGI",$AF$1)="#N/A N/A","",_xll.BDP(R111&amp;" FIGI",$AF$1)),"")</f>
        <v>B1</v>
      </c>
      <c r="AG111" s="16" t="str">
        <f>IF(OR(T111="Corp",T111="Govt"),IF(_xll.BDP(R111&amp;" FIGI",$AG$1)="#N/A N/A","",_xll.BDP(R111&amp;" FIGI",$AG$1)),"")</f>
        <v>B+</v>
      </c>
      <c r="AH111" s="125">
        <f>IF(OR(S111="Cash",S111="M-Mkt"),21,IF(AE111="",0,VLOOKUP(AE111,'Rating Scale'!A:B,2,0)))</f>
        <v>8</v>
      </c>
      <c r="AI111" s="125">
        <f>IF(OR(S111="Cash",S111="M-Mkt"),21,IF(AF111="",0,VLOOKUP(AF111,'Rating Scale'!D:E,2,0)))</f>
        <v>8</v>
      </c>
      <c r="AJ111" s="125">
        <f>IF(OR(S111="Cash",S111="M-Mkt"),21,IF(AG111="",0,VLOOKUP(AG111,'Rating Scale'!G:H,2,0)))</f>
        <v>8</v>
      </c>
      <c r="AK111">
        <f t="shared" si="19"/>
        <v>8</v>
      </c>
      <c r="AL111" s="1" t="str">
        <f>IF(OR(U111="Cash",U111="Cash Adjustments"),_xll.BDP(G111&amp;" Curncy","Country"),IF(T111="Equity",_xll.BDP(R111&amp;" FIGI","CNTRY_ISSUE_ISO"),_xll.BDP(R111&amp;" FIGI",$AL$1)))</f>
        <v>ID</v>
      </c>
      <c r="AM111" s="126" t="str">
        <f>IF(OR(T111="Cash",T111="Cash Adjustments",T111="M-Mkt"), T111, IF(T111="Comdty",AS111, _xll.BDP(R111&amp;" FIGI", $AM$1)))</f>
        <v>Energy</v>
      </c>
      <c r="AN111" s="126" t="str">
        <f>IF(OR(T111="Cash",T111="Cash Adjustments",T111="M-Mkt"), T111,  IF(T111="Comdty",AS111,_xll.BDP(R111&amp;" FIGI", $AN$1)))</f>
        <v>Oil&amp;Gas</v>
      </c>
      <c r="AO111" s="126" t="str">
        <f>IF(OR(T111="Cash",T111="Cash Adjustments",T111="M-Mkt"), T111,  IF(T111="Comdty",AS111,_xll.BDP(R111&amp;" FIGI", $AO$1)))</f>
        <v>Oil Comp-Explor&amp;Prodtn</v>
      </c>
      <c r="AP111" s="13" t="str">
        <f>IF(OR(T111="Cash",T111="Cash Adjustments"), T111, IF(_xll.BDP(R111&amp;" FIGI", $AP$1)="#N/A Field Not Applicable","N",_xll.BDP(R111&amp;" FIGI", $AP$1)))</f>
        <v>N</v>
      </c>
      <c r="AQ111" s="1" t="str">
        <f>IF(OR(T111="Cash",T111="Cash Adjustments"), T111, IF(_xll.BDP(R111&amp;" FIGI", $AQ$1)="#N/A Field Not Applicable"," ",_xll.BDP(R111&amp;" FIGI", $AQ$1)))</f>
        <v xml:space="preserve"> </v>
      </c>
      <c r="AR111" s="1" t="str">
        <f>IF(OR(T111="Cash",T111="Cash Adjustments"), T111, IF(_xll.BDP(R111&amp;" FIGI", $AR$1)="#N/A Field Not Applicable"," ",_xll.BDP(R111&amp;" FIGI", $AR$1)))</f>
        <v>ACTV</v>
      </c>
      <c r="AS111" s="1" t="str">
        <f>VLOOKUP(T111,'SFC Classifcation'!$F$2:$H$7,3,0)</f>
        <v>Corporate</v>
      </c>
      <c r="AT111" s="22" t="str">
        <f t="shared" si="12"/>
        <v>Non-Financial</v>
      </c>
      <c r="AU111" s="1" t="str">
        <f t="shared" si="13"/>
        <v>Non-Investment Grade</v>
      </c>
      <c r="AV111" s="1" t="str">
        <f>IF(OR(T111="Cash",T111="Cash Adjustments"),T111,VLOOKUP(AL111,'SFC Classifcation'!$A:$C,3,0))</f>
        <v>Asia - others (1)</v>
      </c>
      <c r="AW111" s="22" t="str">
        <f t="shared" si="14"/>
        <v>Medium</v>
      </c>
      <c r="AX111" s="22" t="str">
        <f t="shared" si="15"/>
        <v>Low</v>
      </c>
      <c r="AY111" s="45" t="str">
        <f>IF(OR(T111="Cash",T111="Cash Adjustments"), T111, _xll.BDP(R111&amp;" FIGI", $AY$1))</f>
        <v>#N/A Field Not Applicable</v>
      </c>
      <c r="AZ111" s="45" t="str">
        <f>IF(OR(T111="Cash",T111="Cash Adjustments"), T111, _xll.BDP(R111&amp;" FIGI", $AZ$1))</f>
        <v>INDUSTRIAL</v>
      </c>
      <c r="BA111" s="45" t="str">
        <f>IF(OR(T111="Cash",T111="Cash Adjustments"), T111, _xll.BDP(R111&amp;" FIGI", $BA$1))</f>
        <v>#N/A Field Not Applicable</v>
      </c>
      <c r="BB111" s="16">
        <f>IF(OR(AS111="Government",AS111="Corporate"),(AK111*AB111/'SFC Report'!$C$20),"")</f>
        <v>1.4350469020306537E-2</v>
      </c>
      <c r="BC111" s="174" t="str">
        <f>IF(OR(T111="Cash",T111="Cash Adjustments", T111="FX Forward", T111="Repo", T111="Equity", T111="M-Mkt"), "", _xll.BDP(R111&amp;" FIGI", $BC$1))</f>
        <v>8/17/2022</v>
      </c>
      <c r="BD111" s="125">
        <f ca="1">IF(OR(T111="Cash",T111="Cash Adjustments",T111="FX Forward",T111="Repo", T111="Equity", T111="M-Mkt"),"",(BC111-'SFC Report'!$B$13)/365)</f>
        <v>2.2986301369863016</v>
      </c>
      <c r="BE111" s="82" t="str">
        <f t="shared" ca="1" si="18"/>
        <v>2 - 3 yrs</v>
      </c>
      <c r="BF111" s="5">
        <f ca="1">IF(BC111="","",BD111*AB111/'SFC Report'!$C$20)</f>
        <v>4.1233025712456121E-3</v>
      </c>
      <c r="BG111" s="14" cm="1">
        <f t="array" ref="BG111">IF(OR(AS111="Corporate",AS111="Government"),_xll.BDP(G111&amp;" ISIN", $BG$1),"")</f>
        <v>1.9357322913739461</v>
      </c>
      <c r="BH111" s="140">
        <f>IF(OR(AS111="Corporate",AS111="Government"),BG111*BN111/'SFC Report'!$C$20,"")</f>
        <v>3.4723332848711004E-3</v>
      </c>
      <c r="BI111" s="140">
        <f>IF(OR(AS111="Corporate",AS111="Government"),_xll.BDP(G111&amp;" ISIN", $BI$1),"")</f>
        <v>9.2004600751502963</v>
      </c>
      <c r="BJ111" s="140">
        <f>IF(OR(AS111="Corporate",AS111="Government"),BI111*AB111/'SFC Report'!$C$20,"")</f>
        <v>1.6503864660126433E-2</v>
      </c>
      <c r="BK111" s="153" t="str">
        <f>IF(OR(T111="Cash",T111="Cash Adjustments"),"-",_xll.BDP(R111&amp;" FIGI",$BK$1))</f>
        <v>USY59515AA72</v>
      </c>
      <c r="BL111" s="11" t="str">
        <f>IF(OR(AS111="Cash", AS111="Cash Adjustments"),"-",IF(ISNA(VLOOKUP(BK111,'BBG - VaR Data (Sample, Indus )'!C:N,5,0)),"-",VLOOKUP(BK111,'BBG - VaR Data (Sample, Indus )'!C:N,5,0)))</f>
        <v>-</v>
      </c>
      <c r="BM111" s="11">
        <f>IF(OR(AS111="Cash", AS111="Cash Adjustments"),"-",IF(ISNA(VLOOKUP(BK111,'BBG - Scenarios (Sample View)'!C:Z,14,0)),"-",VLOOKUP(BK111,'BBG - Scenarios (Sample View)'!C:Z,14,0)))</f>
        <v>-2.7</v>
      </c>
      <c r="BN111" s="14">
        <f t="shared" si="16"/>
        <v>987366.79308565531</v>
      </c>
      <c r="BO111" s="1">
        <f t="shared" si="17"/>
        <v>1.9368669563793492E-3</v>
      </c>
      <c r="BP111" t="str">
        <f>IF(BC111&lt;&gt;0,MaturityBucket(BG111),"")</f>
        <v>1 - 2 yrs</v>
      </c>
      <c r="BQ111" s="11" t="str">
        <f>IF(OR(T111="Cash",T111="Cash Adjustments"),T111,VLOOKUP(AL111,'SFC Classifcation'!$A:$C,2,0))</f>
        <v>Indonesia</v>
      </c>
      <c r="BR111" s="1" t="e">
        <f>IF(S111="Bond",BH111/'SFC Report'!$B$7,"")</f>
        <v>#VALUE!</v>
      </c>
      <c r="BS111" t="str">
        <f>IF(OR(T111="Cash",T111="Cash Adjustments"),"-",_xll.BDP(R111&amp;" FIGI",$BS$1))</f>
        <v>1/9/2020</v>
      </c>
      <c r="BT111" t="str">
        <f>IF(OR(T111="Cash",T111="Cash Adjustments"),"-",_xll.BDP(R111&amp;" FIGI",$BT$1))</f>
        <v>1/9/2020</v>
      </c>
      <c r="BU111" t="str">
        <f>IF(OR(T111="Cash",T111="Cash Adjustments"),"-",_xll.BDP(R111&amp;" FIGI",$BU$1))</f>
        <v>4/22/2019</v>
      </c>
    </row>
    <row r="112" spans="1:73">
      <c r="A112" s="254" t="s">
        <v>15</v>
      </c>
      <c r="B112" s="254" t="s">
        <v>25</v>
      </c>
      <c r="C112" s="254" t="s">
        <v>46</v>
      </c>
      <c r="D112" s="254" t="s">
        <v>22</v>
      </c>
      <c r="E112" s="254"/>
      <c r="F112" s="254" t="s">
        <v>1331</v>
      </c>
      <c r="G112" s="254" t="s">
        <v>1332</v>
      </c>
      <c r="H112" s="270">
        <v>5000000</v>
      </c>
      <c r="I112" s="270">
        <v>97.748999999999995</v>
      </c>
      <c r="J112" s="270">
        <v>4905000</v>
      </c>
      <c r="K112" s="270">
        <v>38091347.100000001</v>
      </c>
      <c r="L112" s="270">
        <v>-212632.12</v>
      </c>
      <c r="M112" s="270">
        <v>1043451.4</v>
      </c>
      <c r="N112" s="270">
        <v>37878714.979999997</v>
      </c>
      <c r="O112" s="255">
        <v>8.3000000000000001E-3</v>
      </c>
      <c r="P112" s="1"/>
      <c r="Q112" s="1" t="str">
        <f t="shared" si="11"/>
        <v>Investments</v>
      </c>
      <c r="R112" s="1" t="str">
        <f>_xll.BDP(G112&amp;" ISIN",$R$1)</f>
        <v>BBG00P1GZFC2</v>
      </c>
      <c r="S112" s="1" t="str">
        <f>IF(Q112="Cash",Q112,IF(OR(Q112="Receivable Investments",Q112="Payable Investments"),"Cash Adjustments",_xll.BDP(R112&amp;" FIGI",$S$1)))</f>
        <v>BOND</v>
      </c>
      <c r="T112" s="1" t="str">
        <f>IF(Q112="Cash",Q112,IF(OR(Q112="Receivable Investments",Q112="Payable Investments"),"Cash Adjustments",VLOOKUP(R112,LQA!E:S,3,0)))</f>
        <v>Corp</v>
      </c>
      <c r="U112" s="1" t="str">
        <f>IF(Q112="Cash",Q112,IF(OR(Q112="Receivable Investments",Q112="Payable Investments"),"Cash Adjustments",_xll.BDP(R112&amp;" FIGI",$U$1)))</f>
        <v>#N/A Field Not Applicable</v>
      </c>
      <c r="V112" s="10">
        <f>IF(OR(Q112="Cash",Q112="Receivable Investments",Q112="Payable Investments"),0,IF(Q112="Investments",VLOOKUP(R112,LQA!E:Q,12,0),"Not Covered"))</f>
        <v>0.3</v>
      </c>
      <c r="W112" s="76">
        <f>IF(OR(Q112="Cash",Q112="Receivable Investments",Q112="Payable Investments"),0,IF(Q112="Investments",VLOOKUP(R112,LQA!E:Q,9,0),"Not Covered"))</f>
        <v>1.7897E-2</v>
      </c>
      <c r="X112" s="13" t="str">
        <f>IF(OR(H112=0,T112="Comdty"),"High",IF(V112&lt;='Liquidity Bucket'!$A$4,'Liquidity Bucket'!$I$4,IF(V112&lt;='Liquidity Bucket'!$A$5,'Liquidity Bucket'!$I$5,IF(V112&lt;='Liquidity Bucket'!$A$6,'Liquidity Bucket'!$I$6,IF(V112='Liquidity Bucket'!$A$8,'Liquidity Bucket'!$I$8,'Liquidity Bucket'!$I$7)))))</f>
        <v>High</v>
      </c>
      <c r="Y112" s="153">
        <f>IF(OR(Q112="Cash",Q112="Receivable Investments",Q112="Payable Investments"),0,IF(Q112="Investments",VLOOKUP(R112,'LQA Stress'!E:Q,12,0),"Not Covered"))</f>
        <v>1.5</v>
      </c>
      <c r="Z112" s="75">
        <f>IF(OR(Q112="Cash",Q112="Receivable Investments",Q112="Payable Investments"),0,IF(Q112="Investments",VLOOKUP(R112,'LQA Stress'!E:Q,9,0),"Not Covered"))</f>
        <v>4.7718000000000003E-2</v>
      </c>
      <c r="AA112" s="13" t="str">
        <f>IF(T112="Comdty","High",IF(Y112&lt;='Liquidity Bucket'!$A$4,'Liquidity Bucket'!$I$4,IF(Y112&lt;='Liquidity Bucket'!$A$5,'Liquidity Bucket'!$I$5,IF(Y112&lt;='Liquidity Bucket'!$A$6,'Liquidity Bucket'!$I$6,IF(Y112='Liquidity Bucket'!$A$8,'Liquidity Bucket'!$I$8,'Liquidity Bucket'!$I$7)))))</f>
        <v>High</v>
      </c>
      <c r="AB112" s="14">
        <f>(N112+M112)/'FX Rates'!$C$5</f>
        <v>5020919.2956656339</v>
      </c>
      <c r="AC112" s="15" t="str">
        <f>IF(X112="Not Covered", (H112/_xll.BDP(R112&amp;" FIGI",$AC$1)),"")</f>
        <v/>
      </c>
      <c r="AD112" s="16" t="str">
        <f>IF(X112="Not Covered", _xll.BDP(R112&amp;" FIGI",$AD$1),"")</f>
        <v/>
      </c>
      <c r="AE112" s="16" t="str">
        <f>IF(OR(T112="Corp",T112="Govt"),IF(_xll.BDP(R112&amp;" FIGI",$AE$1)="#N/A N/A","",_xll.BDP(R112&amp;" FIGI",$AE$1)),"")</f>
        <v>BB- *-</v>
      </c>
      <c r="AF112" s="1" t="str">
        <f>IF(OR(T112="Corp",T112="Govt"),IF(_xll.BDP(R112&amp;" FIGI",$AF$1)="#N/A N/A","",_xll.BDP(R112&amp;" FIGI",$AF$1)),"")</f>
        <v>Ba3</v>
      </c>
      <c r="AG112" s="16" t="str">
        <f>IF(OR(T112="Corp",T112="Govt"),IF(_xll.BDP(R112&amp;" FIGI",$AG$1)="#N/A N/A","",_xll.BDP(R112&amp;" FIGI",$AG$1)),"")</f>
        <v>BB-u</v>
      </c>
      <c r="AH112" s="125">
        <f>IF(OR(S112="Cash",S112="M-Mkt"),21,IF(AE112="",0,VLOOKUP(AE112,'Rating Scale'!A:B,2,0)))</f>
        <v>9</v>
      </c>
      <c r="AI112" s="125">
        <f>IF(OR(S112="Cash",S112="M-Mkt"),21,IF(AF112="",0,VLOOKUP(AF112,'Rating Scale'!D:E,2,0)))</f>
        <v>9</v>
      </c>
      <c r="AJ112" s="125">
        <f>IF(OR(S112="Cash",S112="M-Mkt"),21,IF(AG112="",0,VLOOKUP(AG112,'Rating Scale'!G:H,2,0)))</f>
        <v>9</v>
      </c>
      <c r="AK112">
        <f t="shared" si="19"/>
        <v>9</v>
      </c>
      <c r="AL112" s="1" t="str">
        <f>IF(OR(U112="Cash",U112="Cash Adjustments"),_xll.BDP(G112&amp;" Curncy","Country"),IF(T112="Equity",_xll.BDP(R112&amp;" FIGI","CNTRY_ISSUE_ISO"),_xll.BDP(R112&amp;" FIGI",$AL$1)))</f>
        <v>MO</v>
      </c>
      <c r="AM112" s="126" t="str">
        <f>IF(OR(T112="Cash",T112="Cash Adjustments",T112="M-Mkt"), T112, IF(T112="Comdty",AS112, _xll.BDP(R112&amp;" FIGI", $AM$1)))</f>
        <v>Consumer, Cyclical</v>
      </c>
      <c r="AN112" s="126" t="str">
        <f>IF(OR(T112="Cash",T112="Cash Adjustments",T112="M-Mkt"), T112,  IF(T112="Comdty",AS112,_xll.BDP(R112&amp;" FIGI", $AN$1)))</f>
        <v>Lodging</v>
      </c>
      <c r="AO112" s="126" t="str">
        <f>IF(OR(T112="Cash",T112="Cash Adjustments",T112="M-Mkt"), T112,  IF(T112="Comdty",AS112,_xll.BDP(R112&amp;" FIGI", $AO$1)))</f>
        <v>Casino Hotels</v>
      </c>
      <c r="AP112" s="13" t="str">
        <f>IF(OR(T112="Cash",T112="Cash Adjustments"), T112, IF(_xll.BDP(R112&amp;" FIGI", $AP$1)="#N/A Field Not Applicable","N",_xll.BDP(R112&amp;" FIGI", $AP$1)))</f>
        <v>N</v>
      </c>
      <c r="AQ112" s="1" t="str">
        <f>IF(OR(T112="Cash",T112="Cash Adjustments"), T112, IF(_xll.BDP(R112&amp;" FIGI", $AQ$1)="#N/A Field Not Applicable"," ",_xll.BDP(R112&amp;" FIGI", $AQ$1)))</f>
        <v xml:space="preserve"> </v>
      </c>
      <c r="AR112" s="1" t="str">
        <f>IF(OR(T112="Cash",T112="Cash Adjustments"), T112, IF(_xll.BDP(R112&amp;" FIGI", $AR$1)="#N/A Field Not Applicable"," ",_xll.BDP(R112&amp;" FIGI", $AR$1)))</f>
        <v>ACTV</v>
      </c>
      <c r="AS112" s="1" t="str">
        <f>VLOOKUP(T112,'SFC Classifcation'!$F$2:$H$7,3,0)</f>
        <v>Corporate</v>
      </c>
      <c r="AT112" s="22" t="str">
        <f t="shared" si="12"/>
        <v>Non-Financial</v>
      </c>
      <c r="AU112" s="1" t="str">
        <f t="shared" si="13"/>
        <v>Non-Investment Grade</v>
      </c>
      <c r="AV112" s="1" t="str">
        <f>IF(OR(T112="Cash",T112="Cash Adjustments"),T112,VLOOKUP(AL112,'SFC Classifcation'!$A:$C,3,0))</f>
        <v>Macau</v>
      </c>
      <c r="AW112" s="22" t="str">
        <f t="shared" si="14"/>
        <v>High</v>
      </c>
      <c r="AX112" s="22" t="str">
        <f t="shared" si="15"/>
        <v>High</v>
      </c>
      <c r="AY112" s="45" t="str">
        <f>IF(OR(T112="Cash",T112="Cash Adjustments"), T112, _xll.BDP(R112&amp;" FIGI", $AY$1))</f>
        <v>Consumer Discretionary</v>
      </c>
      <c r="AZ112" s="45" t="str">
        <f>IF(OR(T112="Cash",T112="Cash Adjustments"), T112, _xll.BDP(R112&amp;" FIGI", $AZ$1))</f>
        <v>INDUSTRIAL</v>
      </c>
      <c r="BA112" s="45" t="str">
        <f>IF(OR(T112="Cash",T112="Cash Adjustments"), T112, _xll.BDP(R112&amp;" FIGI", $BA$1))</f>
        <v>#N/A Field Not Applicable</v>
      </c>
      <c r="BB112" s="16">
        <f>IF(OR(AS112="Government",AS112="Corporate"),(AK112*AB112/'SFC Report'!$C$20),"")</f>
        <v>8.2096254121861723E-2</v>
      </c>
      <c r="BC112" s="174" t="str">
        <f>IF(OR(T112="Cash",T112="Cash Adjustments", T112="FX Forward", T112="Repo", T112="Equity", T112="M-Mkt"), "", _xll.BDP(R112&amp;" FIGI", $BC$1))</f>
        <v>5/15/2026</v>
      </c>
      <c r="BD112" s="125">
        <f ca="1">IF(OR(T112="Cash",T112="Cash Adjustments",T112="FX Forward",T112="Repo", T112="Equity", T112="M-Mkt"),"",(BC112-'SFC Report'!$B$13)/365)</f>
        <v>6.043835616438356</v>
      </c>
      <c r="BE112" s="82" t="str">
        <f t="shared" ca="1" si="18"/>
        <v>5 - 7 yrs</v>
      </c>
      <c r="BF112" s="5">
        <f ca="1">IF(BC112="","",BD112*AB112/'SFC Report'!$C$20)</f>
        <v>5.5130696070875784E-2</v>
      </c>
      <c r="BG112" s="14" cm="1">
        <f t="array" ref="BG112">IF(OR(AS112="Corporate",AS112="Government"),_xll.BDP(G112&amp;" ISIN", $BG$1),"")</f>
        <v>4.9560328926319555</v>
      </c>
      <c r="BH112" s="140">
        <f>IF(OR(AS112="Corporate",AS112="Government"),BG112*BN112/'SFC Report'!$C$20,"")</f>
        <v>4.520797064331316E-2</v>
      </c>
      <c r="BI112" s="140">
        <f>IF(OR(AS112="Corporate",AS112="Government"),_xll.BDP(G112&amp;" ISIN", $BI$1),"")</f>
        <v>6.0220094231023973</v>
      </c>
      <c r="BJ112" s="140">
        <f>IF(OR(AS112="Corporate",AS112="Government"),BI112*AB112/'SFC Report'!$C$20,"")</f>
        <v>5.4931601769251145E-2</v>
      </c>
      <c r="BK112" s="153" t="str">
        <f>IF(OR(T112="Cash",T112="Cash Adjustments"),"-",_xll.BDP(R112&amp;" FIGI",$BK$1))</f>
        <v>USG60744AB87</v>
      </c>
      <c r="BL112" s="11" t="str">
        <f>IF(OR(AS112="Cash", AS112="Cash Adjustments"),"-",IF(ISNA(VLOOKUP(BK112,'BBG - VaR Data (Sample, Indus )'!C:N,5,0)),"-",VLOOKUP(BK112,'BBG - VaR Data (Sample, Indus )'!C:N,5,0)))</f>
        <v>-</v>
      </c>
      <c r="BM112" s="11">
        <f>IF(OR(AS112="Cash", AS112="Cash Adjustments"),"-",IF(ISNA(VLOOKUP(BK112,'BBG - Scenarios (Sample View)'!C:Z,14,0)),"-",VLOOKUP(BK112,'BBG - Scenarios (Sample View)'!C:Z,14,0)))</f>
        <v>-0.97</v>
      </c>
      <c r="BN112" s="14">
        <f t="shared" si="16"/>
        <v>5020919.2956656339</v>
      </c>
      <c r="BO112" s="1">
        <f t="shared" si="17"/>
        <v>9.8492806751488537E-3</v>
      </c>
      <c r="BP112" t="str">
        <f>IF(BC112&lt;&gt;0,MaturityBucket(BG112),"")</f>
        <v>3 - 5 yrs</v>
      </c>
      <c r="BQ112" s="11" t="str">
        <f>IF(OR(T112="Cash",T112="Cash Adjustments"),T112,VLOOKUP(AL112,'SFC Classifcation'!$A:$C,2,0))</f>
        <v>Macau</v>
      </c>
      <c r="BR112" s="1" t="e">
        <f>IF(S112="Bond",BH112/'SFC Report'!$B$7,"")</f>
        <v>#VALUE!</v>
      </c>
      <c r="BS112" t="str">
        <f>IF(OR(T112="Cash",T112="Cash Adjustments"),"-",_xll.BDP(R112&amp;" FIGI",$BS$1))</f>
        <v>3/20/2020</v>
      </c>
      <c r="BT112" t="str">
        <f>IF(OR(T112="Cash",T112="Cash Adjustments"),"-",_xll.BDP(R112&amp;" FIGI",$BT$1))</f>
        <v>4/13/2020</v>
      </c>
      <c r="BU112" t="str">
        <f>IF(OR(T112="Cash",T112="Cash Adjustments"),"-",_xll.BDP(R112&amp;" FIGI",$BU$1))</f>
        <v>3/25/2020</v>
      </c>
    </row>
    <row r="113" spans="1:73">
      <c r="A113" s="254" t="s">
        <v>15</v>
      </c>
      <c r="B113" s="254" t="s">
        <v>25</v>
      </c>
      <c r="C113" s="254" t="s">
        <v>46</v>
      </c>
      <c r="D113" s="254" t="s">
        <v>22</v>
      </c>
      <c r="E113" s="254"/>
      <c r="F113" s="254" t="s">
        <v>1219</v>
      </c>
      <c r="G113" s="254" t="s">
        <v>1220</v>
      </c>
      <c r="H113" s="270">
        <v>1000000</v>
      </c>
      <c r="I113" s="270">
        <v>96.911000000000001</v>
      </c>
      <c r="J113" s="270">
        <v>1000000</v>
      </c>
      <c r="K113" s="270">
        <v>7791100</v>
      </c>
      <c r="L113" s="270">
        <v>-280303.68</v>
      </c>
      <c r="M113" s="270">
        <v>41415.129999999997</v>
      </c>
      <c r="N113" s="270">
        <v>7510796.3200000003</v>
      </c>
      <c r="O113" s="255">
        <v>1.6999999999999999E-3</v>
      </c>
      <c r="P113" s="1"/>
      <c r="Q113" s="1" t="str">
        <f t="shared" si="11"/>
        <v>Investments</v>
      </c>
      <c r="R113" s="1" t="str">
        <f>_xll.BDP(G113&amp;" ISIN",$R$1)</f>
        <v>BBG00RZ2MZZ7</v>
      </c>
      <c r="S113" s="1" t="str">
        <f>IF(Q113="Cash",Q113,IF(OR(Q113="Receivable Investments",Q113="Payable Investments"),"Cash Adjustments",_xll.BDP(R113&amp;" FIGI",$S$1)))</f>
        <v>BOND</v>
      </c>
      <c r="T113" s="1" t="str">
        <f>IF(Q113="Cash",Q113,IF(OR(Q113="Receivable Investments",Q113="Payable Investments"),"Cash Adjustments",VLOOKUP(R113,LQA!E:S,3,0)))</f>
        <v>Corp</v>
      </c>
      <c r="U113" s="1" t="str">
        <f>IF(Q113="Cash",Q113,IF(OR(Q113="Receivable Investments",Q113="Payable Investments"),"Cash Adjustments",_xll.BDP(R113&amp;" FIGI",$U$1)))</f>
        <v>#N/A Field Not Applicable</v>
      </c>
      <c r="V113" s="10">
        <f>IF(OR(Q113="Cash",Q113="Receivable Investments",Q113="Payable Investments"),0,IF(Q113="Investments",VLOOKUP(R113,LQA!E:Q,12,0),"Not Covered"))</f>
        <v>0.3</v>
      </c>
      <c r="W113" s="76">
        <f>IF(OR(Q113="Cash",Q113="Receivable Investments",Q113="Payable Investments"),0,IF(Q113="Investments",VLOOKUP(R113,LQA!E:Q,9,0),"Not Covered"))</f>
        <v>5.7219999999999997E-3</v>
      </c>
      <c r="X113" s="13" t="str">
        <f>IF(OR(H113=0,T113="Comdty"),"High",IF(V113&lt;='Liquidity Bucket'!$A$4,'Liquidity Bucket'!$I$4,IF(V113&lt;='Liquidity Bucket'!$A$5,'Liquidity Bucket'!$I$5,IF(V113&lt;='Liquidity Bucket'!$A$6,'Liquidity Bucket'!$I$6,IF(V113='Liquidity Bucket'!$A$8,'Liquidity Bucket'!$I$8,'Liquidity Bucket'!$I$7)))))</f>
        <v>High</v>
      </c>
      <c r="Y113" s="153">
        <f>IF(OR(Q113="Cash",Q113="Receivable Investments",Q113="Payable Investments"),0,IF(Q113="Investments",VLOOKUP(R113,'LQA Stress'!E:Q,12,0),"Not Covered"))</f>
        <v>0.7</v>
      </c>
      <c r="Z113" s="75">
        <f>IF(OR(Q113="Cash",Q113="Receivable Investments",Q113="Payable Investments"),0,IF(Q113="Investments",VLOOKUP(R113,'LQA Stress'!E:Q,9,0),"Not Covered"))</f>
        <v>1.5098E-2</v>
      </c>
      <c r="AA113" s="13" t="str">
        <f>IF(T113="Comdty","High",IF(Y113&lt;='Liquidity Bucket'!$A$4,'Liquidity Bucket'!$I$4,IF(Y113&lt;='Liquidity Bucket'!$A$5,'Liquidity Bucket'!$I$5,IF(Y113&lt;='Liquidity Bucket'!$A$6,'Liquidity Bucket'!$I$6,IF(Y113='Liquidity Bucket'!$A$8,'Liquidity Bucket'!$I$8,'Liquidity Bucket'!$I$7)))))</f>
        <v>High</v>
      </c>
      <c r="AB113" s="14">
        <f>(N113+M113)/'FX Rates'!$C$5</f>
        <v>974227.48323013424</v>
      </c>
      <c r="AC113" s="15" t="str">
        <f>IF(X113="Not Covered", (H113/_xll.BDP(R113&amp;" FIGI",$AC$1)),"")</f>
        <v/>
      </c>
      <c r="AD113" s="16" t="str">
        <f>IF(X113="Not Covered", _xll.BDP(R113&amp;" FIGI",$AD$1),"")</f>
        <v/>
      </c>
      <c r="AE113" s="16" t="str">
        <f>IF(OR(T113="Corp",T113="Govt"),IF(_xll.BDP(R113&amp;" FIGI",$AE$1)="#N/A N/A","",_xll.BDP(R113&amp;" FIGI",$AE$1)),"")</f>
        <v/>
      </c>
      <c r="AF113" s="1" t="str">
        <f>IF(OR(T113="Corp",T113="Govt"),IF(_xll.BDP(R113&amp;" FIGI",$AF$1)="#N/A N/A","",_xll.BDP(R113&amp;" FIGI",$AF$1)),"")</f>
        <v>Baa1</v>
      </c>
      <c r="AG113" s="16" t="str">
        <f>IF(OR(T113="Corp",T113="Govt"),IF(_xll.BDP(R113&amp;" FIGI",$AG$1)="#N/A N/A","",_xll.BDP(R113&amp;" FIGI",$AG$1)),"")</f>
        <v/>
      </c>
      <c r="AH113" s="125">
        <f>IF(OR(S113="Cash",S113="M-Mkt"),21,IF(AE113="",0,VLOOKUP(AE113,'Rating Scale'!A:B,2,0)))</f>
        <v>0</v>
      </c>
      <c r="AI113" s="125">
        <f>IF(OR(S113="Cash",S113="M-Mkt"),21,IF(AF113="",0,VLOOKUP(AF113,'Rating Scale'!D:E,2,0)))</f>
        <v>14</v>
      </c>
      <c r="AJ113" s="125">
        <f>IF(OR(S113="Cash",S113="M-Mkt"),21,IF(AG113="",0,VLOOKUP(AG113,'Rating Scale'!G:H,2,0)))</f>
        <v>0</v>
      </c>
      <c r="AK113">
        <f t="shared" si="19"/>
        <v>14</v>
      </c>
      <c r="AL113" s="1" t="str">
        <f>IF(OR(U113="Cash",U113="Cash Adjustments"),_xll.BDP(G113&amp;" Curncy","Country"),IF(T113="Equity",_xll.BDP(R113&amp;" FIGI","CNTRY_ISSUE_ISO"),_xll.BDP(R113&amp;" FIGI",$AL$1)))</f>
        <v>CN</v>
      </c>
      <c r="AM113" s="126" t="str">
        <f>IF(OR(T113="Cash",T113="Cash Adjustments",T113="M-Mkt"), T113, IF(T113="Comdty",AS113, _xll.BDP(R113&amp;" FIGI", $AM$1)))</f>
        <v>Basic Materials</v>
      </c>
      <c r="AN113" s="126" t="str">
        <f>IF(OR(T113="Cash",T113="Cash Adjustments",T113="M-Mkt"), T113,  IF(T113="Comdty",AS113,_xll.BDP(R113&amp;" FIGI", $AN$1)))</f>
        <v>Mining</v>
      </c>
      <c r="AO113" s="126" t="str">
        <f>IF(OR(T113="Cash",T113="Cash Adjustments",T113="M-Mkt"), T113,  IF(T113="Comdty",AS113,_xll.BDP(R113&amp;" FIGI", $AO$1)))</f>
        <v>Metal-Diversified</v>
      </c>
      <c r="AP113" s="13" t="str">
        <f>IF(OR(T113="Cash",T113="Cash Adjustments"), T113, IF(_xll.BDP(R113&amp;" FIGI", $AP$1)="#N/A Field Not Applicable","N",_xll.BDP(R113&amp;" FIGI", $AP$1)))</f>
        <v>N</v>
      </c>
      <c r="AQ113" s="1" t="str">
        <f>IF(OR(T113="Cash",T113="Cash Adjustments"), T113, IF(_xll.BDP(R113&amp;" FIGI", $AQ$1)="#N/A Field Not Applicable"," ",_xll.BDP(R113&amp;" FIGI", $AQ$1)))</f>
        <v xml:space="preserve"> </v>
      </c>
      <c r="AR113" s="1" t="str">
        <f>IF(OR(T113="Cash",T113="Cash Adjustments"), T113, IF(_xll.BDP(R113&amp;" FIGI", $AR$1)="#N/A Field Not Applicable"," ",_xll.BDP(R113&amp;" FIGI", $AR$1)))</f>
        <v>ACTV</v>
      </c>
      <c r="AS113" s="1" t="str">
        <f>VLOOKUP(T113,'SFC Classifcation'!$F$2:$H$7,3,0)</f>
        <v>Corporate</v>
      </c>
      <c r="AT113" s="22" t="str">
        <f t="shared" si="12"/>
        <v>Non-Financial</v>
      </c>
      <c r="AU113" s="1" t="str">
        <f t="shared" si="13"/>
        <v>Investment Grade</v>
      </c>
      <c r="AV113" s="1" t="str">
        <f>IF(OR(T113="Cash",T113="Cash Adjustments"),T113,VLOOKUP(AL113,'SFC Classifcation'!$A:$C,3,0))</f>
        <v>China</v>
      </c>
      <c r="AW113" s="22" t="str">
        <f t="shared" si="14"/>
        <v>High</v>
      </c>
      <c r="AX113" s="22" t="str">
        <f t="shared" si="15"/>
        <v>High</v>
      </c>
      <c r="AY113" s="45" t="str">
        <f>IF(OR(T113="Cash",T113="Cash Adjustments"), T113, _xll.BDP(R113&amp;" FIGI", $AY$1))</f>
        <v>#N/A Field Not Applicable</v>
      </c>
      <c r="AZ113" s="45" t="str">
        <f>IF(OR(T113="Cash",T113="Cash Adjustments"), T113, _xll.BDP(R113&amp;" FIGI", $AZ$1))</f>
        <v>SPECIAL PURPOSE</v>
      </c>
      <c r="BA113" s="45" t="str">
        <f>IF(OR(T113="Cash",T113="Cash Adjustments"), T113, _xll.BDP(R113&amp;" FIGI", $BA$1))</f>
        <v>#N/A Field Not Applicable</v>
      </c>
      <c r="BB113" s="16">
        <f>IF(OR(AS113="Government",AS113="Corporate"),(AK113*AB113/'SFC Report'!$C$20),"")</f>
        <v>2.4779127144821569E-2</v>
      </c>
      <c r="BC113" s="174" t="str">
        <f>IF(OR(T113="Cash",T113="Cash Adjustments", T113="FX Forward", T113="Repo", T113="Equity", T113="M-Mkt"), "", _xll.BDP(R113&amp;" FIGI", $BC$1))</f>
        <v>9/3/2168</v>
      </c>
      <c r="BD113" s="125">
        <f ca="1">IF(OR(T113="Cash",T113="Cash Adjustments",T113="FX Forward",T113="Repo", T113="Equity", T113="M-Mkt"),"",(BC113-'SFC Report'!$B$13)/365)</f>
        <v>148.44383561643835</v>
      </c>
      <c r="BE113" s="82" t="str">
        <f t="shared" ca="1" si="18"/>
        <v>10 yrs or Above</v>
      </c>
      <c r="BF113" s="5">
        <f ca="1">IF(BC113="","",BD113*AB113/'SFC Report'!$C$20)</f>
        <v>0.26273633404319419</v>
      </c>
      <c r="BG113" s="14" cm="1">
        <f t="array" ref="BG113">IF(OR(AS113="Corporate",AS113="Government"),_xll.BDP(G113&amp;" ISIN", $BG$1),"")</f>
        <v>3.9165679836624552</v>
      </c>
      <c r="BH113" s="140">
        <f>IF(OR(AS113="Corporate",AS113="Government"),BG113*BN113/'SFC Report'!$C$20,"")</f>
        <v>6.9320811456078163E-3</v>
      </c>
      <c r="BI113" s="140">
        <f>IF(OR(AS113="Corporate",AS113="Government"),_xll.BDP(G113&amp;" ISIN", $BI$1),"")</f>
        <v>5.1024318794063808</v>
      </c>
      <c r="BJ113" s="140">
        <f>IF(OR(AS113="Corporate",AS113="Government"),BI113*AB113/'SFC Report'!$C$20,"")</f>
        <v>9.0309863062572569E-3</v>
      </c>
      <c r="BK113" s="153" t="str">
        <f>IF(OR(T113="Cash",T113="Cash Adjustments"),"-",_xll.BDP(R113&amp;" FIGI",$BK$1))</f>
        <v>XS2115053626</v>
      </c>
      <c r="BL113" s="11" t="str">
        <f>IF(OR(AS113="Cash", AS113="Cash Adjustments"),"-",IF(ISNA(VLOOKUP(BK113,'BBG - VaR Data (Sample, Indus )'!C:N,5,0)),"-",VLOOKUP(BK113,'BBG - VaR Data (Sample, Indus )'!C:N,5,0)))</f>
        <v>-</v>
      </c>
      <c r="BM113" s="11">
        <f>IF(OR(AS113="Cash", AS113="Cash Adjustments"),"-",IF(ISNA(VLOOKUP(BK113,'BBG - Scenarios (Sample View)'!C:Z,14,0)),"-",VLOOKUP(BK113,'BBG - Scenarios (Sample View)'!C:Z,14,0)))</f>
        <v>-2.9</v>
      </c>
      <c r="BN113" s="14">
        <f t="shared" si="16"/>
        <v>974227.48323013424</v>
      </c>
      <c r="BO113" s="1">
        <f t="shared" si="17"/>
        <v>1.9110922440161184E-3</v>
      </c>
      <c r="BP113" t="str">
        <f>IF(BC113&lt;&gt;0,MaturityBucket(BG113),"")</f>
        <v>3 - 5 yrs</v>
      </c>
      <c r="BQ113" s="11" t="str">
        <f>IF(OR(T113="Cash",T113="Cash Adjustments"),T113,VLOOKUP(AL113,'SFC Classifcation'!$A:$C,2,0))</f>
        <v>China</v>
      </c>
      <c r="BR113" s="1" t="e">
        <f>IF(S113="Bond",BH113/'SFC Report'!$B$7,"")</f>
        <v>#VALUE!</v>
      </c>
      <c r="BS113" t="str">
        <f>IF(OR(T113="Cash",T113="Cash Adjustments"),"-",_xll.BDP(R113&amp;" FIGI",$BS$1))</f>
        <v>#N/A N/A</v>
      </c>
      <c r="BT113" t="str">
        <f>IF(OR(T113="Cash",T113="Cash Adjustments"),"-",_xll.BDP(R113&amp;" FIGI",$BT$1))</f>
        <v>2/24/2020</v>
      </c>
      <c r="BU113" t="str">
        <f>IF(OR(T113="Cash",T113="Cash Adjustments"),"-",_xll.BDP(R113&amp;" FIGI",$BU$1))</f>
        <v>#N/A N/A</v>
      </c>
    </row>
    <row r="114" spans="1:73">
      <c r="A114" s="254" t="s">
        <v>15</v>
      </c>
      <c r="B114" s="254" t="s">
        <v>25</v>
      </c>
      <c r="C114" s="254" t="s">
        <v>46</v>
      </c>
      <c r="D114" s="254" t="s">
        <v>22</v>
      </c>
      <c r="E114" s="254"/>
      <c r="F114" s="254" t="s">
        <v>84</v>
      </c>
      <c r="G114" s="254" t="s">
        <v>85</v>
      </c>
      <c r="H114" s="270">
        <v>7500000</v>
      </c>
      <c r="I114" s="270">
        <v>112.002</v>
      </c>
      <c r="J114" s="270">
        <v>7500000</v>
      </c>
      <c r="K114" s="270">
        <v>58872750</v>
      </c>
      <c r="L114" s="270">
        <v>6230092.5300000003</v>
      </c>
      <c r="M114" s="270">
        <v>431589.27</v>
      </c>
      <c r="N114" s="270">
        <v>65102842.530000001</v>
      </c>
      <c r="O114" s="255">
        <v>1.43E-2</v>
      </c>
      <c r="P114" s="1"/>
      <c r="Q114" s="1" t="str">
        <f t="shared" si="11"/>
        <v>Investments</v>
      </c>
      <c r="R114" s="1" t="str">
        <f>_xll.BDP(G114&amp;" ISIN",$R$1)</f>
        <v>BBG00NGF27D6</v>
      </c>
      <c r="S114" s="1" t="str">
        <f>IF(Q114="Cash",Q114,IF(OR(Q114="Receivable Investments",Q114="Payable Investments"),"Cash Adjustments",_xll.BDP(R114&amp;" FIGI",$S$1)))</f>
        <v>BOND</v>
      </c>
      <c r="T114" s="1" t="str">
        <f>IF(Q114="Cash",Q114,IF(OR(Q114="Receivable Investments",Q114="Payable Investments"),"Cash Adjustments",VLOOKUP(R114,LQA!E:S,3,0)))</f>
        <v>Corp</v>
      </c>
      <c r="U114" s="1" t="str">
        <f>IF(Q114="Cash",Q114,IF(OR(Q114="Receivable Investments",Q114="Payable Investments"),"Cash Adjustments",_xll.BDP(R114&amp;" FIGI",$U$1)))</f>
        <v>#N/A Field Not Applicable</v>
      </c>
      <c r="V114" s="10">
        <f>IF(OR(Q114="Cash",Q114="Receivable Investments",Q114="Payable Investments"),0,IF(Q114="Investments",VLOOKUP(R114,LQA!E:Q,12,0),"Not Covered"))</f>
        <v>1.3</v>
      </c>
      <c r="W114" s="76">
        <f>IF(OR(Q114="Cash",Q114="Receivable Investments",Q114="Payable Investments"),0,IF(Q114="Investments",VLOOKUP(R114,LQA!E:Q,9,0),"Not Covered"))</f>
        <v>1.141E-2</v>
      </c>
      <c r="X114" s="13" t="str">
        <f>IF(OR(H114=0,T114="Comdty"),"High",IF(V114&lt;='Liquidity Bucket'!$A$4,'Liquidity Bucket'!$I$4,IF(V114&lt;='Liquidity Bucket'!$A$5,'Liquidity Bucket'!$I$5,IF(V114&lt;='Liquidity Bucket'!$A$6,'Liquidity Bucket'!$I$6,IF(V114='Liquidity Bucket'!$A$8,'Liquidity Bucket'!$I$8,'Liquidity Bucket'!$I$7)))))</f>
        <v>High</v>
      </c>
      <c r="Y114" s="153">
        <f>IF(OR(Q114="Cash",Q114="Receivable Investments",Q114="Payable Investments"),0,IF(Q114="Investments",VLOOKUP(R114,'LQA Stress'!E:Q,12,0),"Not Covered"))</f>
        <v>2.2999999999999998</v>
      </c>
      <c r="Z114" s="75">
        <f>IF(OR(Q114="Cash",Q114="Receivable Investments",Q114="Payable Investments"),0,IF(Q114="Investments",VLOOKUP(R114,'LQA Stress'!E:Q,9,0),"Not Covered"))</f>
        <v>2.9824E-2</v>
      </c>
      <c r="AA114" s="13" t="str">
        <f>IF(T114="Comdty","High",IF(Y114&lt;='Liquidity Bucket'!$A$4,'Liquidity Bucket'!$I$4,IF(Y114&lt;='Liquidity Bucket'!$A$5,'Liquidity Bucket'!$I$5,IF(Y114&lt;='Liquidity Bucket'!$A$6,'Liquidity Bucket'!$I$6,IF(Y114='Liquidity Bucket'!$A$8,'Liquidity Bucket'!$I$8,'Liquidity Bucket'!$I$7)))))</f>
        <v>High</v>
      </c>
      <c r="AB114" s="14">
        <f>(N114+M114)/'FX Rates'!$C$5</f>
        <v>8453874.0712074321</v>
      </c>
      <c r="AC114" s="15" t="str">
        <f>IF(X114="Not Covered", (H114/_xll.BDP(R114&amp;" FIGI",$AC$1)),"")</f>
        <v/>
      </c>
      <c r="AD114" s="16" t="str">
        <f>IF(X114="Not Covered", _xll.BDP(R114&amp;" FIGI",$AD$1),"")</f>
        <v/>
      </c>
      <c r="AE114" s="16" t="str">
        <f>IF(OR(T114="Corp",T114="Govt"),IF(_xll.BDP(R114&amp;" FIGI",$AE$1)="#N/A N/A","",_xll.BDP(R114&amp;" FIGI",$AE$1)),"")</f>
        <v>A-</v>
      </c>
      <c r="AF114" s="1" t="str">
        <f>IF(OR(T114="Corp",T114="Govt"),IF(_xll.BDP(R114&amp;" FIGI",$AF$1)="#N/A N/A","",_xll.BDP(R114&amp;" FIGI",$AF$1)),"")</f>
        <v>A3</v>
      </c>
      <c r="AG114" s="16" t="str">
        <f>IF(OR(T114="Corp",T114="Govt"),IF(_xll.BDP(R114&amp;" FIGI",$AG$1)="#N/A N/A","",_xll.BDP(R114&amp;" FIGI",$AG$1)),"")</f>
        <v/>
      </c>
      <c r="AH114" s="125">
        <f>IF(OR(S114="Cash",S114="M-Mkt"),21,IF(AE114="",0,VLOOKUP(AE114,'Rating Scale'!A:B,2,0)))</f>
        <v>15</v>
      </c>
      <c r="AI114" s="125">
        <f>IF(OR(S114="Cash",S114="M-Mkt"),21,IF(AF114="",0,VLOOKUP(AF114,'Rating Scale'!D:E,2,0)))</f>
        <v>15</v>
      </c>
      <c r="AJ114" s="125">
        <f>IF(OR(S114="Cash",S114="M-Mkt"),21,IF(AG114="",0,VLOOKUP(AG114,'Rating Scale'!G:H,2,0)))</f>
        <v>0</v>
      </c>
      <c r="AK114">
        <f>Rating(AH114,AI114,AJ114)</f>
        <v>15</v>
      </c>
      <c r="AL114" s="1" t="str">
        <f>IF(OR(U114="Cash",U114="Cash Adjustments"),_xll.BDP(G114&amp;" Curncy","Country"),IF(T114="Equity",_xll.BDP(R114&amp;" FIGI","CNTRY_ISSUE_ISO"),_xll.BDP(R114&amp;" FIGI",$AL$1)))</f>
        <v>JP</v>
      </c>
      <c r="AM114" s="126" t="str">
        <f>IF(OR(T114="Cash",T114="Cash Adjustments",T114="M-Mkt"), T114, IF(T114="Comdty",AS114, _xll.BDP(R114&amp;" FIGI", $AM$1)))</f>
        <v>Financial</v>
      </c>
      <c r="AN114" s="126" t="str">
        <f>IF(OR(T114="Cash",T114="Cash Adjustments",T114="M-Mkt"), T114,  IF(T114="Comdty",AS114,_xll.BDP(R114&amp;" FIGI", $AN$1)))</f>
        <v>Insurance</v>
      </c>
      <c r="AO114" s="126" t="str">
        <f>IF(OR(T114="Cash",T114="Cash Adjustments",T114="M-Mkt"), T114,  IF(T114="Comdty",AS114,_xll.BDP(R114&amp;" FIGI", $AO$1)))</f>
        <v>Property/Casualty Ins</v>
      </c>
      <c r="AP114" s="13" t="str">
        <f>IF(OR(T114="Cash",T114="Cash Adjustments"), T114, IF(_xll.BDP(R114&amp;" FIGI", $AP$1)="#N/A Field Not Applicable","N",_xll.BDP(R114&amp;" FIGI", $AP$1)))</f>
        <v>N</v>
      </c>
      <c r="AQ114" s="1" t="str">
        <f>IF(OR(T114="Cash",T114="Cash Adjustments"), T114, IF(_xll.BDP(R114&amp;" FIGI", $AQ$1)="#N/A Field Not Applicable"," ",_xll.BDP(R114&amp;" FIGI", $AQ$1)))</f>
        <v xml:space="preserve"> </v>
      </c>
      <c r="AR114" s="1" t="str">
        <f>IF(OR(T114="Cash",T114="Cash Adjustments"), T114, IF(_xll.BDP(R114&amp;" FIGI", $AR$1)="#N/A Field Not Applicable"," ",_xll.BDP(R114&amp;" FIGI", $AR$1)))</f>
        <v>ACTV</v>
      </c>
      <c r="AS114" s="1" t="str">
        <f>VLOOKUP(T114,'SFC Classifcation'!$F$2:$H$7,3,0)</f>
        <v>Corporate</v>
      </c>
      <c r="AT114" s="22" t="str">
        <f t="shared" si="12"/>
        <v>Financial</v>
      </c>
      <c r="AU114" s="1" t="str">
        <f t="shared" si="13"/>
        <v>Investment Grade</v>
      </c>
      <c r="AV114" s="1" t="str">
        <f>IF(OR(T114="Cash",T114="Cash Adjustments"),T114,VLOOKUP(AL114,'SFC Classifcation'!$A:$C,3,0))</f>
        <v>Japan</v>
      </c>
      <c r="AW114" s="22" t="str">
        <f t="shared" si="14"/>
        <v>High</v>
      </c>
      <c r="AX114" s="22" t="str">
        <f t="shared" si="15"/>
        <v>High</v>
      </c>
      <c r="AY114" s="45" t="str">
        <f>IF(OR(T114="Cash",T114="Cash Adjustments"), T114, _xll.BDP(R114&amp;" FIGI", $AY$1))</f>
        <v>Financials</v>
      </c>
      <c r="AZ114" s="45" t="str">
        <f>IF(OR(T114="Cash",T114="Cash Adjustments"), T114, _xll.BDP(R114&amp;" FIGI", $AZ$1))</f>
        <v>FINANCIAL</v>
      </c>
      <c r="BA114" s="45" t="str">
        <f>IF(OR(T114="Cash",T114="Cash Adjustments"), T114, _xll.BDP(R114&amp;" FIGI", $BA$1))</f>
        <v>#N/A Field Not Applicable</v>
      </c>
      <c r="BB114" s="16">
        <f>IF(OR(AS114="Government",AS114="Corporate"),(AK114*AB114/'SFC Report'!$C$20),"")</f>
        <v>0.23037992088526951</v>
      </c>
      <c r="BC114" s="174" t="str">
        <f>IF(OR(T114="Cash",T114="Cash Adjustments", T114="FX Forward", T114="Repo", T114="Equity", T114="M-Mkt"), "", _xll.BDP(R114&amp;" FIGI", $BC$1))</f>
        <v>9/6/2168</v>
      </c>
      <c r="BD114" s="125">
        <f ca="1">IF(OR(T114="Cash",T114="Cash Adjustments",T114="FX Forward",T114="Repo", T114="Equity", T114="M-Mkt"),"",(BC114-'SFC Report'!$B$13)/365)</f>
        <v>148.45205479452054</v>
      </c>
      <c r="BE114" s="82" t="str">
        <f t="shared" ca="1" si="18"/>
        <v>10 yrs or Above</v>
      </c>
      <c r="BF114" s="5">
        <f ca="1">IF(BC114="","",BD114*AB114/'SFC Report'!$C$20)</f>
        <v>2.2800248425878222</v>
      </c>
      <c r="BG114" s="14" cm="1">
        <f t="array" ref="BG114">IF(OR(AS114="Corporate",AS114="Government"),_xll.BDP(G114&amp;" ISIN", $BG$1),"")</f>
        <v>7.1718031488564584</v>
      </c>
      <c r="BH114" s="140">
        <f>IF(OR(AS114="Corporate",AS114="Government"),BG114*BN114/'SFC Report'!$C$20,"")</f>
        <v>0.11014929613588517</v>
      </c>
      <c r="BI114" s="140">
        <f>IF(OR(AS114="Corporate",AS114="Government"),_xll.BDP(G114&amp;" ISIN", $BI$1),"")</f>
        <v>3.4515783788806194</v>
      </c>
      <c r="BJ114" s="140">
        <f>IF(OR(AS114="Corporate",AS114="Government"),BI114*AB114/'SFC Report'!$C$20,"")</f>
        <v>5.3011623590388253E-2</v>
      </c>
      <c r="BK114" s="153" t="str">
        <f>IF(OR(T114="Cash",T114="Cash Adjustments"),"-",_xll.BDP(R114&amp;" FIGI",$BK$1))</f>
        <v>USJ4517MAA74</v>
      </c>
      <c r="BL114" s="11" t="str">
        <f>IF(OR(AS114="Cash", AS114="Cash Adjustments"),"-",IF(ISNA(VLOOKUP(BK114,'BBG - VaR Data (Sample, Indus )'!C:N,5,0)),"-",VLOOKUP(BK114,'BBG - VaR Data (Sample, Indus )'!C:N,5,0)))</f>
        <v>-</v>
      </c>
      <c r="BM114" s="11">
        <f>IF(OR(AS114="Cash", AS114="Cash Adjustments"),"-",IF(ISNA(VLOOKUP(BK114,'BBG - Scenarios (Sample View)'!C:Z,14,0)),"-",VLOOKUP(BK114,'BBG - Scenarios (Sample View)'!C:Z,14,0)))</f>
        <v>-6.24</v>
      </c>
      <c r="BN114" s="14">
        <f t="shared" si="16"/>
        <v>8453874.0712074321</v>
      </c>
      <c r="BO114" s="1">
        <f t="shared" si="17"/>
        <v>1.6583532539860665E-2</v>
      </c>
      <c r="BP114" t="str">
        <f>IF(BC114&lt;&gt;0,MaturityBucket(BG114),"")</f>
        <v>7 - 10 yrs</v>
      </c>
      <c r="BQ114" s="11" t="str">
        <f>IF(OR(T114="Cash",T114="Cash Adjustments"),T114,VLOOKUP(AL114,'SFC Classifcation'!$A:$C,2,0))</f>
        <v>Japan</v>
      </c>
      <c r="BR114" s="1" t="e">
        <f>IF(S114="Bond",BH114/'SFC Report'!$B$7,"")</f>
        <v>#VALUE!</v>
      </c>
      <c r="BS114" t="str">
        <f>IF(OR(T114="Cash",T114="Cash Adjustments"),"-",_xll.BDP(R114&amp;" FIGI",$BS$1))</f>
        <v>2/25/2019</v>
      </c>
      <c r="BT114" t="str">
        <f>IF(OR(T114="Cash",T114="Cash Adjustments"),"-",_xll.BDP(R114&amp;" FIGI",$BT$1))</f>
        <v>2/28/2019</v>
      </c>
      <c r="BU114" t="str">
        <f>IF(OR(T114="Cash",T114="Cash Adjustments"),"-",_xll.BDP(R114&amp;" FIGI",$BU$1))</f>
        <v>#N/A N/A</v>
      </c>
    </row>
    <row r="115" spans="1:73">
      <c r="A115" s="254" t="s">
        <v>15</v>
      </c>
      <c r="B115" s="254" t="s">
        <v>25</v>
      </c>
      <c r="C115" s="254" t="s">
        <v>46</v>
      </c>
      <c r="D115" s="254" t="s">
        <v>22</v>
      </c>
      <c r="E115" s="254"/>
      <c r="F115" s="254" t="s">
        <v>86</v>
      </c>
      <c r="G115" s="254" t="s">
        <v>87</v>
      </c>
      <c r="H115" s="270">
        <v>1500000</v>
      </c>
      <c r="I115" s="270">
        <v>109.694</v>
      </c>
      <c r="J115" s="270">
        <v>1524750</v>
      </c>
      <c r="K115" s="270">
        <v>11916836.1</v>
      </c>
      <c r="L115" s="270">
        <v>835420.48</v>
      </c>
      <c r="M115" s="270">
        <v>16792.099999999999</v>
      </c>
      <c r="N115" s="270">
        <v>12752256.58</v>
      </c>
      <c r="O115" s="255">
        <v>2.8E-3</v>
      </c>
      <c r="P115" s="1"/>
      <c r="Q115" s="1" t="str">
        <f t="shared" si="11"/>
        <v>Investments</v>
      </c>
      <c r="R115" s="1" t="str">
        <f>_xll.BDP(G115&amp;" ISIN",$R$1)</f>
        <v>BBG00B6SDBV4</v>
      </c>
      <c r="S115" s="1" t="str">
        <f>IF(Q115="Cash",Q115,IF(OR(Q115="Receivable Investments",Q115="Payable Investments"),"Cash Adjustments",_xll.BDP(R115&amp;" FIGI",$S$1)))</f>
        <v>BOND</v>
      </c>
      <c r="T115" s="1" t="str">
        <f>IF(Q115="Cash",Q115,IF(OR(Q115="Receivable Investments",Q115="Payable Investments"),"Cash Adjustments",VLOOKUP(R115,LQA!E:S,3,0)))</f>
        <v>Corp</v>
      </c>
      <c r="U115" s="1" t="str">
        <f>IF(Q115="Cash",Q115,IF(OR(Q115="Receivable Investments",Q115="Payable Investments"),"Cash Adjustments",_xll.BDP(R115&amp;" FIGI",$U$1)))</f>
        <v>#N/A Field Not Applicable</v>
      </c>
      <c r="V115" s="10">
        <f>IF(OR(Q115="Cash",Q115="Receivable Investments",Q115="Payable Investments"),0,IF(Q115="Investments",VLOOKUP(R115,LQA!E:Q,12,0),"Not Covered"))</f>
        <v>0.3</v>
      </c>
      <c r="W115" s="76">
        <f>IF(OR(Q115="Cash",Q115="Receivable Investments",Q115="Payable Investments"),0,IF(Q115="Investments",VLOOKUP(R115,LQA!E:Q,9,0),"Not Covered"))</f>
        <v>6.8349999999999999E-3</v>
      </c>
      <c r="X115" s="13" t="str">
        <f>IF(OR(H115=0,T115="Comdty"),"High",IF(V115&lt;='Liquidity Bucket'!$A$4,'Liquidity Bucket'!$I$4,IF(V115&lt;='Liquidity Bucket'!$A$5,'Liquidity Bucket'!$I$5,IF(V115&lt;='Liquidity Bucket'!$A$6,'Liquidity Bucket'!$I$6,IF(V115='Liquidity Bucket'!$A$8,'Liquidity Bucket'!$I$8,'Liquidity Bucket'!$I$7)))))</f>
        <v>High</v>
      </c>
      <c r="Y115" s="153">
        <f>IF(OR(Q115="Cash",Q115="Receivable Investments",Q115="Payable Investments"),0,IF(Q115="Investments",VLOOKUP(R115,'LQA Stress'!E:Q,12,0),"Not Covered"))</f>
        <v>0.7</v>
      </c>
      <c r="Z115" s="75">
        <f>IF(OR(Q115="Cash",Q115="Receivable Investments",Q115="Payable Investments"),0,IF(Q115="Investments",VLOOKUP(R115,'LQA Stress'!E:Q,9,0),"Not Covered"))</f>
        <v>1.8398000000000001E-2</v>
      </c>
      <c r="AA115" s="13" t="str">
        <f>IF(T115="Comdty","High",IF(Y115&lt;='Liquidity Bucket'!$A$4,'Liquidity Bucket'!$I$4,IF(Y115&lt;='Liquidity Bucket'!$A$5,'Liquidity Bucket'!$I$5,IF(Y115&lt;='Liquidity Bucket'!$A$6,'Liquidity Bucket'!$I$6,IF(Y115='Liquidity Bucket'!$A$8,'Liquidity Bucket'!$I$8,'Liquidity Bucket'!$I$7)))))</f>
        <v>High</v>
      </c>
      <c r="AB115" s="14">
        <f>(N115+M115)/'FX Rates'!$C$5</f>
        <v>1647194.1021671826</v>
      </c>
      <c r="AC115" s="15" t="str">
        <f>IF(X115="Not Covered", (H115/_xll.BDP(R115&amp;" FIGI",$AC$1)),"")</f>
        <v/>
      </c>
      <c r="AD115" s="16" t="str">
        <f>IF(X115="Not Covered", _xll.BDP(R115&amp;" FIGI",$AD$1),"")</f>
        <v/>
      </c>
      <c r="AE115" s="16" t="str">
        <f>IF(OR(T115="Corp",T115="Govt"),IF(_xll.BDP(R115&amp;" FIGI",$AE$1)="#N/A N/A","",_xll.BDP(R115&amp;" FIGI",$AE$1)),"")</f>
        <v>A-</v>
      </c>
      <c r="AF115" s="1" t="str">
        <f>IF(OR(T115="Corp",T115="Govt"),IF(_xll.BDP(R115&amp;" FIGI",$AF$1)="#N/A N/A","",_xll.BDP(R115&amp;" FIGI",$AF$1)),"")</f>
        <v>A3</v>
      </c>
      <c r="AG115" s="16" t="str">
        <f>IF(OR(T115="Corp",T115="Govt"),IF(_xll.BDP(R115&amp;" FIGI",$AG$1)="#N/A N/A","",_xll.BDP(R115&amp;" FIGI",$AG$1)),"")</f>
        <v>A-u</v>
      </c>
      <c r="AH115" s="125">
        <f>IF(OR(S115="Cash",S115="M-Mkt"),21,IF(AE115="",0,VLOOKUP(AE115,'Rating Scale'!A:B,2,0)))</f>
        <v>15</v>
      </c>
      <c r="AI115" s="125">
        <f>IF(OR(S115="Cash",S115="M-Mkt"),21,IF(AF115="",0,VLOOKUP(AF115,'Rating Scale'!D:E,2,0)))</f>
        <v>15</v>
      </c>
      <c r="AJ115" s="125">
        <f>IF(OR(S115="Cash",S115="M-Mkt"),21,IF(AG115="",0,VLOOKUP(AG115,'Rating Scale'!G:H,2,0)))</f>
        <v>15</v>
      </c>
      <c r="AK115">
        <f>Rating(AH115,AI115,AJ115)</f>
        <v>15</v>
      </c>
      <c r="AL115" s="1" t="str">
        <f>IF(OR(U115="Cash",U115="Cash Adjustments"),_xll.BDP(G115&amp;" Curncy","Country"),IF(T115="Equity",_xll.BDP(R115&amp;" FIGI","CNTRY_ISSUE_ISO"),_xll.BDP(R115&amp;" FIGI",$AL$1)))</f>
        <v>JP</v>
      </c>
      <c r="AM115" s="126" t="str">
        <f>IF(OR(T115="Cash",T115="Cash Adjustments",T115="M-Mkt"), T115, IF(T115="Comdty",AS115, _xll.BDP(R115&amp;" FIGI", $AM$1)))</f>
        <v>Financial</v>
      </c>
      <c r="AN115" s="126" t="str">
        <f>IF(OR(T115="Cash",T115="Cash Adjustments",T115="M-Mkt"), T115,  IF(T115="Comdty",AS115,_xll.BDP(R115&amp;" FIGI", $AN$1)))</f>
        <v>Insurance</v>
      </c>
      <c r="AO115" s="126" t="str">
        <f>IF(OR(T115="Cash",T115="Cash Adjustments",T115="M-Mkt"), T115,  IF(T115="Comdty",AS115,_xll.BDP(R115&amp;" FIGI", $AO$1)))</f>
        <v>Life/Health Insurance</v>
      </c>
      <c r="AP115" s="13" t="str">
        <f>IF(OR(T115="Cash",T115="Cash Adjustments"), T115, IF(_xll.BDP(R115&amp;" FIGI", $AP$1)="#N/A Field Not Applicable","N",_xll.BDP(R115&amp;" FIGI", $AP$1)))</f>
        <v>N</v>
      </c>
      <c r="AQ115" s="1" t="str">
        <f>IF(OR(T115="Cash",T115="Cash Adjustments"), T115, IF(_xll.BDP(R115&amp;" FIGI", $AQ$1)="#N/A Field Not Applicable"," ",_xll.BDP(R115&amp;" FIGI", $AQ$1)))</f>
        <v xml:space="preserve"> </v>
      </c>
      <c r="AR115" s="1" t="str">
        <f>IF(OR(T115="Cash",T115="Cash Adjustments"), T115, IF(_xll.BDP(R115&amp;" FIGI", $AR$1)="#N/A Field Not Applicable"," ",_xll.BDP(R115&amp;" FIGI", $AR$1)))</f>
        <v>ACTV</v>
      </c>
      <c r="AS115" s="1" t="str">
        <f>VLOOKUP(T115,'SFC Classifcation'!$F$2:$H$7,3,0)</f>
        <v>Corporate</v>
      </c>
      <c r="AT115" s="22" t="str">
        <f t="shared" si="12"/>
        <v>Financial</v>
      </c>
      <c r="AU115" s="1" t="str">
        <f t="shared" si="13"/>
        <v>Investment Grade</v>
      </c>
      <c r="AV115" s="1" t="str">
        <f>IF(OR(T115="Cash",T115="Cash Adjustments"),T115,VLOOKUP(AL115,'SFC Classifcation'!$A:$C,3,0))</f>
        <v>Japan</v>
      </c>
      <c r="AW115" s="22" t="str">
        <f t="shared" si="14"/>
        <v>High</v>
      </c>
      <c r="AX115" s="22" t="str">
        <f t="shared" si="15"/>
        <v>High</v>
      </c>
      <c r="AY115" s="45" t="str">
        <f>IF(OR(T115="Cash",T115="Cash Adjustments"), T115, _xll.BDP(R115&amp;" FIGI", $AY$1))</f>
        <v>#N/A Field Not Applicable</v>
      </c>
      <c r="AZ115" s="45" t="str">
        <f>IF(OR(T115="Cash",T115="Cash Adjustments"), T115, _xll.BDP(R115&amp;" FIGI", $AZ$1))</f>
        <v>FINANCIAL</v>
      </c>
      <c r="BA115" s="45" t="str">
        <f>IF(OR(T115="Cash",T115="Cash Adjustments"), T115, _xll.BDP(R115&amp;" FIGI", $BA$1))</f>
        <v>#N/A Field Not Applicable</v>
      </c>
      <c r="BB115" s="16">
        <f>IF(OR(AS115="Government",AS115="Corporate"),(AK115*AB115/'SFC Report'!$C$20),"")</f>
        <v>4.488834867228611E-2</v>
      </c>
      <c r="BC115" s="174" t="str">
        <f>IF(OR(T115="Cash",T115="Cash Adjustments", T115="FX Forward", T115="Repo", T115="Equity", T115="M-Mkt"), "", _xll.BDP(R115&amp;" FIGI", $BC$1))</f>
        <v>10/20/2045</v>
      </c>
      <c r="BD115" s="125">
        <f ca="1">IF(OR(T115="Cash",T115="Cash Adjustments",T115="FX Forward",T115="Repo", T115="Equity", T115="M-Mkt"),"",(BC115-'SFC Report'!$B$13)/365)</f>
        <v>25.490410958904111</v>
      </c>
      <c r="BE115" s="82" t="str">
        <f t="shared" ca="1" si="18"/>
        <v>10 yrs or Above</v>
      </c>
      <c r="BF115" s="5">
        <f ca="1">IF(BC115="","",BD115*AB115/'SFC Report'!$C$20)</f>
        <v>7.6281496994876713E-2</v>
      </c>
      <c r="BG115" s="14" cm="1">
        <f t="array" ref="BG115">IF(OR(AS115="Corporate",AS115="Government"),_xll.BDP(G115&amp;" ISIN", $BG$1),"")</f>
        <v>4.7180385146725081</v>
      </c>
      <c r="BH115" s="140">
        <f>IF(OR(AS115="Corporate",AS115="Government"),BG115*BN115/'SFC Report'!$C$20,"")</f>
        <v>1.4118997193059627E-2</v>
      </c>
      <c r="BI115" s="140">
        <f>IF(OR(AS115="Corporate",AS115="Government"),_xll.BDP(G115&amp;" ISIN", $BI$1),"")</f>
        <v>4.1055511866528267</v>
      </c>
      <c r="BJ115" s="140">
        <f>IF(OR(AS115="Corporate",AS115="Government"),BI115*AB115/'SFC Report'!$C$20,"")</f>
        <v>1.2286094210559336E-2</v>
      </c>
      <c r="BK115" s="153" t="str">
        <f>IF(OR(T115="Cash",T115="Cash Adjustments"),"-",_xll.BDP(R115&amp;" FIGI",$BK$1))</f>
        <v>USJ41838AA14</v>
      </c>
      <c r="BL115" s="11" t="str">
        <f>IF(OR(AS115="Cash", AS115="Cash Adjustments"),"-",IF(ISNA(VLOOKUP(BK115,'BBG - VaR Data (Sample, Indus )'!C:N,5,0)),"-",VLOOKUP(BK115,'BBG - VaR Data (Sample, Indus )'!C:N,5,0)))</f>
        <v>-</v>
      </c>
      <c r="BM115" s="11">
        <f>IF(OR(AS115="Cash", AS115="Cash Adjustments"),"-",IF(ISNA(VLOOKUP(BK115,'BBG - Scenarios (Sample View)'!C:Z,14,0)),"-",VLOOKUP(BK115,'BBG - Scenarios (Sample View)'!C:Z,14,0)))</f>
        <v>-4.2300000000000004</v>
      </c>
      <c r="BN115" s="14">
        <f t="shared" si="16"/>
        <v>1647194.1021671826</v>
      </c>
      <c r="BO115" s="1">
        <f t="shared" si="17"/>
        <v>3.2312164532697575E-3</v>
      </c>
      <c r="BP115" t="str">
        <f>IF(BC115&lt;&gt;0,MaturityBucket(BG115),"")</f>
        <v>3 - 5 yrs</v>
      </c>
      <c r="BQ115" s="11" t="str">
        <f>IF(OR(T115="Cash",T115="Cash Adjustments"),T115,VLOOKUP(AL115,'SFC Classifcation'!$A:$C,2,0))</f>
        <v>Japan</v>
      </c>
      <c r="BR115" s="1" t="e">
        <f>IF(S115="Bond",BH115/'SFC Report'!$B$7,"")</f>
        <v>#VALUE!</v>
      </c>
      <c r="BS115" t="str">
        <f>IF(OR(T115="Cash",T115="Cash Adjustments"),"-",_xll.BDP(R115&amp;" FIGI",$BS$1))</f>
        <v>10/29/2019</v>
      </c>
      <c r="BT115" t="str">
        <f>IF(OR(T115="Cash",T115="Cash Adjustments"),"-",_xll.BDP(R115&amp;" FIGI",$BT$1))</f>
        <v>10/7/2015</v>
      </c>
      <c r="BU115" t="str">
        <f>IF(OR(T115="Cash",T115="Cash Adjustments"),"-",_xll.BDP(R115&amp;" FIGI",$BU$1))</f>
        <v>10/19/2015</v>
      </c>
    </row>
    <row r="116" spans="1:73">
      <c r="A116" s="254" t="s">
        <v>15</v>
      </c>
      <c r="B116" s="254" t="s">
        <v>25</v>
      </c>
      <c r="C116" s="254" t="s">
        <v>46</v>
      </c>
      <c r="D116" s="254" t="s">
        <v>22</v>
      </c>
      <c r="E116" s="254"/>
      <c r="F116" s="254" t="s">
        <v>1126</v>
      </c>
      <c r="G116" s="254" t="s">
        <v>1117</v>
      </c>
      <c r="H116" s="270">
        <v>4500000</v>
      </c>
      <c r="I116" s="270">
        <v>95.082999999999998</v>
      </c>
      <c r="J116" s="270">
        <v>4518190</v>
      </c>
      <c r="K116" s="270">
        <v>35308383.329999998</v>
      </c>
      <c r="L116" s="270">
        <v>-2147331.33</v>
      </c>
      <c r="M116" s="270">
        <v>716893.5</v>
      </c>
      <c r="N116" s="270">
        <v>33161052</v>
      </c>
      <c r="O116" s="255">
        <v>7.3000000000000001E-3</v>
      </c>
      <c r="P116" s="1"/>
      <c r="Q116" s="1" t="str">
        <f t="shared" si="11"/>
        <v>Investments</v>
      </c>
      <c r="R116" s="1" t="str">
        <f>_xll.BDP(G116&amp;" ISIN",$R$1)</f>
        <v>BBG00GSCY4N6</v>
      </c>
      <c r="S116" s="1" t="str">
        <f>IF(Q116="Cash",Q116,IF(OR(Q116="Receivable Investments",Q116="Payable Investments"),"Cash Adjustments",_xll.BDP(R116&amp;" FIGI",$S$1)))</f>
        <v>BOND</v>
      </c>
      <c r="T116" s="1" t="str">
        <f>IF(Q116="Cash",Q116,IF(OR(Q116="Receivable Investments",Q116="Payable Investments"),"Cash Adjustments",VLOOKUP(R116,LQA!E:S,3,0)))</f>
        <v>Corp</v>
      </c>
      <c r="U116" s="1" t="str">
        <f>IF(Q116="Cash",Q116,IF(OR(Q116="Receivable Investments",Q116="Payable Investments"),"Cash Adjustments",_xll.BDP(R116&amp;" FIGI",$U$1)))</f>
        <v>#N/A Field Not Applicable</v>
      </c>
      <c r="V116" s="10">
        <f>IF(OR(Q116="Cash",Q116="Receivable Investments",Q116="Payable Investments"),0,IF(Q116="Investments",VLOOKUP(R116,LQA!E:Q,12,0),"Not Covered"))</f>
        <v>0.3</v>
      </c>
      <c r="W116" s="76">
        <f>IF(OR(Q116="Cash",Q116="Receivable Investments",Q116="Payable Investments"),0,IF(Q116="Investments",VLOOKUP(R116,LQA!E:Q,9,0),"Not Covered"))</f>
        <v>1.1563E-2</v>
      </c>
      <c r="X116" s="13" t="str">
        <f>IF(OR(H116=0,T116="Comdty"),"High",IF(V116&lt;='Liquidity Bucket'!$A$4,'Liquidity Bucket'!$I$4,IF(V116&lt;='Liquidity Bucket'!$A$5,'Liquidity Bucket'!$I$5,IF(V116&lt;='Liquidity Bucket'!$A$6,'Liquidity Bucket'!$I$6,IF(V116='Liquidity Bucket'!$A$8,'Liquidity Bucket'!$I$8,'Liquidity Bucket'!$I$7)))))</f>
        <v>High</v>
      </c>
      <c r="Y116" s="153">
        <f>IF(OR(Q116="Cash",Q116="Receivable Investments",Q116="Payable Investments"),0,IF(Q116="Investments",VLOOKUP(R116,'LQA Stress'!E:Q,12,0),"Not Covered"))</f>
        <v>0.8</v>
      </c>
      <c r="Z116" s="75">
        <f>IF(OR(Q116="Cash",Q116="Receivable Investments",Q116="Payable Investments"),0,IF(Q116="Investments",VLOOKUP(R116,'LQA Stress'!E:Q,9,0),"Not Covered"))</f>
        <v>3.1243E-2</v>
      </c>
      <c r="AA116" s="13" t="str">
        <f>IF(T116="Comdty","High",IF(Y116&lt;='Liquidity Bucket'!$A$4,'Liquidity Bucket'!$I$4,IF(Y116&lt;='Liquidity Bucket'!$A$5,'Liquidity Bucket'!$I$5,IF(Y116&lt;='Liquidity Bucket'!$A$6,'Liquidity Bucket'!$I$6,IF(Y116='Liquidity Bucket'!$A$8,'Liquidity Bucket'!$I$8,'Liquidity Bucket'!$I$7)))))</f>
        <v>High</v>
      </c>
      <c r="AB116" s="14">
        <f>(N116+M116)/'FX Rates'!$C$5</f>
        <v>4370220.0077399379</v>
      </c>
      <c r="AC116" s="15" t="str">
        <f>IF(X116="Not Covered", (H116/_xll.BDP(R116&amp;" FIGI",$AC$1)),"")</f>
        <v/>
      </c>
      <c r="AD116" s="16" t="str">
        <f>IF(X116="Not Covered", _xll.BDP(R116&amp;" FIGI",$AD$1),"")</f>
        <v/>
      </c>
      <c r="AE116" s="16" t="str">
        <f>IF(OR(T116="Corp",T116="Govt"),IF(_xll.BDP(R116&amp;" FIGI",$AE$1)="#N/A N/A","",_xll.BDP(R116&amp;" FIGI",$AE$1)),"")</f>
        <v/>
      </c>
      <c r="AF116" s="1" t="str">
        <f>IF(OR(T116="Corp",T116="Govt"),IF(_xll.BDP(R116&amp;" FIGI",$AF$1)="#N/A N/A","",_xll.BDP(R116&amp;" FIGI",$AF$1)),"")</f>
        <v>Ba2</v>
      </c>
      <c r="AG116" s="16" t="str">
        <f>IF(OR(T116="Corp",T116="Govt"),IF(_xll.BDP(R116&amp;" FIGI",$AG$1)="#N/A N/A","",_xll.BDP(R116&amp;" FIGI",$AG$1)),"")</f>
        <v/>
      </c>
      <c r="AH116" s="125">
        <f>IF(OR(S116="Cash",S116="M-Mkt"),21,IF(AE116="",0,VLOOKUP(AE116,'Rating Scale'!A:B,2,0)))</f>
        <v>0</v>
      </c>
      <c r="AI116" s="125">
        <f>IF(OR(S116="Cash",S116="M-Mkt"),21,IF(AF116="",0,VLOOKUP(AF116,'Rating Scale'!D:E,2,0)))</f>
        <v>10</v>
      </c>
      <c r="AJ116" s="125">
        <f>IF(OR(S116="Cash",S116="M-Mkt"),21,IF(AG116="",0,VLOOKUP(AG116,'Rating Scale'!G:H,2,0)))</f>
        <v>0</v>
      </c>
      <c r="AK116">
        <f t="shared" si="19"/>
        <v>10</v>
      </c>
      <c r="AL116" s="1" t="str">
        <f>IF(OR(U116="Cash",U116="Cash Adjustments"),_xll.BDP(G116&amp;" Curncy","Country"),IF(T116="Equity",_xll.BDP(R116&amp;" FIGI","CNTRY_ISSUE_ISO"),_xll.BDP(R116&amp;" FIGI",$AL$1)))</f>
        <v>HK</v>
      </c>
      <c r="AM116" s="126" t="str">
        <f>IF(OR(T116="Cash",T116="Cash Adjustments",T116="M-Mkt"), T116, IF(T116="Comdty",AS116, _xll.BDP(R116&amp;" FIGI", $AM$1)))</f>
        <v>Financial</v>
      </c>
      <c r="AN116" s="126" t="str">
        <f>IF(OR(T116="Cash",T116="Cash Adjustments",T116="M-Mkt"), T116,  IF(T116="Comdty",AS116,_xll.BDP(R116&amp;" FIGI", $AN$1)))</f>
        <v>Banks</v>
      </c>
      <c r="AO116" s="126" t="str">
        <f>IF(OR(T116="Cash",T116="Cash Adjustments",T116="M-Mkt"), T116,  IF(T116="Comdty",AS116,_xll.BDP(R116&amp;" FIGI", $AO$1)))</f>
        <v>Commer Banks Non-US</v>
      </c>
      <c r="AP116" s="13" t="str">
        <f>IF(OR(T116="Cash",T116="Cash Adjustments"), T116, IF(_xll.BDP(R116&amp;" FIGI", $AP$1)="#N/A Field Not Applicable","N",_xll.BDP(R116&amp;" FIGI", $AP$1)))</f>
        <v>N</v>
      </c>
      <c r="AQ116" s="1" t="str">
        <f>IF(OR(T116="Cash",T116="Cash Adjustments"), T116, IF(_xll.BDP(R116&amp;" FIGI", $AQ$1)="#N/A Field Not Applicable"," ",_xll.BDP(R116&amp;" FIGI", $AQ$1)))</f>
        <v xml:space="preserve"> </v>
      </c>
      <c r="AR116" s="1" t="str">
        <f>IF(OR(T116="Cash",T116="Cash Adjustments"), T116, IF(_xll.BDP(R116&amp;" FIGI", $AR$1)="#N/A Field Not Applicable"," ",_xll.BDP(R116&amp;" FIGI", $AR$1)))</f>
        <v>ACTV</v>
      </c>
      <c r="AS116" s="1" t="str">
        <f>VLOOKUP(T116,'SFC Classifcation'!$F$2:$H$7,3,0)</f>
        <v>Corporate</v>
      </c>
      <c r="AT116" s="22" t="str">
        <f t="shared" si="12"/>
        <v>Financial</v>
      </c>
      <c r="AU116" s="1" t="str">
        <f t="shared" si="13"/>
        <v>Non-Investment Grade</v>
      </c>
      <c r="AV116" s="1" t="str">
        <f>IF(OR(T116="Cash",T116="Cash Adjustments"),T116,VLOOKUP(AL116,'SFC Classifcation'!$A:$C,3,0))</f>
        <v>Hong Kong</v>
      </c>
      <c r="AW116" s="22" t="str">
        <f t="shared" si="14"/>
        <v>High</v>
      </c>
      <c r="AX116" s="22" t="str">
        <f t="shared" si="15"/>
        <v>High</v>
      </c>
      <c r="AY116" s="45" t="str">
        <f>IF(OR(T116="Cash",T116="Cash Adjustments"), T116, _xll.BDP(R116&amp;" FIGI", $AY$1))</f>
        <v>#N/A Field Not Applicable</v>
      </c>
      <c r="AZ116" s="45" t="str">
        <f>IF(OR(T116="Cash",T116="Cash Adjustments"), T116, _xll.BDP(R116&amp;" FIGI", $AZ$1))</f>
        <v>BANK</v>
      </c>
      <c r="BA116" s="45" t="str">
        <f>IF(OR(T116="Cash",T116="Cash Adjustments"), T116, _xll.BDP(R116&amp;" FIGI", $BA$1))</f>
        <v>#N/A Field Not Applicable</v>
      </c>
      <c r="BB116" s="16">
        <f>IF(OR(AS116="Government",AS116="Corporate"),(AK116*AB116/'SFC Report'!$C$20),"")</f>
        <v>7.9396414878664043E-2</v>
      </c>
      <c r="BC116" s="174" t="str">
        <f>IF(OR(T116="Cash",T116="Cash Adjustments", T116="FX Forward", T116="Repo", T116="Equity", T116="M-Mkt"), "", _xll.BDP(R116&amp;" FIGI", $BC$1))</f>
        <v>12/2/2168</v>
      </c>
      <c r="BD116" s="125">
        <f ca="1">IF(OR(T116="Cash",T116="Cash Adjustments",T116="FX Forward",T116="Repo", T116="Equity", T116="M-Mkt"),"",(BC116-'SFC Report'!$B$13)/365)</f>
        <v>148.6904109589041</v>
      </c>
      <c r="BE116" s="82" t="str">
        <f t="shared" ca="1" si="18"/>
        <v>10 yrs or Above</v>
      </c>
      <c r="BF116" s="5">
        <f ca="1">IF(BC116="","",BD116*AB116/'SFC Report'!$C$20)</f>
        <v>1.1805485556972202</v>
      </c>
      <c r="BG116" s="14" cm="1">
        <f t="array" ref="BG116">IF(OR(AS116="Corporate",AS116="Government"),_xll.BDP(G116&amp;" ISIN", $BG$1),"")</f>
        <v>1.8418757493731024</v>
      </c>
      <c r="BH116" s="140">
        <f>IF(OR(AS116="Corporate",AS116="Government"),BG116*BN116/'SFC Report'!$C$20,"")</f>
        <v>1.4623833115217704E-2</v>
      </c>
      <c r="BI116" s="140">
        <f>IF(OR(AS116="Corporate",AS116="Government"),_xll.BDP(G116&amp;" ISIN", $BI$1),"")</f>
        <v>3.693592324304217</v>
      </c>
      <c r="BJ116" s="140">
        <f>IF(OR(AS116="Corporate",AS116="Government"),BI116*AB116/'SFC Report'!$C$20,"")</f>
        <v>2.9325798857310664E-2</v>
      </c>
      <c r="BK116" s="153" t="str">
        <f>IF(OR(T116="Cash",T116="Cash Adjustments"),"-",_xll.BDP(R116&amp;" FIGI",$BK$1))</f>
        <v>XS1618163452</v>
      </c>
      <c r="BL116" s="11" t="str">
        <f>IF(OR(AS116="Cash", AS116="Cash Adjustments"),"-",IF(ISNA(VLOOKUP(BK116,'BBG - VaR Data (Sample, Indus )'!C:N,5,0)),"-",VLOOKUP(BK116,'BBG - VaR Data (Sample, Indus )'!C:N,5,0)))</f>
        <v>-</v>
      </c>
      <c r="BM116" s="11">
        <f>IF(OR(AS116="Cash", AS116="Cash Adjustments"),"-",IF(ISNA(VLOOKUP(BK116,'BBG - Scenarios (Sample View)'!C:Z,14,0)),"-",VLOOKUP(BK116,'BBG - Scenarios (Sample View)'!C:Z,14,0)))</f>
        <v>-4.87</v>
      </c>
      <c r="BN116" s="14">
        <f t="shared" si="16"/>
        <v>4370220.0077399379</v>
      </c>
      <c r="BO116" s="1">
        <f t="shared" si="17"/>
        <v>8.5728371506667428E-3</v>
      </c>
      <c r="BP116" t="str">
        <f>IF(BC116&lt;&gt;0,MaturityBucket(BG116),"")</f>
        <v>1 - 2 yrs</v>
      </c>
      <c r="BQ116" s="11" t="str">
        <f>IF(OR(T116="Cash",T116="Cash Adjustments"),T116,VLOOKUP(AL116,'SFC Classifcation'!$A:$C,2,0))</f>
        <v>Hong Kong</v>
      </c>
      <c r="BR116" s="1" t="e">
        <f>IF(S116="Bond",BH116/'SFC Report'!$B$7,"")</f>
        <v>#VALUE!</v>
      </c>
      <c r="BS116" t="str">
        <f>IF(OR(T116="Cash",T116="Cash Adjustments"),"-",_xll.BDP(R116&amp;" FIGI",$BS$1))</f>
        <v>#N/A N/A</v>
      </c>
      <c r="BT116" t="str">
        <f>IF(OR(T116="Cash",T116="Cash Adjustments"),"-",_xll.BDP(R116&amp;" FIGI",$BT$1))</f>
        <v>5/22/2017</v>
      </c>
      <c r="BU116" t="str">
        <f>IF(OR(T116="Cash",T116="Cash Adjustments"),"-",_xll.BDP(R116&amp;" FIGI",$BU$1))</f>
        <v>#N/A N/A</v>
      </c>
    </row>
    <row r="117" spans="1:73">
      <c r="A117" s="254" t="s">
        <v>15</v>
      </c>
      <c r="B117" s="254" t="s">
        <v>25</v>
      </c>
      <c r="C117" s="254" t="s">
        <v>46</v>
      </c>
      <c r="D117" s="254" t="s">
        <v>22</v>
      </c>
      <c r="E117" s="254"/>
      <c r="F117" s="254" t="s">
        <v>1938</v>
      </c>
      <c r="G117" s="254" t="s">
        <v>1939</v>
      </c>
      <c r="H117" s="270">
        <v>2000000</v>
      </c>
      <c r="I117" s="270">
        <v>100.54300000000001</v>
      </c>
      <c r="J117" s="270">
        <v>1961960</v>
      </c>
      <c r="K117" s="270">
        <v>15205974.779999999</v>
      </c>
      <c r="L117" s="270">
        <v>378592.39</v>
      </c>
      <c r="M117" s="270">
        <v>2798.68</v>
      </c>
      <c r="N117" s="270">
        <v>15584567.17</v>
      </c>
      <c r="O117" s="255">
        <v>3.3999999999999998E-3</v>
      </c>
      <c r="P117" s="1"/>
      <c r="Q117" s="1" t="str">
        <f t="shared" si="11"/>
        <v>Investments</v>
      </c>
      <c r="R117" s="1" t="str">
        <f>_xll.BDP(G117&amp;" ISIN",$R$1)</f>
        <v>BBG00TFTG847</v>
      </c>
      <c r="S117" s="1" t="str">
        <f>IF(Q117="Cash",Q117,IF(OR(Q117="Receivable Investments",Q117="Payable Investments"),"Cash Adjustments",_xll.BDP(R117&amp;" FIGI",$S$1)))</f>
        <v>BOND</v>
      </c>
      <c r="T117" s="1" t="str">
        <f>IF(Q117="Cash",Q117,IF(OR(Q117="Receivable Investments",Q117="Payable Investments"),"Cash Adjustments",VLOOKUP(R117,LQA!E:S,3,0)))</f>
        <v>Corp</v>
      </c>
      <c r="U117" s="1" t="str">
        <f>IF(Q117="Cash",Q117,IF(OR(Q117="Receivable Investments",Q117="Payable Investments"),"Cash Adjustments",_xll.BDP(R117&amp;" FIGI",$U$1)))</f>
        <v>#N/A Field Not Applicable</v>
      </c>
      <c r="V117" s="10">
        <f>IF(OR(Q117="Cash",Q117="Receivable Investments",Q117="Payable Investments"),0,IF(Q117="Investments",VLOOKUP(R117,LQA!E:Q,12,0),"Not Covered"))</f>
        <v>0.5</v>
      </c>
      <c r="W117" s="76">
        <f>IF(OR(Q117="Cash",Q117="Receivable Investments",Q117="Payable Investments"),0,IF(Q117="Investments",VLOOKUP(R117,LQA!E:Q,9,0),"Not Covered"))</f>
        <v>2.5621000000000001E-2</v>
      </c>
      <c r="X117" s="13" t="str">
        <f>IF(OR(H117=0,T117="Comdty"),"High",IF(V117&lt;='Liquidity Bucket'!$A$4,'Liquidity Bucket'!$I$4,IF(V117&lt;='Liquidity Bucket'!$A$5,'Liquidity Bucket'!$I$5,IF(V117&lt;='Liquidity Bucket'!$A$6,'Liquidity Bucket'!$I$6,IF(V117='Liquidity Bucket'!$A$8,'Liquidity Bucket'!$I$8,'Liquidity Bucket'!$I$7)))))</f>
        <v>High</v>
      </c>
      <c r="Y117" s="153">
        <f>IF(OR(Q117="Cash",Q117="Receivable Investments",Q117="Payable Investments"),0,IF(Q117="Investments",VLOOKUP(R117,'LQA Stress'!E:Q,12,0),"Not Covered"))</f>
        <v>1.7</v>
      </c>
      <c r="Z117" s="75">
        <f>IF(OR(Q117="Cash",Q117="Receivable Investments",Q117="Payable Investments"),0,IF(Q117="Investments",VLOOKUP(R117,'LQA Stress'!E:Q,9,0),"Not Covered"))</f>
        <v>6.9543999999999995E-2</v>
      </c>
      <c r="AA117" s="13" t="str">
        <f>IF(T117="Comdty","High",IF(Y117&lt;='Liquidity Bucket'!$A$4,'Liquidity Bucket'!$I$4,IF(Y117&lt;='Liquidity Bucket'!$A$5,'Liquidity Bucket'!$I$5,IF(Y117&lt;='Liquidity Bucket'!$A$6,'Liquidity Bucket'!$I$6,IF(Y117='Liquidity Bucket'!$A$8,'Liquidity Bucket'!$I$8,'Liquidity Bucket'!$I$7)))))</f>
        <v>High</v>
      </c>
      <c r="AB117" s="14">
        <f>(N117+M117)/'FX Rates'!$C$5</f>
        <v>2010754.1086171311</v>
      </c>
      <c r="AC117" s="15" t="str">
        <f>IF(X117="Not Covered", (H117/_xll.BDP(R117&amp;" FIGI",$AC$1)),"")</f>
        <v/>
      </c>
      <c r="AD117" s="16" t="str">
        <f>IF(X117="Not Covered", _xll.BDP(R117&amp;" FIGI",$AD$1),"")</f>
        <v/>
      </c>
      <c r="AE117" s="16" t="str">
        <f>IF(OR(T117="Corp",T117="Govt"),IF(_xll.BDP(R117&amp;" FIGI",$AE$1)="#N/A N/A","",_xll.BDP(R117&amp;" FIGI",$AE$1)),"")</f>
        <v>BBB</v>
      </c>
      <c r="AF117" s="1" t="str">
        <f>IF(OR(T117="Corp",T117="Govt"),IF(_xll.BDP(R117&amp;" FIGI",$AF$1)="#N/A N/A","",_xll.BDP(R117&amp;" FIGI",$AF$1)),"")</f>
        <v>Baa2</v>
      </c>
      <c r="AG117" s="16" t="str">
        <f>IF(OR(T117="Corp",T117="Govt"),IF(_xll.BDP(R117&amp;" FIGI",$AG$1)="#N/A N/A","",_xll.BDP(R117&amp;" FIGI",$AG$1)),"")</f>
        <v/>
      </c>
      <c r="AH117" s="125">
        <f>IF(OR(S117="Cash",S117="M-Mkt"),21,IF(AE117="",0,VLOOKUP(AE117,'Rating Scale'!A:B,2,0)))</f>
        <v>13</v>
      </c>
      <c r="AI117" s="125">
        <f>IF(OR(S117="Cash",S117="M-Mkt"),21,IF(AF117="",0,VLOOKUP(AF117,'Rating Scale'!D:E,2,0)))</f>
        <v>13</v>
      </c>
      <c r="AJ117" s="125">
        <f>IF(OR(S117="Cash",S117="M-Mkt"),21,IF(AG117="",0,VLOOKUP(AG117,'Rating Scale'!G:H,2,0)))</f>
        <v>0</v>
      </c>
      <c r="AK117">
        <f>Rating(AH117,AI117,AJ117)</f>
        <v>13</v>
      </c>
      <c r="AL117" s="1" t="str">
        <f>IF(OR(U117="Cash",U117="Cash Adjustments"),_xll.BDP(G117&amp;" Curncy","Country"),IF(T117="Equity",_xll.BDP(R117&amp;" FIGI","CNTRY_ISSUE_ISO"),_xll.BDP(R117&amp;" FIGI",$AL$1)))</f>
        <v>US</v>
      </c>
      <c r="AM117" s="126" t="str">
        <f>IF(OR(T117="Cash",T117="Cash Adjustments",T117="M-Mkt"), T117, IF(T117="Comdty",AS117, _xll.BDP(R117&amp;" FIGI", $AM$1)))</f>
        <v>Financial</v>
      </c>
      <c r="AN117" s="126" t="str">
        <f>IF(OR(T117="Cash",T117="Cash Adjustments",T117="M-Mkt"), T117,  IF(T117="Comdty",AS117,_xll.BDP(R117&amp;" FIGI", $AN$1)))</f>
        <v>Diversified Finan Serv</v>
      </c>
      <c r="AO117" s="126" t="str">
        <f>IF(OR(T117="Cash",T117="Cash Adjustments",T117="M-Mkt"), T117,  IF(T117="Comdty",AS117,_xll.BDP(R117&amp;" FIGI", $AO$1)))</f>
        <v>Finance-Other Services</v>
      </c>
      <c r="AP117" s="13" t="str">
        <f>IF(OR(T117="Cash",T117="Cash Adjustments"), T117, IF(_xll.BDP(R117&amp;" FIGI", $AP$1)="#N/A Field Not Applicable","N",_xll.BDP(R117&amp;" FIGI", $AP$1)))</f>
        <v>N</v>
      </c>
      <c r="AQ117" s="1" t="str">
        <f>IF(OR(T117="Cash",T117="Cash Adjustments"), T117, IF(_xll.BDP(R117&amp;" FIGI", $AQ$1)="#N/A Field Not Applicable"," ",_xll.BDP(R117&amp;" FIGI", $AQ$1)))</f>
        <v xml:space="preserve"> </v>
      </c>
      <c r="AR117" s="1" t="str">
        <f>IF(OR(T117="Cash",T117="Cash Adjustments"), T117, IF(_xll.BDP(R117&amp;" FIGI", $AR$1)="#N/A Field Not Applicable"," ",_xll.BDP(R117&amp;" FIGI", $AR$1)))</f>
        <v>ACTV</v>
      </c>
      <c r="AS117" s="1" t="str">
        <f>VLOOKUP(T117,'SFC Classifcation'!$F$2:$H$7,3,0)</f>
        <v>Corporate</v>
      </c>
      <c r="AT117" s="22" t="str">
        <f t="shared" si="12"/>
        <v>Financial</v>
      </c>
      <c r="AU117" s="1" t="str">
        <f t="shared" si="13"/>
        <v>Investment Grade</v>
      </c>
      <c r="AV117" s="1" t="str">
        <f>IF(OR(T117="Cash",T117="Cash Adjustments"),T117,VLOOKUP(AL117,'SFC Classifcation'!$A:$C,3,0))</f>
        <v>United States of America</v>
      </c>
      <c r="AW117" s="22" t="str">
        <f t="shared" si="14"/>
        <v>High</v>
      </c>
      <c r="AX117" s="22" t="str">
        <f t="shared" si="15"/>
        <v>High</v>
      </c>
      <c r="AY117" s="45" t="str">
        <f>IF(OR(T117="Cash",T117="Cash Adjustments"), T117, _xll.BDP(R117&amp;" FIGI", $AY$1))</f>
        <v>Financials</v>
      </c>
      <c r="AZ117" s="45" t="str">
        <f>IF(OR(T117="Cash",T117="Cash Adjustments"), T117, _xll.BDP(R117&amp;" FIGI", $AZ$1))</f>
        <v>FINANCIAL</v>
      </c>
      <c r="BA117" s="45" t="str">
        <f>IF(OR(T117="Cash",T117="Cash Adjustments"), T117, _xll.BDP(R117&amp;" FIGI", $BA$1))</f>
        <v>#N/A Field Not Applicable</v>
      </c>
      <c r="BB117" s="16">
        <f>IF(OR(AS117="Government",AS117="Corporate"),(AK117*AB117/'SFC Report'!$C$20),"")</f>
        <v>4.7489752755513343E-2</v>
      </c>
      <c r="BC117" s="174" t="str">
        <f>IF(OR(T117="Cash",T117="Cash Adjustments", T117="FX Forward", T117="Repo", T117="Equity", T117="M-Mkt"), "", _xll.BDP(R117&amp;" FIGI", $BC$1))</f>
        <v>4/28/2050</v>
      </c>
      <c r="BD117" s="125">
        <f ca="1">IF(OR(T117="Cash",T117="Cash Adjustments",T117="FX Forward",T117="Repo", T117="Equity", T117="M-Mkt"),"",(BC117-'SFC Report'!$B$13)/365)</f>
        <v>30.013698630136986</v>
      </c>
      <c r="BE117" s="82" t="str">
        <f t="shared" ca="1" si="18"/>
        <v>10 yrs or Above</v>
      </c>
      <c r="BF117" s="5">
        <f ca="1">IF(BC117="","",BD117*AB117/'SFC Report'!$C$20)</f>
        <v>0.1096417790172073</v>
      </c>
      <c r="BG117" s="14" cm="1">
        <f t="array" ref="BG117">IF(OR(AS117="Corporate",AS117="Government"),_xll.BDP(G117&amp;" ISIN", $BG$1),"")</f>
        <v>18.825128949688718</v>
      </c>
      <c r="BH117" s="140">
        <f>IF(OR(AS117="Corporate",AS117="Government"),BG117*BN117/'SFC Report'!$C$20,"")</f>
        <v>6.876928610856721E-2</v>
      </c>
      <c r="BI117" s="140">
        <f>IF(OR(AS117="Corporate",AS117="Government"),_xll.BDP(G117&amp;" ISIN", $BI$1),"")</f>
        <v>3.2307075208020515</v>
      </c>
      <c r="BJ117" s="140">
        <f>IF(OR(AS117="Corporate",AS117="Government"),BI117*AB117/'SFC Report'!$C$20,"")</f>
        <v>1.1801961645251298E-2</v>
      </c>
      <c r="BK117" s="153" t="str">
        <f>IF(OR(T117="Cash",T117="Cash Adjustments"),"-",_xll.BDP(R117&amp;" FIGI",$BK$1))</f>
        <v>US63111XAB73</v>
      </c>
      <c r="BL117" s="11" t="str">
        <f>IF(OR(AS117="Cash", AS117="Cash Adjustments"),"-",IF(ISNA(VLOOKUP(BK117,'BBG - VaR Data (Sample, Indus )'!C:N,5,0)),"-",VLOOKUP(BK117,'BBG - VaR Data (Sample, Indus )'!C:N,5,0)))</f>
        <v>-</v>
      </c>
      <c r="BM117" s="11">
        <f>IF(OR(AS117="Cash", AS117="Cash Adjustments"),"-",IF(ISNA(VLOOKUP(BK117,'BBG - Scenarios (Sample View)'!C:Z,14,0)),"-",VLOOKUP(BK117,'BBG - Scenarios (Sample View)'!C:Z,14,0)))</f>
        <v>-14.44</v>
      </c>
      <c r="BN117" s="14">
        <f t="shared" si="16"/>
        <v>2010754.1086171311</v>
      </c>
      <c r="BO117" s="1">
        <f t="shared" si="17"/>
        <v>3.9443935300006346E-3</v>
      </c>
      <c r="BP117" t="str">
        <f>IF(BC117&lt;&gt;0,MaturityBucket(BG117),"")</f>
        <v>10 yrs or Above</v>
      </c>
      <c r="BQ117" s="11" t="str">
        <f>IF(OR(T117="Cash",T117="Cash Adjustments"),T117,VLOOKUP(AL117,'SFC Classifcation'!$A:$C,2,0))</f>
        <v>United States of America</v>
      </c>
      <c r="BR117" s="1" t="e">
        <f>IF(S117="Bond",BH117/'SFC Report'!$B$7,"")</f>
        <v>#VALUE!</v>
      </c>
      <c r="BS117" t="str">
        <f>IF(OR(T117="Cash",T117="Cash Adjustments"),"-",_xll.BDP(R117&amp;" FIGI",$BS$1))</f>
        <v>4/23/2020</v>
      </c>
      <c r="BT117" t="str">
        <f>IF(OR(T117="Cash",T117="Cash Adjustments"),"-",_xll.BDP(R117&amp;" FIGI",$BT$1))</f>
        <v>4/23/2020</v>
      </c>
      <c r="BU117" t="str">
        <f>IF(OR(T117="Cash",T117="Cash Adjustments"),"-",_xll.BDP(R117&amp;" FIGI",$BU$1))</f>
        <v>#N/A N/A</v>
      </c>
    </row>
    <row r="118" spans="1:73">
      <c r="A118" s="254" t="s">
        <v>15</v>
      </c>
      <c r="B118" s="254" t="s">
        <v>25</v>
      </c>
      <c r="C118" s="254" t="s">
        <v>46</v>
      </c>
      <c r="D118" s="254" t="s">
        <v>22</v>
      </c>
      <c r="E118" s="254"/>
      <c r="F118" s="254" t="s">
        <v>1333</v>
      </c>
      <c r="G118" s="254" t="s">
        <v>1334</v>
      </c>
      <c r="H118" s="270">
        <v>1235000</v>
      </c>
      <c r="I118" s="270">
        <v>101.187</v>
      </c>
      <c r="J118" s="270">
        <v>1265287.5</v>
      </c>
      <c r="K118" s="270">
        <v>9834947.1600000001</v>
      </c>
      <c r="L118" s="270">
        <v>-149836.49</v>
      </c>
      <c r="M118" s="270">
        <v>87685.54</v>
      </c>
      <c r="N118" s="270">
        <v>9685110.6699999999</v>
      </c>
      <c r="O118" s="255">
        <v>2.0999999999999999E-3</v>
      </c>
      <c r="P118" s="1"/>
      <c r="Q118" s="1" t="str">
        <f t="shared" si="11"/>
        <v>Investments</v>
      </c>
      <c r="R118" s="1" t="str">
        <f>_xll.BDP(G118&amp;" ISIN",$R$1)</f>
        <v>BBG00RD35MV1</v>
      </c>
      <c r="S118" s="1" t="str">
        <f>IF(Q118="Cash",Q118,IF(OR(Q118="Receivable Investments",Q118="Payable Investments"),"Cash Adjustments",_xll.BDP(R118&amp;" FIGI",$S$1)))</f>
        <v>BOND</v>
      </c>
      <c r="T118" s="1" t="str">
        <f>IF(Q118="Cash",Q118,IF(OR(Q118="Receivable Investments",Q118="Payable Investments"),"Cash Adjustments",VLOOKUP(R118,LQA!E:S,3,0)))</f>
        <v>Corp</v>
      </c>
      <c r="U118" s="1" t="str">
        <f>IF(Q118="Cash",Q118,IF(OR(Q118="Receivable Investments",Q118="Payable Investments"),"Cash Adjustments",_xll.BDP(R118&amp;" FIGI",$U$1)))</f>
        <v>#N/A Field Not Applicable</v>
      </c>
      <c r="V118" s="10">
        <f>IF(OR(Q118="Cash",Q118="Receivable Investments",Q118="Payable Investments"),0,IF(Q118="Investments",VLOOKUP(R118,LQA!E:Q,12,0),"Not Covered"))</f>
        <v>0.3</v>
      </c>
      <c r="W118" s="76">
        <f>IF(OR(Q118="Cash",Q118="Receivable Investments",Q118="Payable Investments"),0,IF(Q118="Investments",VLOOKUP(R118,LQA!E:Q,9,0),"Not Covered"))</f>
        <v>9.1800000000000007E-3</v>
      </c>
      <c r="X118" s="13" t="str">
        <f>IF(OR(H118=0,T118="Comdty"),"High",IF(V118&lt;='Liquidity Bucket'!$A$4,'Liquidity Bucket'!$I$4,IF(V118&lt;='Liquidity Bucket'!$A$5,'Liquidity Bucket'!$I$5,IF(V118&lt;='Liquidity Bucket'!$A$6,'Liquidity Bucket'!$I$6,IF(V118='Liquidity Bucket'!$A$8,'Liquidity Bucket'!$I$8,'Liquidity Bucket'!$I$7)))))</f>
        <v>High</v>
      </c>
      <c r="Y118" s="153">
        <f>IF(OR(Q118="Cash",Q118="Receivable Investments",Q118="Payable Investments"),0,IF(Q118="Investments",VLOOKUP(R118,'LQA Stress'!E:Q,12,0),"Not Covered"))</f>
        <v>0.8</v>
      </c>
      <c r="Z118" s="75">
        <f>IF(OR(Q118="Cash",Q118="Receivable Investments",Q118="Payable Investments"),0,IF(Q118="Investments",VLOOKUP(R118,'LQA Stress'!E:Q,9,0),"Not Covered"))</f>
        <v>2.4893999999999999E-2</v>
      </c>
      <c r="AA118" s="13" t="str">
        <f>IF(T118="Comdty","High",IF(Y118&lt;='Liquidity Bucket'!$A$4,'Liquidity Bucket'!$I$4,IF(Y118&lt;='Liquidity Bucket'!$A$5,'Liquidity Bucket'!$I$5,IF(Y118&lt;='Liquidity Bucket'!$A$6,'Liquidity Bucket'!$I$6,IF(Y118='Liquidity Bucket'!$A$8,'Liquidity Bucket'!$I$8,'Liquidity Bucket'!$I$7)))))</f>
        <v>High</v>
      </c>
      <c r="AB118" s="14">
        <f>(N118+M118)/'FX Rates'!$C$5</f>
        <v>1260680.6256449947</v>
      </c>
      <c r="AC118" s="15" t="str">
        <f>IF(X118="Not Covered", (H118/_xll.BDP(R118&amp;" FIGI",$AC$1)),"")</f>
        <v/>
      </c>
      <c r="AD118" s="16" t="str">
        <f>IF(X118="Not Covered", _xll.BDP(R118&amp;" FIGI",$AD$1),"")</f>
        <v/>
      </c>
      <c r="AE118" s="16" t="str">
        <f>IF(OR(T118="Corp",T118="Govt"),IF(_xll.BDP(R118&amp;" FIGI",$AE$1)="#N/A N/A","",_xll.BDP(R118&amp;" FIGI",$AE$1)),"")</f>
        <v>A-</v>
      </c>
      <c r="AF118" s="1" t="str">
        <f>IF(OR(T118="Corp",T118="Govt"),IF(_xll.BDP(R118&amp;" FIGI",$AF$1)="#N/A N/A","",_xll.BDP(R118&amp;" FIGI",$AF$1)),"")</f>
        <v>A3</v>
      </c>
      <c r="AG118" s="16" t="str">
        <f>IF(OR(T118="Corp",T118="Govt"),IF(_xll.BDP(R118&amp;" FIGI",$AG$1)="#N/A N/A","",_xll.BDP(R118&amp;" FIGI",$AG$1)),"")</f>
        <v/>
      </c>
      <c r="AH118" s="125">
        <f>IF(OR(S118="Cash",S118="M-Mkt"),21,IF(AE118="",0,VLOOKUP(AE118,'Rating Scale'!A:B,2,0)))</f>
        <v>15</v>
      </c>
      <c r="AI118" s="125">
        <f>IF(OR(S118="Cash",S118="M-Mkt"),21,IF(AF118="",0,VLOOKUP(AF118,'Rating Scale'!D:E,2,0)))</f>
        <v>15</v>
      </c>
      <c r="AJ118" s="125">
        <f>IF(OR(S118="Cash",S118="M-Mkt"),21,IF(AG118="",0,VLOOKUP(AG118,'Rating Scale'!G:H,2,0)))</f>
        <v>0</v>
      </c>
      <c r="AK118">
        <f>Rating(AH118,AI118,AJ118)</f>
        <v>15</v>
      </c>
      <c r="AL118" s="1" t="str">
        <f>IF(OR(U118="Cash",U118="Cash Adjustments"),_xll.BDP(G118&amp;" Curncy","Country"),IF(T118="Equity",_xll.BDP(R118&amp;" FIGI","CNTRY_ISSUE_ISO"),_xll.BDP(R118&amp;" FIGI",$AL$1)))</f>
        <v>JP</v>
      </c>
      <c r="AM118" s="126" t="str">
        <f>IF(OR(T118="Cash",T118="Cash Adjustments",T118="M-Mkt"), T118, IF(T118="Comdty",AS118, _xll.BDP(R118&amp;" FIGI", $AM$1)))</f>
        <v>Financial</v>
      </c>
      <c r="AN118" s="126" t="str">
        <f>IF(OR(T118="Cash",T118="Cash Adjustments",T118="M-Mkt"), T118,  IF(T118="Comdty",AS118,_xll.BDP(R118&amp;" FIGI", $AN$1)))</f>
        <v>Insurance</v>
      </c>
      <c r="AO118" s="126" t="str">
        <f>IF(OR(T118="Cash",T118="Cash Adjustments",T118="M-Mkt"), T118,  IF(T118="Comdty",AS118,_xll.BDP(R118&amp;" FIGI", $AO$1)))</f>
        <v>Life/Health Insurance</v>
      </c>
      <c r="AP118" s="13" t="str">
        <f>IF(OR(T118="Cash",T118="Cash Adjustments"), T118, IF(_xll.BDP(R118&amp;" FIGI", $AP$1)="#N/A Field Not Applicable","N",_xll.BDP(R118&amp;" FIGI", $AP$1)))</f>
        <v>N</v>
      </c>
      <c r="AQ118" s="1" t="str">
        <f>IF(OR(T118="Cash",T118="Cash Adjustments"), T118, IF(_xll.BDP(R118&amp;" FIGI", $AQ$1)="#N/A Field Not Applicable"," ",_xll.BDP(R118&amp;" FIGI", $AQ$1)))</f>
        <v xml:space="preserve"> </v>
      </c>
      <c r="AR118" s="1" t="str">
        <f>IF(OR(T118="Cash",T118="Cash Adjustments"), T118, IF(_xll.BDP(R118&amp;" FIGI", $AR$1)="#N/A Field Not Applicable"," ",_xll.BDP(R118&amp;" FIGI", $AR$1)))</f>
        <v>ACTV</v>
      </c>
      <c r="AS118" s="1" t="str">
        <f>VLOOKUP(T118,'SFC Classifcation'!$F$2:$H$7,3,0)</f>
        <v>Corporate</v>
      </c>
      <c r="AT118" s="22" t="str">
        <f t="shared" si="12"/>
        <v>Financial</v>
      </c>
      <c r="AU118" s="1" t="str">
        <f t="shared" si="13"/>
        <v>Investment Grade</v>
      </c>
      <c r="AV118" s="1" t="str">
        <f>IF(OR(T118="Cash",T118="Cash Adjustments"),T118,VLOOKUP(AL118,'SFC Classifcation'!$A:$C,3,0))</f>
        <v>Japan</v>
      </c>
      <c r="AW118" s="22" t="str">
        <f t="shared" si="14"/>
        <v>High</v>
      </c>
      <c r="AX118" s="22" t="str">
        <f t="shared" si="15"/>
        <v>High</v>
      </c>
      <c r="AY118" s="45" t="str">
        <f>IF(OR(T118="Cash",T118="Cash Adjustments"), T118, _xll.BDP(R118&amp;" FIGI", $AY$1))</f>
        <v>#N/A Field Not Applicable</v>
      </c>
      <c r="AZ118" s="45" t="str">
        <f>IF(OR(T118="Cash",T118="Cash Adjustments"), T118, _xll.BDP(R118&amp;" FIGI", $AZ$1))</f>
        <v>FINANCIAL</v>
      </c>
      <c r="BA118" s="45" t="str">
        <f>IF(OR(T118="Cash",T118="Cash Adjustments"), T118, _xll.BDP(R118&amp;" FIGI", $BA$1))</f>
        <v>#N/A Field Not Applicable</v>
      </c>
      <c r="BB118" s="16">
        <f>IF(OR(AS118="Government",AS118="Corporate"),(AK118*AB118/'SFC Report'!$C$20),"")</f>
        <v>3.4355314539976846E-2</v>
      </c>
      <c r="BC118" s="174" t="str">
        <f>IF(OR(T118="Cash",T118="Cash Adjustments", T118="FX Forward", T118="Repo", T118="Equity", T118="M-Mkt"), "", _xll.BDP(R118&amp;" FIGI", $BC$1))</f>
        <v>1/23/2050</v>
      </c>
      <c r="BD118" s="125">
        <f ca="1">IF(OR(T118="Cash",T118="Cash Adjustments",T118="FX Forward",T118="Repo", T118="Equity", T118="M-Mkt"),"",(BC118-'SFC Report'!$B$13)/365)</f>
        <v>29.753424657534246</v>
      </c>
      <c r="BE118" s="82" t="str">
        <f t="shared" ca="1" si="18"/>
        <v>10 yrs or Above</v>
      </c>
      <c r="BF118" s="5">
        <f ca="1">IF(BC118="","",BD118*AB118/'SFC Report'!$C$20)</f>
        <v>6.8145884183406127E-2</v>
      </c>
      <c r="BG118" s="14" cm="1">
        <f t="array" ref="BG118">IF(OR(AS118="Corporate",AS118="Government"),_xll.BDP(G118&amp;" ISIN", $BG$1),"")</f>
        <v>8.1067257224348097</v>
      </c>
      <c r="BH118" s="140">
        <f>IF(OR(AS118="Corporate",AS118="Government"),BG118*BN118/'SFC Report'!$C$20,"")</f>
        <v>1.8567274138904594E-2</v>
      </c>
      <c r="BI118" s="140">
        <f>IF(OR(AS118="Corporate",AS118="Government"),_xll.BDP(G118&amp;" ISIN", $BI$1),"")</f>
        <v>3.0375782017931403</v>
      </c>
      <c r="BJ118" s="140">
        <f>IF(OR(AS118="Corporate",AS118="Government"),BI118*AB118/'SFC Report'!$C$20,"")</f>
        <v>6.9571303041587066E-3</v>
      </c>
      <c r="BK118" s="153" t="str">
        <f>IF(OR(T118="Cash",T118="Cash Adjustments"),"-",_xll.BDP(R118&amp;" FIGI",$BK$1))</f>
        <v>USJ54675AZ63</v>
      </c>
      <c r="BL118" s="11" t="str">
        <f>IF(OR(AS118="Cash", AS118="Cash Adjustments"),"-",IF(ISNA(VLOOKUP(BK118,'BBG - VaR Data (Sample, Indus )'!C:N,5,0)),"-",VLOOKUP(BK118,'BBG - VaR Data (Sample, Indus )'!C:N,5,0)))</f>
        <v>-</v>
      </c>
      <c r="BM118" s="11">
        <f>IF(OR(AS118="Cash", AS118="Cash Adjustments"),"-",IF(ISNA(VLOOKUP(BK118,'BBG - Scenarios (Sample View)'!C:Z,14,0)),"-",VLOOKUP(BK118,'BBG - Scenarios (Sample View)'!C:Z,14,0)))</f>
        <v>-7.27</v>
      </c>
      <c r="BN118" s="14">
        <f t="shared" si="16"/>
        <v>1260680.6256449947</v>
      </c>
      <c r="BO118" s="1">
        <f t="shared" si="17"/>
        <v>2.4730127278521992E-3</v>
      </c>
      <c r="BP118" t="str">
        <f>IF(BC118&lt;&gt;0,MaturityBucket(BG118),"")</f>
        <v>7 - 10 yrs</v>
      </c>
      <c r="BQ118" s="11" t="str">
        <f>IF(OR(T118="Cash",T118="Cash Adjustments"),T118,VLOOKUP(AL118,'SFC Classifcation'!$A:$C,2,0))</f>
        <v>Japan</v>
      </c>
      <c r="BR118" s="1" t="e">
        <f>IF(S118="Bond",BH118/'SFC Report'!$B$7,"")</f>
        <v>#VALUE!</v>
      </c>
      <c r="BS118" t="str">
        <f>IF(OR(T118="Cash",T118="Cash Adjustments"),"-",_xll.BDP(R118&amp;" FIGI",$BS$1))</f>
        <v>1/13/2020</v>
      </c>
      <c r="BT118" t="str">
        <f>IF(OR(T118="Cash",T118="Cash Adjustments"),"-",_xll.BDP(R118&amp;" FIGI",$BT$1))</f>
        <v>1/16/2020</v>
      </c>
      <c r="BU118" t="str">
        <f>IF(OR(T118="Cash",T118="Cash Adjustments"),"-",_xll.BDP(R118&amp;" FIGI",$BU$1))</f>
        <v>#N/A N/A</v>
      </c>
    </row>
    <row r="119" spans="1:73">
      <c r="A119" s="254" t="s">
        <v>15</v>
      </c>
      <c r="B119" s="254" t="s">
        <v>25</v>
      </c>
      <c r="C119" s="254" t="s">
        <v>46</v>
      </c>
      <c r="D119" s="254" t="s">
        <v>22</v>
      </c>
      <c r="E119" s="254"/>
      <c r="F119" s="254" t="s">
        <v>88</v>
      </c>
      <c r="G119" s="254" t="s">
        <v>89</v>
      </c>
      <c r="H119" s="270">
        <v>5000000</v>
      </c>
      <c r="I119" s="270">
        <v>99.557000000000002</v>
      </c>
      <c r="J119" s="270">
        <v>5022500</v>
      </c>
      <c r="K119" s="270">
        <v>39073543.25</v>
      </c>
      <c r="L119" s="270">
        <v>-494210.18</v>
      </c>
      <c r="M119" s="270">
        <v>92571.83</v>
      </c>
      <c r="N119" s="270">
        <v>38579333.07</v>
      </c>
      <c r="O119" s="255">
        <v>8.5000000000000006E-3</v>
      </c>
      <c r="P119" s="1"/>
      <c r="Q119" s="1" t="str">
        <f t="shared" si="11"/>
        <v>Investments</v>
      </c>
      <c r="R119" s="1" t="str">
        <f>_xll.BDP(G119&amp;" ISIN",$R$1)</f>
        <v>BBG00HVHMY65</v>
      </c>
      <c r="S119" s="1" t="str">
        <f>IF(Q119="Cash",Q119,IF(OR(Q119="Receivable Investments",Q119="Payable Investments"),"Cash Adjustments",_xll.BDP(R119&amp;" FIGI",$S$1)))</f>
        <v>BOND</v>
      </c>
      <c r="T119" s="1" t="str">
        <f>IF(Q119="Cash",Q119,IF(OR(Q119="Receivable Investments",Q119="Payable Investments"),"Cash Adjustments",VLOOKUP(R119,LQA!E:S,3,0)))</f>
        <v>Corp</v>
      </c>
      <c r="U119" s="1" t="str">
        <f>IF(Q119="Cash",Q119,IF(OR(Q119="Receivable Investments",Q119="Payable Investments"),"Cash Adjustments",_xll.BDP(R119&amp;" FIGI",$U$1)))</f>
        <v>#N/A Field Not Applicable</v>
      </c>
      <c r="V119" s="10">
        <f>IF(OR(Q119="Cash",Q119="Receivable Investments",Q119="Payable Investments"),0,IF(Q119="Investments",VLOOKUP(R119,LQA!E:Q,12,0),"Not Covered"))</f>
        <v>0.5</v>
      </c>
      <c r="W119" s="76">
        <f>IF(OR(Q119="Cash",Q119="Receivable Investments",Q119="Payable Investments"),0,IF(Q119="Investments",VLOOKUP(R119,LQA!E:Q,9,0),"Not Covered"))</f>
        <v>5.9589999999999999E-3</v>
      </c>
      <c r="X119" s="13" t="str">
        <f>IF(OR(H119=0,T119="Comdty"),"High",IF(V119&lt;='Liquidity Bucket'!$A$4,'Liquidity Bucket'!$I$4,IF(V119&lt;='Liquidity Bucket'!$A$5,'Liquidity Bucket'!$I$5,IF(V119&lt;='Liquidity Bucket'!$A$6,'Liquidity Bucket'!$I$6,IF(V119='Liquidity Bucket'!$A$8,'Liquidity Bucket'!$I$8,'Liquidity Bucket'!$I$7)))))</f>
        <v>High</v>
      </c>
      <c r="Y119" s="153">
        <f>IF(OR(Q119="Cash",Q119="Receivable Investments",Q119="Payable Investments"),0,IF(Q119="Investments",VLOOKUP(R119,'LQA Stress'!E:Q,12,0),"Not Covered"))</f>
        <v>1.9</v>
      </c>
      <c r="Z119" s="75">
        <f>IF(OR(Q119="Cash",Q119="Receivable Investments",Q119="Payable Investments"),0,IF(Q119="Investments",VLOOKUP(R119,'LQA Stress'!E:Q,9,0),"Not Covered"))</f>
        <v>1.3920999999999999E-2</v>
      </c>
      <c r="AA119" s="13" t="str">
        <f>IF(T119="Comdty","High",IF(Y119&lt;='Liquidity Bucket'!$A$4,'Liquidity Bucket'!$I$4,IF(Y119&lt;='Liquidity Bucket'!$A$5,'Liquidity Bucket'!$I$5,IF(Y119&lt;='Liquidity Bucket'!$A$6,'Liquidity Bucket'!$I$6,IF(Y119='Liquidity Bucket'!$A$8,'Liquidity Bucket'!$I$8,'Liquidity Bucket'!$I$7)))))</f>
        <v>High</v>
      </c>
      <c r="AB119" s="14">
        <f>(N119+M119)/'FX Rates'!$C$5</f>
        <v>4988635.8230134156</v>
      </c>
      <c r="AC119" s="15" t="str">
        <f>IF(X119="Not Covered", (H119/_xll.BDP(R119&amp;" FIGI",$AC$1)),"")</f>
        <v/>
      </c>
      <c r="AD119" s="16" t="str">
        <f>IF(X119="Not Covered", _xll.BDP(R119&amp;" FIGI",$AD$1),"")</f>
        <v/>
      </c>
      <c r="AE119" s="16" t="str">
        <f>IF(OR(T119="Corp",T119="Govt"),IF(_xll.BDP(R119&amp;" FIGI",$AE$1)="#N/A N/A","",_xll.BDP(R119&amp;" FIGI",$AE$1)),"")</f>
        <v/>
      </c>
      <c r="AF119" s="1" t="str">
        <f>IF(OR(T119="Corp",T119="Govt"),IF(_xll.BDP(R119&amp;" FIGI",$AF$1)="#N/A N/A","",_xll.BDP(R119&amp;" FIGI",$AF$1)),"")</f>
        <v/>
      </c>
      <c r="AG119" s="16" t="str">
        <f>IF(OR(T119="Corp",T119="Govt"),IF(_xll.BDP(R119&amp;" FIGI",$AG$1)="#N/A N/A","",_xll.BDP(R119&amp;" FIGI",$AG$1)),"")</f>
        <v/>
      </c>
      <c r="AH119" s="125">
        <f>IF(OR(S119="Cash",S119="M-Mkt"),21,IF(AE119="",0,VLOOKUP(AE119,'Rating Scale'!A:B,2,0)))</f>
        <v>0</v>
      </c>
      <c r="AI119" s="125">
        <f>IF(OR(S119="Cash",S119="M-Mkt"),21,IF(AF119="",0,VLOOKUP(AF119,'Rating Scale'!D:E,2,0)))</f>
        <v>0</v>
      </c>
      <c r="AJ119" s="125">
        <f>IF(OR(S119="Cash",S119="M-Mkt"),21,IF(AG119="",0,VLOOKUP(AG119,'Rating Scale'!G:H,2,0)))</f>
        <v>0</v>
      </c>
      <c r="AK119">
        <f>Rating(AH119,AI119,AJ119)</f>
        <v>0</v>
      </c>
      <c r="AL119" s="1" t="str">
        <f>IF(OR(U119="Cash",U119="Cash Adjustments"),_xll.BDP(G119&amp;" Curncy","Country"),IF(T119="Equity",_xll.BDP(R119&amp;" FIGI","CNTRY_ISSUE_ISO"),_xll.BDP(R119&amp;" FIGI",$AL$1)))</f>
        <v>CN</v>
      </c>
      <c r="AM119" s="126" t="str">
        <f>IF(OR(T119="Cash",T119="Cash Adjustments",T119="M-Mkt"), T119, IF(T119="Comdty",AS119, _xll.BDP(R119&amp;" FIGI", $AM$1)))</f>
        <v>Financial</v>
      </c>
      <c r="AN119" s="126" t="str">
        <f>IF(OR(T119="Cash",T119="Cash Adjustments",T119="M-Mkt"), T119,  IF(T119="Comdty",AS119,_xll.BDP(R119&amp;" FIGI", $AN$1)))</f>
        <v>Real Estate</v>
      </c>
      <c r="AO119" s="126" t="str">
        <f>IF(OR(T119="Cash",T119="Cash Adjustments",T119="M-Mkt"), T119,  IF(T119="Comdty",AS119,_xll.BDP(R119&amp;" FIGI", $AO$1)))</f>
        <v>Real Estate Oper/Develop</v>
      </c>
      <c r="AP119" s="13" t="str">
        <f>IF(OR(T119="Cash",T119="Cash Adjustments"), T119, IF(_xll.BDP(R119&amp;" FIGI", $AP$1)="#N/A Field Not Applicable","N",_xll.BDP(R119&amp;" FIGI", $AP$1)))</f>
        <v>N</v>
      </c>
      <c r="AQ119" s="1" t="str">
        <f>IF(OR(T119="Cash",T119="Cash Adjustments"), T119, IF(_xll.BDP(R119&amp;" FIGI", $AQ$1)="#N/A Field Not Applicable"," ",_xll.BDP(R119&amp;" FIGI", $AQ$1)))</f>
        <v xml:space="preserve"> </v>
      </c>
      <c r="AR119" s="1" t="str">
        <f>IF(OR(T119="Cash",T119="Cash Adjustments"), T119, IF(_xll.BDP(R119&amp;" FIGI", $AR$1)="#N/A Field Not Applicable"," ",_xll.BDP(R119&amp;" FIGI", $AR$1)))</f>
        <v>ACTV</v>
      </c>
      <c r="AS119" s="1" t="str">
        <f>VLOOKUP(T119,'SFC Classifcation'!$F$2:$H$7,3,0)</f>
        <v>Corporate</v>
      </c>
      <c r="AT119" s="22" t="str">
        <f t="shared" si="12"/>
        <v>Financial</v>
      </c>
      <c r="AU119" s="1" t="str">
        <f t="shared" si="13"/>
        <v>Non-Investment Grade</v>
      </c>
      <c r="AV119" s="1" t="str">
        <f>IF(OR(T119="Cash",T119="Cash Adjustments"),T119,VLOOKUP(AL119,'SFC Classifcation'!$A:$C,3,0))</f>
        <v>China</v>
      </c>
      <c r="AW119" s="22" t="str">
        <f t="shared" si="14"/>
        <v>High</v>
      </c>
      <c r="AX119" s="22" t="str">
        <f t="shared" si="15"/>
        <v>High</v>
      </c>
      <c r="AY119" s="45" t="str">
        <f>IF(OR(T119="Cash",T119="Cash Adjustments"), T119, _xll.BDP(R119&amp;" FIGI", $AY$1))</f>
        <v>Real Estate</v>
      </c>
      <c r="AZ119" s="45" t="str">
        <f>IF(OR(T119="Cash",T119="Cash Adjustments"), T119, _xll.BDP(R119&amp;" FIGI", $AZ$1))</f>
        <v>INDUSTRIAL</v>
      </c>
      <c r="BA119" s="45" t="str">
        <f>IF(OR(T119="Cash",T119="Cash Adjustments"), T119, _xll.BDP(R119&amp;" FIGI", $BA$1))</f>
        <v>#N/A Field Not Applicable</v>
      </c>
      <c r="BB119" s="16">
        <f>IF(OR(AS119="Government",AS119="Corporate"),(AK119*AB119/'SFC Report'!$C$20),"")</f>
        <v>0</v>
      </c>
      <c r="BC119" s="174" t="str">
        <f>IF(OR(T119="Cash",T119="Cash Adjustments", T119="FX Forward", T119="Repo", T119="Equity", T119="M-Mkt"), "", _xll.BDP(R119&amp;" FIGI", $BC$1))</f>
        <v>4/10/2169</v>
      </c>
      <c r="BD119" s="125">
        <f ca="1">IF(OR(T119="Cash",T119="Cash Adjustments",T119="FX Forward",T119="Repo", T119="Equity", T119="M-Mkt"),"",(BC119-'SFC Report'!$B$13)/365)</f>
        <v>149.04383561643834</v>
      </c>
      <c r="BE119" s="82" t="str">
        <f t="shared" ca="1" si="18"/>
        <v>10 yrs or Above</v>
      </c>
      <c r="BF119" s="5">
        <f ca="1">IF(BC119="","",BD119*AB119/'SFC Report'!$C$20)</f>
        <v>1.3508073373998499</v>
      </c>
      <c r="BG119" s="14" cm="1">
        <f t="array" ref="BG119">IF(OR(AS119="Corporate",AS119="Government"),_xll.BDP(G119&amp;" ISIN", $BG$1),"")</f>
        <v>0.36252351497553592</v>
      </c>
      <c r="BH119" s="140">
        <f>IF(OR(AS119="Corporate",AS119="Government"),BG119*BN119/'SFC Report'!$C$20,"")</f>
        <v>3.2856066940545668E-3</v>
      </c>
      <c r="BI119" s="140">
        <f>IF(OR(AS119="Corporate",AS119="Government"),_xll.BDP(G119&amp;" ISIN", $BI$1),"")</f>
        <v>7.8414967291929605</v>
      </c>
      <c r="BJ119" s="140">
        <f>IF(OR(AS119="Corporate",AS119="Government"),BI119*AB119/'SFC Report'!$C$20,"")</f>
        <v>7.1068697837661676E-2</v>
      </c>
      <c r="BK119" s="153" t="str">
        <f>IF(OR(T119="Cash",T119="Cash Adjustments"),"-",_xll.BDP(R119&amp;" FIGI",$BK$1))</f>
        <v>XS1692254359</v>
      </c>
      <c r="BL119" s="11" t="str">
        <f>IF(OR(AS119="Cash", AS119="Cash Adjustments"),"-",IF(ISNA(VLOOKUP(BK119,'BBG - VaR Data (Sample, Indus )'!C:N,5,0)),"-",VLOOKUP(BK119,'BBG - VaR Data (Sample, Indus )'!C:N,5,0)))</f>
        <v>-</v>
      </c>
      <c r="BM119" s="11">
        <f>IF(OR(AS119="Cash", AS119="Cash Adjustments"),"-",IF(ISNA(VLOOKUP(BK119,'BBG - Scenarios (Sample View)'!C:Z,14,0)),"-",VLOOKUP(BK119,'BBG - Scenarios (Sample View)'!C:Z,14,0)))</f>
        <v>-0.59</v>
      </c>
      <c r="BN119" s="14">
        <f t="shared" si="16"/>
        <v>4988635.8230134156</v>
      </c>
      <c r="BO119" s="1">
        <f t="shared" si="17"/>
        <v>9.785951837420934E-3</v>
      </c>
      <c r="BP119" t="str">
        <f>IF(BC119&lt;&gt;0,MaturityBucket(BG119),"")</f>
        <v>0 - 1 yr</v>
      </c>
      <c r="BQ119" s="11" t="str">
        <f>IF(OR(T119="Cash",T119="Cash Adjustments"),T119,VLOOKUP(AL119,'SFC Classifcation'!$A:$C,2,0))</f>
        <v>China</v>
      </c>
      <c r="BR119" s="1" t="e">
        <f>IF(S119="Bond",BH119/'SFC Report'!$B$7,"")</f>
        <v>#VALUE!</v>
      </c>
      <c r="BS119" t="str">
        <f>IF(OR(T119="Cash",T119="Cash Adjustments"),"-",_xll.BDP(R119&amp;" FIGI",$BS$1))</f>
        <v>#N/A N/A</v>
      </c>
      <c r="BT119" t="str">
        <f>IF(OR(T119="Cash",T119="Cash Adjustments"),"-",_xll.BDP(R119&amp;" FIGI",$BT$1))</f>
        <v>#N/A N/A</v>
      </c>
      <c r="BU119" t="str">
        <f>IF(OR(T119="Cash",T119="Cash Adjustments"),"-",_xll.BDP(R119&amp;" FIGI",$BU$1))</f>
        <v>#N/A N/A</v>
      </c>
    </row>
    <row r="120" spans="1:73">
      <c r="A120" s="254" t="s">
        <v>15</v>
      </c>
      <c r="B120" s="254" t="s">
        <v>25</v>
      </c>
      <c r="C120" s="254" t="s">
        <v>46</v>
      </c>
      <c r="D120" s="254" t="s">
        <v>22</v>
      </c>
      <c r="E120" s="254"/>
      <c r="F120" s="254" t="s">
        <v>1335</v>
      </c>
      <c r="G120" s="254" t="s">
        <v>1336</v>
      </c>
      <c r="H120" s="270">
        <v>4000000</v>
      </c>
      <c r="I120" s="270">
        <v>105.33799999999999</v>
      </c>
      <c r="J120" s="270">
        <v>3998520</v>
      </c>
      <c r="K120" s="270">
        <v>31007722.899999999</v>
      </c>
      <c r="L120" s="270">
        <v>1647899.8</v>
      </c>
      <c r="M120" s="270">
        <v>62432.17</v>
      </c>
      <c r="N120" s="270">
        <v>32655622.699999999</v>
      </c>
      <c r="O120" s="255">
        <v>7.1999999999999998E-3</v>
      </c>
      <c r="P120" s="1"/>
      <c r="Q120" s="1" t="str">
        <f t="shared" si="11"/>
        <v>Investments</v>
      </c>
      <c r="R120" s="1" t="str">
        <f>_xll.BDP(G120&amp;" ISIN",$R$1)</f>
        <v>BBG00SXGDG60</v>
      </c>
      <c r="S120" s="1" t="str">
        <f>IF(Q120="Cash",Q120,IF(OR(Q120="Receivable Investments",Q120="Payable Investments"),"Cash Adjustments",_xll.BDP(R120&amp;" FIGI",$S$1)))</f>
        <v>BOND</v>
      </c>
      <c r="T120" s="1" t="str">
        <f>IF(Q120="Cash",Q120,IF(OR(Q120="Receivable Investments",Q120="Payable Investments"),"Cash Adjustments",VLOOKUP(R120,LQA!E:S,3,0)))</f>
        <v>Corp</v>
      </c>
      <c r="U120" s="1" t="str">
        <f>IF(Q120="Cash",Q120,IF(OR(Q120="Receivable Investments",Q120="Payable Investments"),"Cash Adjustments",_xll.BDP(R120&amp;" FIGI",$U$1)))</f>
        <v>#N/A Field Not Applicable</v>
      </c>
      <c r="V120" s="10">
        <f>IF(OR(Q120="Cash",Q120="Receivable Investments",Q120="Payable Investments"),0,IF(Q120="Investments",VLOOKUP(R120,LQA!E:Q,12,0),"Not Covered"))</f>
        <v>0.3</v>
      </c>
      <c r="W120" s="76">
        <f>IF(OR(Q120="Cash",Q120="Receivable Investments",Q120="Payable Investments"),0,IF(Q120="Investments",VLOOKUP(R120,LQA!E:Q,9,0),"Not Covered"))</f>
        <v>7.437E-3</v>
      </c>
      <c r="X120" s="13" t="str">
        <f>IF(OR(H120=0,T120="Comdty"),"High",IF(V120&lt;='Liquidity Bucket'!$A$4,'Liquidity Bucket'!$I$4,IF(V120&lt;='Liquidity Bucket'!$A$5,'Liquidity Bucket'!$I$5,IF(V120&lt;='Liquidity Bucket'!$A$6,'Liquidity Bucket'!$I$6,IF(V120='Liquidity Bucket'!$A$8,'Liquidity Bucket'!$I$8,'Liquidity Bucket'!$I$7)))))</f>
        <v>High</v>
      </c>
      <c r="Y120" s="153">
        <f>IF(OR(Q120="Cash",Q120="Receivable Investments",Q120="Payable Investments"),0,IF(Q120="Investments",VLOOKUP(R120,'LQA Stress'!E:Q,12,0),"Not Covered"))</f>
        <v>1.3</v>
      </c>
      <c r="Z120" s="75">
        <f>IF(OR(Q120="Cash",Q120="Receivable Investments",Q120="Payable Investments"),0,IF(Q120="Investments",VLOOKUP(R120,'LQA Stress'!E:Q,9,0),"Not Covered"))</f>
        <v>2.0351000000000001E-2</v>
      </c>
      <c r="AA120" s="13" t="str">
        <f>IF(T120="Comdty","High",IF(Y120&lt;='Liquidity Bucket'!$A$4,'Liquidity Bucket'!$I$4,IF(Y120&lt;='Liquidity Bucket'!$A$5,'Liquidity Bucket'!$I$5,IF(Y120&lt;='Liquidity Bucket'!$A$6,'Liquidity Bucket'!$I$6,IF(Y120='Liquidity Bucket'!$A$8,'Liquidity Bucket'!$I$8,'Liquidity Bucket'!$I$7)))))</f>
        <v>High</v>
      </c>
      <c r="AB120" s="14">
        <f>(N120+M120)/'FX Rates'!$C$5</f>
        <v>4220595.3134674923</v>
      </c>
      <c r="AC120" s="15" t="str">
        <f>IF(X120="Not Covered", (H120/_xll.BDP(R120&amp;" FIGI",$AC$1)),"")</f>
        <v/>
      </c>
      <c r="AD120" s="16" t="str">
        <f>IF(X120="Not Covered", _xll.BDP(R120&amp;" FIGI",$AD$1),"")</f>
        <v/>
      </c>
      <c r="AE120" s="16" t="str">
        <f>IF(OR(T120="Corp",T120="Govt"),IF(_xll.BDP(R120&amp;" FIGI",$AE$1)="#N/A N/A","",_xll.BDP(R120&amp;" FIGI",$AE$1)),"")</f>
        <v>A+</v>
      </c>
      <c r="AF120" s="1" t="str">
        <f>IF(OR(T120="Corp",T120="Govt"),IF(_xll.BDP(R120&amp;" FIGI",$AF$1)="#N/A N/A","",_xll.BDP(R120&amp;" FIGI",$AF$1)),"")</f>
        <v>A3</v>
      </c>
      <c r="AG120" s="16" t="str">
        <f>IF(OR(T120="Corp",T120="Govt"),IF(_xll.BDP(R120&amp;" FIGI",$AG$1)="#N/A N/A","",_xll.BDP(R120&amp;" FIGI",$AG$1)),"")</f>
        <v>A-</v>
      </c>
      <c r="AH120" s="125">
        <f>IF(OR(S120="Cash",S120="M-Mkt"),21,IF(AE120="",0,VLOOKUP(AE120,'Rating Scale'!A:B,2,0)))</f>
        <v>17</v>
      </c>
      <c r="AI120" s="125">
        <f>IF(OR(S120="Cash",S120="M-Mkt"),21,IF(AF120="",0,VLOOKUP(AF120,'Rating Scale'!D:E,2,0)))</f>
        <v>15</v>
      </c>
      <c r="AJ120" s="125">
        <f>IF(OR(S120="Cash",S120="M-Mkt"),21,IF(AG120="",0,VLOOKUP(AG120,'Rating Scale'!G:H,2,0)))</f>
        <v>15</v>
      </c>
      <c r="AK120">
        <f t="shared" si="19"/>
        <v>15</v>
      </c>
      <c r="AL120" s="1" t="str">
        <f>IF(OR(U120="Cash",U120="Cash Adjustments"),_xll.BDP(G120&amp;" Curncy","Country"),IF(T120="Equity",_xll.BDP(R120&amp;" FIGI","CNTRY_ISSUE_ISO"),_xll.BDP(R120&amp;" FIGI",$AL$1)))</f>
        <v>US</v>
      </c>
      <c r="AM120" s="126" t="str">
        <f>IF(OR(T120="Cash",T120="Cash Adjustments",T120="M-Mkt"), T120, IF(T120="Comdty",AS120, _xll.BDP(R120&amp;" FIGI", $AM$1)))</f>
        <v>Technology</v>
      </c>
      <c r="AN120" s="126" t="str">
        <f>IF(OR(T120="Cash",T120="Cash Adjustments",T120="M-Mkt"), T120,  IF(T120="Comdty",AS120,_xll.BDP(R120&amp;" FIGI", $AN$1)))</f>
        <v>Software</v>
      </c>
      <c r="AO120" s="126" t="str">
        <f>IF(OR(T120="Cash",T120="Cash Adjustments",T120="M-Mkt"), T120,  IF(T120="Comdty",AS120,_xll.BDP(R120&amp;" FIGI", $AO$1)))</f>
        <v>Enterprise Software/Serv</v>
      </c>
      <c r="AP120" s="13" t="str">
        <f>IF(OR(T120="Cash",T120="Cash Adjustments"), T120, IF(_xll.BDP(R120&amp;" FIGI", $AP$1)="#N/A Field Not Applicable","N",_xll.BDP(R120&amp;" FIGI", $AP$1)))</f>
        <v>N</v>
      </c>
      <c r="AQ120" s="1" t="str">
        <f>IF(OR(T120="Cash",T120="Cash Adjustments"), T120, IF(_xll.BDP(R120&amp;" FIGI", $AQ$1)="#N/A Field Not Applicable"," ",_xll.BDP(R120&amp;" FIGI", $AQ$1)))</f>
        <v xml:space="preserve"> </v>
      </c>
      <c r="AR120" s="1" t="str">
        <f>IF(OR(T120="Cash",T120="Cash Adjustments"), T120, IF(_xll.BDP(R120&amp;" FIGI", $AR$1)="#N/A Field Not Applicable"," ",_xll.BDP(R120&amp;" FIGI", $AR$1)))</f>
        <v>ACTV</v>
      </c>
      <c r="AS120" s="1" t="str">
        <f>VLOOKUP(T120,'SFC Classifcation'!$F$2:$H$7,3,0)</f>
        <v>Corporate</v>
      </c>
      <c r="AT120" s="22" t="str">
        <f t="shared" si="12"/>
        <v>Non-Financial</v>
      </c>
      <c r="AU120" s="1" t="str">
        <f t="shared" si="13"/>
        <v>Investment Grade</v>
      </c>
      <c r="AV120" s="1" t="str">
        <f>IF(OR(T120="Cash",T120="Cash Adjustments"),T120,VLOOKUP(AL120,'SFC Classifcation'!$A:$C,3,0))</f>
        <v>United States of America</v>
      </c>
      <c r="AW120" s="22" t="str">
        <f t="shared" si="14"/>
        <v>High</v>
      </c>
      <c r="AX120" s="22" t="str">
        <f t="shared" si="15"/>
        <v>High</v>
      </c>
      <c r="AY120" s="45" t="str">
        <f>IF(OR(T120="Cash",T120="Cash Adjustments"), T120, _xll.BDP(R120&amp;" FIGI", $AY$1))</f>
        <v>Information Technology</v>
      </c>
      <c r="AZ120" s="45" t="str">
        <f>IF(OR(T120="Cash",T120="Cash Adjustments"), T120, _xll.BDP(R120&amp;" FIGI", $AZ$1))</f>
        <v>INDUSTRIAL</v>
      </c>
      <c r="BA120" s="45" t="str">
        <f>IF(OR(T120="Cash",T120="Cash Adjustments"), T120, _xll.BDP(R120&amp;" FIGI", $BA$1))</f>
        <v>#N/A Field Not Applicable</v>
      </c>
      <c r="BB120" s="16">
        <f>IF(OR(AS120="Government",AS120="Corporate"),(AK120*AB120/'SFC Report'!$C$20),"")</f>
        <v>0.11501713962324314</v>
      </c>
      <c r="BC120" s="174" t="str">
        <f>IF(OR(T120="Cash",T120="Cash Adjustments", T120="FX Forward", T120="Repo", T120="Equity", T120="M-Mkt"), "", _xll.BDP(R120&amp;" FIGI", $BC$1))</f>
        <v>4/1/2025</v>
      </c>
      <c r="BD120" s="125">
        <f ca="1">IF(OR(T120="Cash",T120="Cash Adjustments",T120="FX Forward",T120="Repo", T120="Equity", T120="M-Mkt"),"",(BC120-'SFC Report'!$B$13)/365)</f>
        <v>4.9232876712328766</v>
      </c>
      <c r="BE120" s="82" t="str">
        <f t="shared" ca="1" si="18"/>
        <v>3 - 5 yrs</v>
      </c>
      <c r="BF120" s="5">
        <f ca="1">IF(BC120="","",BD120*AB120/'SFC Report'!$C$20)</f>
        <v>3.7750831032505552E-2</v>
      </c>
      <c r="BG120" s="14" cm="1">
        <f t="array" ref="BG120">IF(OR(AS120="Corporate",AS120="Government"),_xll.BDP(G120&amp;" ISIN", $BG$1),"")</f>
        <v>4.4855972742121413</v>
      </c>
      <c r="BH120" s="140">
        <f>IF(OR(AS120="Corporate",AS120="Government"),BG120*BN120/'SFC Report'!$C$20,"")</f>
        <v>3.4394704532113116E-2</v>
      </c>
      <c r="BI120" s="140">
        <f>IF(OR(AS120="Corporate",AS120="Government"),_xll.BDP(G120&amp;" ISIN", $BI$1),"")</f>
        <v>1.1555849834772844</v>
      </c>
      <c r="BJ120" s="140">
        <f>IF(OR(AS120="Corporate",AS120="Government"),BI120*AB120/'SFC Report'!$C$20,"")</f>
        <v>8.8608052927419967E-3</v>
      </c>
      <c r="BK120" s="153" t="str">
        <f>IF(OR(T120="Cash",T120="Cash Adjustments"),"-",_xll.BDP(R120&amp;" FIGI",$BK$1))</f>
        <v>US68389XBT19</v>
      </c>
      <c r="BL120" s="11" t="str">
        <f>IF(OR(AS120="Cash", AS120="Cash Adjustments"),"-",IF(ISNA(VLOOKUP(BK120,'BBG - VaR Data (Sample, Indus )'!C:N,5,0)),"-",VLOOKUP(BK120,'BBG - VaR Data (Sample, Indus )'!C:N,5,0)))</f>
        <v>-</v>
      </c>
      <c r="BM120" s="11">
        <f>IF(OR(AS120="Cash", AS120="Cash Adjustments"),"-",IF(ISNA(VLOOKUP(BK120,'BBG - Scenarios (Sample View)'!C:Z,14,0)),"-",VLOOKUP(BK120,'BBG - Scenarios (Sample View)'!C:Z,14,0)))</f>
        <v>-4.13</v>
      </c>
      <c r="BN120" s="14">
        <f t="shared" si="16"/>
        <v>4220595.3134674923</v>
      </c>
      <c r="BO120" s="1">
        <f t="shared" si="17"/>
        <v>8.2793260378522353E-3</v>
      </c>
      <c r="BP120" t="str">
        <f>IF(BC120&lt;&gt;0,MaturityBucket(BG120),"")</f>
        <v>3 - 5 yrs</v>
      </c>
      <c r="BQ120" s="11" t="str">
        <f>IF(OR(T120="Cash",T120="Cash Adjustments"),T120,VLOOKUP(AL120,'SFC Classifcation'!$A:$C,2,0))</f>
        <v>United States of America</v>
      </c>
      <c r="BR120" s="1" t="e">
        <f>IF(S120="Bond",BH120/'SFC Report'!$B$7,"")</f>
        <v>#VALUE!</v>
      </c>
      <c r="BS120" t="str">
        <f>IF(OR(T120="Cash",T120="Cash Adjustments"),"-",_xll.BDP(R120&amp;" FIGI",$BS$1))</f>
        <v>3/30/2020</v>
      </c>
      <c r="BT120" t="str">
        <f>IF(OR(T120="Cash",T120="Cash Adjustments"),"-",_xll.BDP(R120&amp;" FIGI",$BT$1))</f>
        <v>3/30/2020</v>
      </c>
      <c r="BU120" t="str">
        <f>IF(OR(T120="Cash",T120="Cash Adjustments"),"-",_xll.BDP(R120&amp;" FIGI",$BU$1))</f>
        <v>3/30/2020</v>
      </c>
    </row>
    <row r="121" spans="1:73">
      <c r="A121" s="254" t="s">
        <v>15</v>
      </c>
      <c r="B121" s="254" t="s">
        <v>25</v>
      </c>
      <c r="C121" s="254" t="s">
        <v>46</v>
      </c>
      <c r="D121" s="254" t="s">
        <v>22</v>
      </c>
      <c r="E121" s="254"/>
      <c r="F121" s="254" t="s">
        <v>524</v>
      </c>
      <c r="G121" s="254" t="s">
        <v>525</v>
      </c>
      <c r="H121" s="270">
        <v>3000000</v>
      </c>
      <c r="I121" s="270">
        <v>111.476</v>
      </c>
      <c r="J121" s="270">
        <v>2972370</v>
      </c>
      <c r="K121" s="270">
        <v>23332807.260000002</v>
      </c>
      <c r="L121" s="270">
        <v>2586031.6</v>
      </c>
      <c r="M121" s="270">
        <v>116253</v>
      </c>
      <c r="N121" s="270">
        <v>25918838.859999999</v>
      </c>
      <c r="O121" s="255">
        <v>5.7000000000000002E-3</v>
      </c>
      <c r="P121" s="1"/>
      <c r="Q121" s="1" t="str">
        <f t="shared" si="11"/>
        <v>Investments</v>
      </c>
      <c r="R121" s="1" t="str">
        <f>_xll.BDP(G121&amp;" ISIN",$R$1)</f>
        <v>BBG00NL43H88</v>
      </c>
      <c r="S121" s="1" t="str">
        <f>IF(Q121="Cash",Q121,IF(OR(Q121="Receivable Investments",Q121="Payable Investments"),"Cash Adjustments",_xll.BDP(R121&amp;" FIGI",$S$1)))</f>
        <v>BOND</v>
      </c>
      <c r="T121" s="1" t="str">
        <f>IF(Q121="Cash",Q121,IF(OR(Q121="Receivable Investments",Q121="Payable Investments"),"Cash Adjustments",VLOOKUP(R121,LQA!E:S,3,0)))</f>
        <v>Corp</v>
      </c>
      <c r="U121" s="1" t="str">
        <f>IF(Q121="Cash",Q121,IF(OR(Q121="Receivable Investments",Q121="Payable Investments"),"Cash Adjustments",_xll.BDP(R121&amp;" FIGI",$U$1)))</f>
        <v>#N/A Field Not Applicable</v>
      </c>
      <c r="V121" s="10">
        <f>IF(OR(Q121="Cash",Q121="Receivable Investments",Q121="Payable Investments"),0,IF(Q121="Investments",VLOOKUP(R121,LQA!E:Q,12,0),"Not Covered"))</f>
        <v>0.4</v>
      </c>
      <c r="W121" s="76">
        <f>IF(OR(Q121="Cash",Q121="Receivable Investments",Q121="Payable Investments"),0,IF(Q121="Investments",VLOOKUP(R121,LQA!E:Q,9,0),"Not Covered"))</f>
        <v>6.9189999999999998E-3</v>
      </c>
      <c r="X121" s="13" t="str">
        <f>IF(OR(H121=0,T121="Comdty"),"High",IF(V121&lt;='Liquidity Bucket'!$A$4,'Liquidity Bucket'!$I$4,IF(V121&lt;='Liquidity Bucket'!$A$5,'Liquidity Bucket'!$I$5,IF(V121&lt;='Liquidity Bucket'!$A$6,'Liquidity Bucket'!$I$6,IF(V121='Liquidity Bucket'!$A$8,'Liquidity Bucket'!$I$8,'Liquidity Bucket'!$I$7)))))</f>
        <v>High</v>
      </c>
      <c r="Y121" s="153">
        <f>IF(OR(Q121="Cash",Q121="Receivable Investments",Q121="Payable Investments"),0,IF(Q121="Investments",VLOOKUP(R121,'LQA Stress'!E:Q,12,0),"Not Covered"))</f>
        <v>1.1000000000000001</v>
      </c>
      <c r="Z121" s="75">
        <f>IF(OR(Q121="Cash",Q121="Receivable Investments",Q121="Payable Investments"),0,IF(Q121="Investments",VLOOKUP(R121,'LQA Stress'!E:Q,9,0),"Not Covered"))</f>
        <v>1.8787000000000002E-2</v>
      </c>
      <c r="AA121" s="13" t="str">
        <f>IF(T121="Comdty","High",IF(Y121&lt;='Liquidity Bucket'!$A$4,'Liquidity Bucket'!$I$4,IF(Y121&lt;='Liquidity Bucket'!$A$5,'Liquidity Bucket'!$I$5,IF(Y121&lt;='Liquidity Bucket'!$A$6,'Liquidity Bucket'!$I$6,IF(Y121='Liquidity Bucket'!$A$8,'Liquidity Bucket'!$I$8,'Liquidity Bucket'!$I$7)))))</f>
        <v>High</v>
      </c>
      <c r="AB121" s="14">
        <f>(N121+M121)/'FX Rates'!$C$5</f>
        <v>3358499.9819401447</v>
      </c>
      <c r="AC121" s="15" t="str">
        <f>IF(X121="Not Covered", (H121/_xll.BDP(R121&amp;" FIGI",$AC$1)),"")</f>
        <v/>
      </c>
      <c r="AD121" s="16" t="str">
        <f>IF(X121="Not Covered", _xll.BDP(R121&amp;" FIGI",$AD$1),"")</f>
        <v/>
      </c>
      <c r="AE121" s="16" t="str">
        <f>IF(OR(T121="Corp",T121="Govt"),IF(_xll.BDP(R121&amp;" FIGI",$AE$1)="#N/A N/A","",_xll.BDP(R121&amp;" FIGI",$AE$1)),"")</f>
        <v>BBB+</v>
      </c>
      <c r="AF121" s="1" t="str">
        <f>IF(OR(T121="Corp",T121="Govt"),IF(_xll.BDP(R121&amp;" FIGI",$AF$1)="#N/A N/A","",_xll.BDP(R121&amp;" FIGI",$AF$1)),"")</f>
        <v/>
      </c>
      <c r="AG121" s="16" t="str">
        <f>IF(OR(T121="Corp",T121="Govt"),IF(_xll.BDP(R121&amp;" FIGI",$AG$1)="#N/A N/A","",_xll.BDP(R121&amp;" FIGI",$AG$1)),"")</f>
        <v>A-</v>
      </c>
      <c r="AH121" s="125">
        <f>IF(OR(S121="Cash",S121="M-Mkt"),21,IF(AE121="",0,VLOOKUP(AE121,'Rating Scale'!A:B,2,0)))</f>
        <v>14</v>
      </c>
      <c r="AI121" s="125">
        <f>IF(OR(S121="Cash",S121="M-Mkt"),21,IF(AF121="",0,VLOOKUP(AF121,'Rating Scale'!D:E,2,0)))</f>
        <v>0</v>
      </c>
      <c r="AJ121" s="125">
        <f>IF(OR(S121="Cash",S121="M-Mkt"),21,IF(AG121="",0,VLOOKUP(AG121,'Rating Scale'!G:H,2,0)))</f>
        <v>15</v>
      </c>
      <c r="AK121">
        <f t="shared" si="19"/>
        <v>14</v>
      </c>
      <c r="AL121" s="1" t="str">
        <f>IF(OR(U121="Cash",U121="Cash Adjustments"),_xll.BDP(G121&amp;" Curncy","Country"),IF(T121="Equity",_xll.BDP(R121&amp;" FIGI","CNTRY_ISSUE_ISO"),_xll.BDP(R121&amp;" FIGI",$AL$1)))</f>
        <v>HK</v>
      </c>
      <c r="AM121" s="126" t="str">
        <f>IF(OR(T121="Cash",T121="Cash Adjustments",T121="M-Mkt"), T121, IF(T121="Comdty",AS121, _xll.BDP(R121&amp;" FIGI", $AM$1)))</f>
        <v>Financial</v>
      </c>
      <c r="AN121" s="126" t="str">
        <f>IF(OR(T121="Cash",T121="Cash Adjustments",T121="M-Mkt"), T121,  IF(T121="Comdty",AS121,_xll.BDP(R121&amp;" FIGI", $AN$1)))</f>
        <v>Diversified Finan Serv</v>
      </c>
      <c r="AO121" s="126" t="str">
        <f>IF(OR(T121="Cash",T121="Cash Adjustments",T121="M-Mkt"), T121,  IF(T121="Comdty",AS121,_xll.BDP(R121&amp;" FIGI", $AO$1)))</f>
        <v>Invest Mgmnt/Advis Serv</v>
      </c>
      <c r="AP121" s="13" t="str">
        <f>IF(OR(T121="Cash",T121="Cash Adjustments"), T121, IF(_xll.BDP(R121&amp;" FIGI", $AP$1)="#N/A Field Not Applicable","N",_xll.BDP(R121&amp;" FIGI", $AP$1)))</f>
        <v>N</v>
      </c>
      <c r="AQ121" s="1" t="str">
        <f>IF(OR(T121="Cash",T121="Cash Adjustments"), T121, IF(_xll.BDP(R121&amp;" FIGI", $AQ$1)="#N/A Field Not Applicable"," ",_xll.BDP(R121&amp;" FIGI", $AQ$1)))</f>
        <v xml:space="preserve"> </v>
      </c>
      <c r="AR121" s="1" t="str">
        <f>IF(OR(T121="Cash",T121="Cash Adjustments"), T121, IF(_xll.BDP(R121&amp;" FIGI", $AR$1)="#N/A Field Not Applicable"," ",_xll.BDP(R121&amp;" FIGI", $AR$1)))</f>
        <v>ACTV</v>
      </c>
      <c r="AS121" s="1" t="str">
        <f>VLOOKUP(T121,'SFC Classifcation'!$F$2:$H$7,3,0)</f>
        <v>Corporate</v>
      </c>
      <c r="AT121" s="22" t="str">
        <f t="shared" si="12"/>
        <v>Financial</v>
      </c>
      <c r="AU121" s="1" t="str">
        <f t="shared" si="13"/>
        <v>Investment Grade</v>
      </c>
      <c r="AV121" s="1" t="str">
        <f>IF(OR(T121="Cash",T121="Cash Adjustments"),T121,VLOOKUP(AL121,'SFC Classifcation'!$A:$C,3,0))</f>
        <v>Hong Kong</v>
      </c>
      <c r="AW121" s="22" t="str">
        <f t="shared" si="14"/>
        <v>High</v>
      </c>
      <c r="AX121" s="22" t="str">
        <f t="shared" si="15"/>
        <v>High</v>
      </c>
      <c r="AY121" s="45" t="str">
        <f>IF(OR(T121="Cash",T121="Cash Adjustments"), T121, _xll.BDP(R121&amp;" FIGI", $AY$1))</f>
        <v>#N/A Field Not Applicable</v>
      </c>
      <c r="AZ121" s="45" t="str">
        <f>IF(OR(T121="Cash",T121="Cash Adjustments"), T121, _xll.BDP(R121&amp;" FIGI", $AZ$1))</f>
        <v>FINANCIAL</v>
      </c>
      <c r="BA121" s="45" t="str">
        <f>IF(OR(T121="Cash",T121="Cash Adjustments"), T121, _xll.BDP(R121&amp;" FIGI", $BA$1))</f>
        <v>#N/A Field Not Applicable</v>
      </c>
      <c r="BB121" s="16">
        <f>IF(OR(AS121="Government",AS121="Corporate"),(AK121*AB121/'SFC Report'!$C$20),"")</f>
        <v>8.5422244291908575E-2</v>
      </c>
      <c r="BC121" s="174" t="str">
        <f>IF(OR(T121="Cash",T121="Cash Adjustments", T121="FX Forward", T121="Repo", T121="Equity", T121="M-Mkt"), "", _xll.BDP(R121&amp;" FIGI", $BC$1))</f>
        <v>3/20/2029</v>
      </c>
      <c r="BD121" s="125">
        <f ca="1">IF(OR(T121="Cash",T121="Cash Adjustments",T121="FX Forward",T121="Repo", T121="Equity", T121="M-Mkt"),"",(BC121-'SFC Report'!$B$13)/365)</f>
        <v>8.8931506849315074</v>
      </c>
      <c r="BE121" s="82" t="str">
        <f t="shared" ca="1" si="18"/>
        <v>7 - 10 yrs</v>
      </c>
      <c r="BF121" s="5">
        <f ca="1">IF(BC121="","",BD121*AB121/'SFC Report'!$C$20)</f>
        <v>5.4262349309498095E-2</v>
      </c>
      <c r="BG121" s="14" cm="1">
        <f t="array" ref="BG121">IF(OR(AS121="Corporate",AS121="Government"),_xll.BDP(G121&amp;" ISIN", $BG$1),"")</f>
        <v>7.3050555124422782</v>
      </c>
      <c r="BH121" s="140">
        <f>IF(OR(AS121="Corporate",AS121="Government"),BG121*BN121/'SFC Report'!$C$20,"")</f>
        <v>4.457244546784269E-2</v>
      </c>
      <c r="BI121" s="140">
        <f>IF(OR(AS121="Corporate",AS121="Government"),_xll.BDP(G121&amp;" ISIN", $BI$1),"")</f>
        <v>2.9502472273195601</v>
      </c>
      <c r="BJ121" s="140">
        <f>IF(OR(AS121="Corporate",AS121="Government"),BI121*AB121/'SFC Report'!$C$20,"")</f>
        <v>1.8001195669544098E-2</v>
      </c>
      <c r="BK121" s="153" t="str">
        <f>IF(OR(T121="Cash",T121="Cash Adjustments"),"-",_xll.BDP(R121&amp;" FIGI",$BK$1))</f>
        <v>XS1964673435</v>
      </c>
      <c r="BL121" s="11" t="str">
        <f>IF(OR(AS121="Cash", AS121="Cash Adjustments"),"-",IF(ISNA(VLOOKUP(BK121,'BBG - VaR Data (Sample, Indus )'!C:N,5,0)),"-",VLOOKUP(BK121,'BBG - VaR Data (Sample, Indus )'!C:N,5,0)))</f>
        <v>-</v>
      </c>
      <c r="BM121" s="11">
        <f>IF(OR(AS121="Cash", AS121="Cash Adjustments"),"-",IF(ISNA(VLOOKUP(BK121,'BBG - Scenarios (Sample View)'!C:Z,14,0)),"-",VLOOKUP(BK121,'BBG - Scenarios (Sample View)'!C:Z,14,0)))</f>
        <v>-5.51</v>
      </c>
      <c r="BN121" s="14">
        <f t="shared" si="16"/>
        <v>3358499.9819401447</v>
      </c>
      <c r="BO121" s="1">
        <f t="shared" si="17"/>
        <v>6.5881977027924948E-3</v>
      </c>
      <c r="BP121" t="str">
        <f>IF(BC121&lt;&gt;0,MaturityBucket(BG121),"")</f>
        <v>7 - 10 yrs</v>
      </c>
      <c r="BQ121" s="11" t="str">
        <f>IF(OR(T121="Cash",T121="Cash Adjustments"),T121,VLOOKUP(AL121,'SFC Classifcation'!$A:$C,2,0))</f>
        <v>Hong Kong</v>
      </c>
      <c r="BR121" s="1" t="e">
        <f>IF(S121="Bond",BH121/'SFC Report'!$B$7,"")</f>
        <v>#VALUE!</v>
      </c>
      <c r="BS121" t="str">
        <f>IF(OR(T121="Cash",T121="Cash Adjustments"),"-",_xll.BDP(R121&amp;" FIGI",$BS$1))</f>
        <v>3/12/2019</v>
      </c>
      <c r="BT121" t="str">
        <f>IF(OR(T121="Cash",T121="Cash Adjustments"),"-",_xll.BDP(R121&amp;" FIGI",$BT$1))</f>
        <v>#N/A N/A</v>
      </c>
      <c r="BU121" t="str">
        <f>IF(OR(T121="Cash",T121="Cash Adjustments"),"-",_xll.BDP(R121&amp;" FIGI",$BU$1))</f>
        <v>3/15/2019</v>
      </c>
    </row>
    <row r="122" spans="1:73">
      <c r="A122" s="254" t="s">
        <v>15</v>
      </c>
      <c r="B122" s="254" t="s">
        <v>25</v>
      </c>
      <c r="C122" s="254" t="s">
        <v>46</v>
      </c>
      <c r="D122" s="254" t="s">
        <v>22</v>
      </c>
      <c r="E122" s="254"/>
      <c r="F122" s="254" t="s">
        <v>1940</v>
      </c>
      <c r="G122" s="254" t="s">
        <v>1941</v>
      </c>
      <c r="H122" s="270">
        <v>2000000</v>
      </c>
      <c r="I122" s="270">
        <v>69.491</v>
      </c>
      <c r="J122" s="270">
        <v>1380000</v>
      </c>
      <c r="K122" s="270">
        <v>10695414</v>
      </c>
      <c r="L122" s="270">
        <v>75968.960000000006</v>
      </c>
      <c r="M122" s="270">
        <v>235692.19</v>
      </c>
      <c r="N122" s="270">
        <v>10771382.960000001</v>
      </c>
      <c r="O122" s="255">
        <v>2.3999999999999998E-3</v>
      </c>
      <c r="P122" s="1"/>
      <c r="Q122" s="1" t="str">
        <f t="shared" si="11"/>
        <v>Investments</v>
      </c>
      <c r="R122" s="1" t="str">
        <f>_xll.BDP(G122&amp;" ISIN",$R$1)</f>
        <v>BBG00RHHSFZ2</v>
      </c>
      <c r="S122" s="1" t="str">
        <f>IF(Q122="Cash",Q122,IF(OR(Q122="Receivable Investments",Q122="Payable Investments"),"Cash Adjustments",_xll.BDP(R122&amp;" FIGI",$S$1)))</f>
        <v>BOND</v>
      </c>
      <c r="T122" s="1" t="str">
        <f>IF(Q122="Cash",Q122,IF(OR(Q122="Receivable Investments",Q122="Payable Investments"),"Cash Adjustments",VLOOKUP(R122,LQA!E:S,3,0)))</f>
        <v>Corp</v>
      </c>
      <c r="U122" s="1" t="str">
        <f>IF(Q122="Cash",Q122,IF(OR(Q122="Receivable Investments",Q122="Payable Investments"),"Cash Adjustments",_xll.BDP(R122&amp;" FIGI",$U$1)))</f>
        <v>#N/A Field Not Applicable</v>
      </c>
      <c r="V122" s="10">
        <f>IF(OR(Q122="Cash",Q122="Receivable Investments",Q122="Payable Investments"),0,IF(Q122="Investments",VLOOKUP(R122,LQA!E:Q,12,0),"Not Covered"))</f>
        <v>0.3</v>
      </c>
      <c r="W122" s="76">
        <f>IF(OR(Q122="Cash",Q122="Receivable Investments",Q122="Payable Investments"),0,IF(Q122="Investments",VLOOKUP(R122,LQA!E:Q,9,0),"Not Covered"))</f>
        <v>5.5919000000000003E-2</v>
      </c>
      <c r="X122" s="13" t="str">
        <f>IF(OR(H122=0,T122="Comdty"),"High",IF(V122&lt;='Liquidity Bucket'!$A$4,'Liquidity Bucket'!$I$4,IF(V122&lt;='Liquidity Bucket'!$A$5,'Liquidity Bucket'!$I$5,IF(V122&lt;='Liquidity Bucket'!$A$6,'Liquidity Bucket'!$I$6,IF(V122='Liquidity Bucket'!$A$8,'Liquidity Bucket'!$I$8,'Liquidity Bucket'!$I$7)))))</f>
        <v>High</v>
      </c>
      <c r="Y122" s="153">
        <f>IF(OR(Q122="Cash",Q122="Receivable Investments",Q122="Payable Investments"),0,IF(Q122="Investments",VLOOKUP(R122,'LQA Stress'!E:Q,12,0),"Not Covered"))</f>
        <v>1.1000000000000001</v>
      </c>
      <c r="Z122" s="75">
        <f>IF(OR(Q122="Cash",Q122="Receivable Investments",Q122="Payable Investments"),0,IF(Q122="Investments",VLOOKUP(R122,'LQA Stress'!E:Q,9,0),"Not Covered"))</f>
        <v>0.156921</v>
      </c>
      <c r="AA122" s="13" t="str">
        <f>IF(T122="Comdty","High",IF(Y122&lt;='Liquidity Bucket'!$A$4,'Liquidity Bucket'!$I$4,IF(Y122&lt;='Liquidity Bucket'!$A$5,'Liquidity Bucket'!$I$5,IF(Y122&lt;='Liquidity Bucket'!$A$6,'Liquidity Bucket'!$I$6,IF(Y122='Liquidity Bucket'!$A$8,'Liquidity Bucket'!$I$8,'Liquidity Bucket'!$I$7)))))</f>
        <v>High</v>
      </c>
      <c r="AB122" s="14">
        <f>(N122+M122)/'FX Rates'!$C$5</f>
        <v>1419901.3351393191</v>
      </c>
      <c r="AC122" s="15" t="str">
        <f>IF(X122="Not Covered", (H122/_xll.BDP(R122&amp;" FIGI",$AC$1)),"")</f>
        <v/>
      </c>
      <c r="AD122" s="16" t="str">
        <f>IF(X122="Not Covered", _xll.BDP(R122&amp;" FIGI",$AD$1),"")</f>
        <v/>
      </c>
      <c r="AE122" s="16" t="str">
        <f>IF(OR(T122="Corp",T122="Govt"),IF(_xll.BDP(R122&amp;" FIGI",$AE$1)="#N/A N/A","",_xll.BDP(R122&amp;" FIGI",$AE$1)),"")</f>
        <v>BBB</v>
      </c>
      <c r="AF122" s="1" t="str">
        <f>IF(OR(T122="Corp",T122="Govt"),IF(_xll.BDP(R122&amp;" FIGI",$AF$1)="#N/A N/A","",_xll.BDP(R122&amp;" FIGI",$AF$1)),"")</f>
        <v>Ba2</v>
      </c>
      <c r="AG122" s="16" t="str">
        <f>IF(OR(T122="Corp",T122="Govt"),IF(_xll.BDP(R122&amp;" FIGI",$AG$1)="#N/A N/A","",_xll.BDP(R122&amp;" FIGI",$AG$1)),"")</f>
        <v>BB-</v>
      </c>
      <c r="AH122" s="125">
        <f>IF(OR(S122="Cash",S122="M-Mkt"),21,IF(AE122="",0,VLOOKUP(AE122,'Rating Scale'!A:B,2,0)))</f>
        <v>13</v>
      </c>
      <c r="AI122" s="125">
        <f>IF(OR(S122="Cash",S122="M-Mkt"),21,IF(AF122="",0,VLOOKUP(AF122,'Rating Scale'!D:E,2,0)))</f>
        <v>10</v>
      </c>
      <c r="AJ122" s="125">
        <f>IF(OR(S122="Cash",S122="M-Mkt"),21,IF(AG122="",0,VLOOKUP(AG122,'Rating Scale'!G:H,2,0)))</f>
        <v>9</v>
      </c>
      <c r="AK122">
        <f>Rating(AH122,AI122,AJ122)</f>
        <v>10</v>
      </c>
      <c r="AL122" s="1" t="str">
        <f>IF(OR(U122="Cash",U122="Cash Adjustments"),_xll.BDP(G122&amp;" Curncy","Country"),IF(T122="Equity",_xll.BDP(R122&amp;" FIGI","CNTRY_ISSUE_ISO"),_xll.BDP(R122&amp;" FIGI",$AL$1)))</f>
        <v>MX</v>
      </c>
      <c r="AM122" s="126" t="str">
        <f>IF(OR(T122="Cash",T122="Cash Adjustments",T122="M-Mkt"), T122, IF(T122="Comdty",AS122, _xll.BDP(R122&amp;" FIGI", $AM$1)))</f>
        <v>Energy</v>
      </c>
      <c r="AN122" s="126" t="str">
        <f>IF(OR(T122="Cash",T122="Cash Adjustments",T122="M-Mkt"), T122,  IF(T122="Comdty",AS122,_xll.BDP(R122&amp;" FIGI", $AN$1)))</f>
        <v>Oil&amp;Gas</v>
      </c>
      <c r="AO122" s="126" t="str">
        <f>IF(OR(T122="Cash",T122="Cash Adjustments",T122="M-Mkt"), T122,  IF(T122="Comdty",AS122,_xll.BDP(R122&amp;" FIGI", $AO$1)))</f>
        <v>Oil Comp-Integrated</v>
      </c>
      <c r="AP122" s="13" t="str">
        <f>IF(OR(T122="Cash",T122="Cash Adjustments"), T122, IF(_xll.BDP(R122&amp;" FIGI", $AP$1)="#N/A Field Not Applicable","N",_xll.BDP(R122&amp;" FIGI", $AP$1)))</f>
        <v>N</v>
      </c>
      <c r="AQ122" s="1" t="str">
        <f>IF(OR(T122="Cash",T122="Cash Adjustments"), T122, IF(_xll.BDP(R122&amp;" FIGI", $AQ$1)="#N/A Field Not Applicable"," ",_xll.BDP(R122&amp;" FIGI", $AQ$1)))</f>
        <v xml:space="preserve"> </v>
      </c>
      <c r="AR122" s="1" t="str">
        <f>IF(OR(T122="Cash",T122="Cash Adjustments"), T122, IF(_xll.BDP(R122&amp;" FIGI", $AR$1)="#N/A Field Not Applicable"," ",_xll.BDP(R122&amp;" FIGI", $AR$1)))</f>
        <v>ACTV</v>
      </c>
      <c r="AS122" s="1" t="str">
        <f>VLOOKUP(T122,'SFC Classifcation'!$F$2:$H$7,3,0)</f>
        <v>Corporate</v>
      </c>
      <c r="AT122" s="22" t="str">
        <f t="shared" si="12"/>
        <v>Non-Financial</v>
      </c>
      <c r="AU122" s="1" t="str">
        <f t="shared" si="13"/>
        <v>Non-Investment Grade</v>
      </c>
      <c r="AV122" s="1" t="str">
        <f>IF(OR(T122="Cash",T122="Cash Adjustments"),T122,VLOOKUP(AL122,'SFC Classifcation'!$A:$C,3,0))</f>
        <v>America - others (1)</v>
      </c>
      <c r="AW122" s="22" t="str">
        <f t="shared" si="14"/>
        <v>High</v>
      </c>
      <c r="AX122" s="22" t="str">
        <f t="shared" si="15"/>
        <v>High</v>
      </c>
      <c r="AY122" s="45" t="str">
        <f>IF(OR(T122="Cash",T122="Cash Adjustments"), T122, _xll.BDP(R122&amp;" FIGI", $AY$1))</f>
        <v>#N/A Field Not Applicable</v>
      </c>
      <c r="AZ122" s="45" t="str">
        <f>IF(OR(T122="Cash",T122="Cash Adjustments"), T122, _xll.BDP(R122&amp;" FIGI", $AZ$1))</f>
        <v>INDUSTRIAL</v>
      </c>
      <c r="BA122" s="45" t="str">
        <f>IF(OR(T122="Cash",T122="Cash Adjustments"), T122, _xll.BDP(R122&amp;" FIGI", $BA$1))</f>
        <v>#N/A Field Not Applicable</v>
      </c>
      <c r="BB122" s="16">
        <f>IF(OR(AS122="Government",AS122="Corporate"),(AK122*AB122/'SFC Report'!$C$20),"")</f>
        <v>2.5796201402178694E-2</v>
      </c>
      <c r="BC122" s="174" t="str">
        <f>IF(OR(T122="Cash",T122="Cash Adjustments", T122="FX Forward", T122="Repo", T122="Equity", T122="M-Mkt"), "", _xll.BDP(R122&amp;" FIGI", $BC$1))</f>
        <v>1/28/2031</v>
      </c>
      <c r="BD122" s="125">
        <f ca="1">IF(OR(T122="Cash",T122="Cash Adjustments",T122="FX Forward",T122="Repo", T122="Equity", T122="M-Mkt"),"",(BC122-'SFC Report'!$B$13)/365)</f>
        <v>10.753424657534246</v>
      </c>
      <c r="BE122" s="82" t="str">
        <f t="shared" ca="1" si="18"/>
        <v>10 yrs or Above</v>
      </c>
      <c r="BF122" s="5">
        <f ca="1">IF(BC122="","",BD122*AB122/'SFC Report'!$C$20)</f>
        <v>2.7739750822890784E-2</v>
      </c>
      <c r="BG122" s="14" cm="1">
        <f t="array" ref="BG122">IF(OR(AS122="Corporate",AS122="Government"),_xll.BDP(G122&amp;" ISIN", $BG$1),"")</f>
        <v>7.2561950031752911</v>
      </c>
      <c r="BH122" s="140">
        <f>IF(OR(AS122="Corporate",AS122="Government"),BG122*BN122/'SFC Report'!$C$20,"")</f>
        <v>1.8718226771539243E-2</v>
      </c>
      <c r="BI122" s="140">
        <f>IF(OR(AS122="Corporate",AS122="Government"),_xll.BDP(G122&amp;" ISIN", $BI$1),"")</f>
        <v>8.4665872337233328</v>
      </c>
      <c r="BJ122" s="140">
        <f>IF(OR(AS122="Corporate",AS122="Government"),BI122*AB122/'SFC Report'!$C$20,"")</f>
        <v>2.1840578947024205E-2</v>
      </c>
      <c r="BK122" s="153" t="str">
        <f>IF(OR(T122="Cash",T122="Cash Adjustments"),"-",_xll.BDP(R122&amp;" FIGI",$BK$1))</f>
        <v>USP78625EA73</v>
      </c>
      <c r="BL122" s="11" t="str">
        <f>IF(OR(AS122="Cash", AS122="Cash Adjustments"),"-",IF(ISNA(VLOOKUP(BK122,'BBG - VaR Data (Sample, Indus )'!C:N,5,0)),"-",VLOOKUP(BK122,'BBG - VaR Data (Sample, Indus )'!C:N,5,0)))</f>
        <v>-</v>
      </c>
      <c r="BM122" s="11">
        <f>IF(OR(AS122="Cash", AS122="Cash Adjustments"),"-",IF(ISNA(VLOOKUP(BK122,'BBG - Scenarios (Sample View)'!C:Z,14,0)),"-",VLOOKUP(BK122,'BBG - Scenarios (Sample View)'!C:Z,14,0)))</f>
        <v>-8.61</v>
      </c>
      <c r="BN122" s="14">
        <f t="shared" si="16"/>
        <v>1419901.3351393191</v>
      </c>
      <c r="BO122" s="1">
        <f t="shared" si="17"/>
        <v>2.7853478531069936E-3</v>
      </c>
      <c r="BP122" t="str">
        <f>IF(BC122&lt;&gt;0,MaturityBucket(BG122),"")</f>
        <v>7 - 10 yrs</v>
      </c>
      <c r="BQ122" s="11" t="str">
        <f>IF(OR(T122="Cash",T122="Cash Adjustments"),T122,VLOOKUP(AL122,'SFC Classifcation'!$A:$C,2,0))</f>
        <v>Mexico</v>
      </c>
      <c r="BR122" s="1" t="e">
        <f>IF(S122="Bond",BH122/'SFC Report'!$B$7,"")</f>
        <v>#VALUE!</v>
      </c>
      <c r="BS122" t="str">
        <f>IF(OR(T122="Cash",T122="Cash Adjustments"),"-",_xll.BDP(R122&amp;" FIGI",$BS$1))</f>
        <v>3/26/2020</v>
      </c>
      <c r="BT122" t="str">
        <f>IF(OR(T122="Cash",T122="Cash Adjustments"),"-",_xll.BDP(R122&amp;" FIGI",$BT$1))</f>
        <v>4/17/2020</v>
      </c>
      <c r="BU122" t="str">
        <f>IF(OR(T122="Cash",T122="Cash Adjustments"),"-",_xll.BDP(R122&amp;" FIGI",$BU$1))</f>
        <v>4/17/2020</v>
      </c>
    </row>
    <row r="123" spans="1:73">
      <c r="A123" s="254" t="s">
        <v>15</v>
      </c>
      <c r="B123" s="254" t="s">
        <v>25</v>
      </c>
      <c r="C123" s="254" t="s">
        <v>46</v>
      </c>
      <c r="D123" s="254" t="s">
        <v>22</v>
      </c>
      <c r="E123" s="254"/>
      <c r="F123" s="254" t="s">
        <v>1942</v>
      </c>
      <c r="G123" s="254" t="s">
        <v>1943</v>
      </c>
      <c r="H123" s="270">
        <v>1000000</v>
      </c>
      <c r="I123" s="270">
        <v>104.217</v>
      </c>
      <c r="J123" s="270">
        <v>987360</v>
      </c>
      <c r="K123" s="270">
        <v>7653422.2999999998</v>
      </c>
      <c r="L123" s="270">
        <v>423603.63</v>
      </c>
      <c r="M123" s="270">
        <v>6781.42</v>
      </c>
      <c r="N123" s="270">
        <v>8077025.9299999997</v>
      </c>
      <c r="O123" s="255">
        <v>1.8E-3</v>
      </c>
      <c r="P123" s="1"/>
      <c r="Q123" s="1" t="str">
        <f t="shared" si="11"/>
        <v>Investments</v>
      </c>
      <c r="R123" s="1" t="str">
        <f>_xll.BDP(G123&amp;" ISIN",$R$1)</f>
        <v>BBG00T5WB7F6</v>
      </c>
      <c r="S123" s="1" t="str">
        <f>IF(Q123="Cash",Q123,IF(OR(Q123="Receivable Investments",Q123="Payable Investments"),"Cash Adjustments",_xll.BDP(R123&amp;" FIGI",$S$1)))</f>
        <v>BOND</v>
      </c>
      <c r="T123" s="1" t="str">
        <f>IF(Q123="Cash",Q123,IF(OR(Q123="Receivable Investments",Q123="Payable Investments"),"Cash Adjustments",VLOOKUP(R123,LQA!E:S,3,0)))</f>
        <v>Corp</v>
      </c>
      <c r="U123" s="1" t="str">
        <f>IF(Q123="Cash",Q123,IF(OR(Q123="Receivable Investments",Q123="Payable Investments"),"Cash Adjustments",_xll.BDP(R123&amp;" FIGI",$U$1)))</f>
        <v>#N/A Field Not Applicable</v>
      </c>
      <c r="V123" s="10">
        <f>IF(OR(Q123="Cash",Q123="Receivable Investments",Q123="Payable Investments"),0,IF(Q123="Investments",VLOOKUP(R123,LQA!E:Q,12,0),"Not Covered"))</f>
        <v>0.2</v>
      </c>
      <c r="W123" s="76">
        <f>IF(OR(Q123="Cash",Q123="Receivable Investments",Q123="Payable Investments"),0,IF(Q123="Investments",VLOOKUP(R123,LQA!E:Q,9,0),"Not Covered"))</f>
        <v>1.1827000000000001E-2</v>
      </c>
      <c r="X123" s="13" t="str">
        <f>IF(OR(H123=0,T123="Comdty"),"High",IF(V123&lt;='Liquidity Bucket'!$A$4,'Liquidity Bucket'!$I$4,IF(V123&lt;='Liquidity Bucket'!$A$5,'Liquidity Bucket'!$I$5,IF(V123&lt;='Liquidity Bucket'!$A$6,'Liquidity Bucket'!$I$6,IF(V123='Liquidity Bucket'!$A$8,'Liquidity Bucket'!$I$8,'Liquidity Bucket'!$I$7)))))</f>
        <v>High</v>
      </c>
      <c r="Y123" s="153">
        <f>IF(OR(Q123="Cash",Q123="Receivable Investments",Q123="Payable Investments"),0,IF(Q123="Investments",VLOOKUP(R123,'LQA Stress'!E:Q,12,0),"Not Covered"))</f>
        <v>0.5</v>
      </c>
      <c r="Z123" s="75">
        <f>IF(OR(Q123="Cash",Q123="Receivable Investments",Q123="Payable Investments"),0,IF(Q123="Investments",VLOOKUP(R123,'LQA Stress'!E:Q,9,0),"Not Covered"))</f>
        <v>3.2960000000000003E-2</v>
      </c>
      <c r="AA123" s="13" t="str">
        <f>IF(T123="Comdty","High",IF(Y123&lt;='Liquidity Bucket'!$A$4,'Liquidity Bucket'!$I$4,IF(Y123&lt;='Liquidity Bucket'!$A$5,'Liquidity Bucket'!$I$5,IF(Y123&lt;='Liquidity Bucket'!$A$6,'Liquidity Bucket'!$I$6,IF(Y123='Liquidity Bucket'!$A$8,'Liquidity Bucket'!$I$8,'Liquidity Bucket'!$I$7)))))</f>
        <v>High</v>
      </c>
      <c r="AB123" s="14">
        <f>(N123+M123)/'FX Rates'!$C$5</f>
        <v>1042802.8057275541</v>
      </c>
      <c r="AC123" s="15" t="str">
        <f>IF(X123="Not Covered", (H123/_xll.BDP(R123&amp;" FIGI",$AC$1)),"")</f>
        <v/>
      </c>
      <c r="AD123" s="16" t="str">
        <f>IF(X123="Not Covered", _xll.BDP(R123&amp;" FIGI",$AD$1),"")</f>
        <v/>
      </c>
      <c r="AE123" s="16" t="str">
        <f>IF(OR(T123="Corp",T123="Govt"),IF(_xll.BDP(R123&amp;" FIGI",$AE$1)="#N/A N/A","",_xll.BDP(R123&amp;" FIGI",$AE$1)),"")</f>
        <v>A-</v>
      </c>
      <c r="AF123" s="1" t="str">
        <f>IF(OR(T123="Corp",T123="Govt"),IF(_xll.BDP(R123&amp;" FIGI",$AF$1)="#N/A N/A","",_xll.BDP(R123&amp;" FIGI",$AF$1)),"")</f>
        <v>A2</v>
      </c>
      <c r="AG123" s="16" t="str">
        <f>IF(OR(T123="Corp",T123="Govt"),IF(_xll.BDP(R123&amp;" FIGI",$AG$1)="#N/A N/A","",_xll.BDP(R123&amp;" FIGI",$AG$1)),"")</f>
        <v/>
      </c>
      <c r="AH123" s="125">
        <f>IF(OR(S123="Cash",S123="M-Mkt"),21,IF(AE123="",0,VLOOKUP(AE123,'Rating Scale'!A:B,2,0)))</f>
        <v>15</v>
      </c>
      <c r="AI123" s="125">
        <f>IF(OR(S123="Cash",S123="M-Mkt"),21,IF(AF123="",0,VLOOKUP(AF123,'Rating Scale'!D:E,2,0)))</f>
        <v>16</v>
      </c>
      <c r="AJ123" s="125">
        <f>IF(OR(S123="Cash",S123="M-Mkt"),21,IF(AG123="",0,VLOOKUP(AG123,'Rating Scale'!G:H,2,0)))</f>
        <v>0</v>
      </c>
      <c r="AK123">
        <f>Rating(AH123,AI123,AJ123)</f>
        <v>15</v>
      </c>
      <c r="AL123" s="1" t="str">
        <f>IF(OR(U123="Cash",U123="Cash Adjustments"),_xll.BDP(G123&amp;" Curncy","Country"),IF(T123="Equity",_xll.BDP(R123&amp;" FIGI","CNTRY_ISSUE_ISO"),_xll.BDP(R123&amp;" FIGI",$AL$1)))</f>
        <v>MY</v>
      </c>
      <c r="AM123" s="126" t="str">
        <f>IF(OR(T123="Cash",T123="Cash Adjustments",T123="M-Mkt"), T123, IF(T123="Comdty",AS123, _xll.BDP(R123&amp;" FIGI", $AM$1)))</f>
        <v>Energy</v>
      </c>
      <c r="AN123" s="126" t="str">
        <f>IF(OR(T123="Cash",T123="Cash Adjustments",T123="M-Mkt"), T123,  IF(T123="Comdty",AS123,_xll.BDP(R123&amp;" FIGI", $AN$1)))</f>
        <v>Oil&amp;Gas</v>
      </c>
      <c r="AO123" s="126" t="str">
        <f>IF(OR(T123="Cash",T123="Cash Adjustments",T123="M-Mkt"), T123,  IF(T123="Comdty",AS123,_xll.BDP(R123&amp;" FIGI", $AO$1)))</f>
        <v>Oil Comp-Integrated</v>
      </c>
      <c r="AP123" s="13" t="str">
        <f>IF(OR(T123="Cash",T123="Cash Adjustments"), T123, IF(_xll.BDP(R123&amp;" FIGI", $AP$1)="#N/A Field Not Applicable","N",_xll.BDP(R123&amp;" FIGI", $AP$1)))</f>
        <v>N</v>
      </c>
      <c r="AQ123" s="1" t="str">
        <f>IF(OR(T123="Cash",T123="Cash Adjustments"), T123, IF(_xll.BDP(R123&amp;" FIGI", $AQ$1)="#N/A Field Not Applicable"," ",_xll.BDP(R123&amp;" FIGI", $AQ$1)))</f>
        <v xml:space="preserve"> </v>
      </c>
      <c r="AR123" s="1" t="str">
        <f>IF(OR(T123="Cash",T123="Cash Adjustments"), T123, IF(_xll.BDP(R123&amp;" FIGI", $AR$1)="#N/A Field Not Applicable"," ",_xll.BDP(R123&amp;" FIGI", $AR$1)))</f>
        <v>ACTV</v>
      </c>
      <c r="AS123" s="1" t="str">
        <f>VLOOKUP(T123,'SFC Classifcation'!$F$2:$H$7,3,0)</f>
        <v>Corporate</v>
      </c>
      <c r="AT123" s="22" t="str">
        <f t="shared" si="12"/>
        <v>Non-Financial</v>
      </c>
      <c r="AU123" s="1" t="str">
        <f t="shared" si="13"/>
        <v>Investment Grade</v>
      </c>
      <c r="AV123" s="1" t="str">
        <f>IF(OR(T123="Cash",T123="Cash Adjustments"),T123,VLOOKUP(AL123,'SFC Classifcation'!$A:$C,3,0))</f>
        <v>Asia - others (1)</v>
      </c>
      <c r="AW123" s="22" t="str">
        <f t="shared" si="14"/>
        <v>High</v>
      </c>
      <c r="AX123" s="22" t="str">
        <f t="shared" si="15"/>
        <v>High</v>
      </c>
      <c r="AY123" s="45" t="str">
        <f>IF(OR(T123="Cash",T123="Cash Adjustments"), T123, _xll.BDP(R123&amp;" FIGI", $AY$1))</f>
        <v>#N/A Field Not Applicable</v>
      </c>
      <c r="AZ123" s="45" t="str">
        <f>IF(OR(T123="Cash",T123="Cash Adjustments"), T123, _xll.BDP(R123&amp;" FIGI", $AZ$1))</f>
        <v>INDUSTRIAL</v>
      </c>
      <c r="BA123" s="45" t="str">
        <f>IF(OR(T123="Cash",T123="Cash Adjustments"), T123, _xll.BDP(R123&amp;" FIGI", $BA$1))</f>
        <v>#N/A Field Not Applicable</v>
      </c>
      <c r="BB123" s="16">
        <f>IF(OR(AS123="Government",AS123="Corporate"),(AK123*AB123/'SFC Report'!$C$20),"")</f>
        <v>2.8417838479599965E-2</v>
      </c>
      <c r="BC123" s="174" t="str">
        <f>IF(OR(T123="Cash",T123="Cash Adjustments", T123="FX Forward", T123="Repo", T123="Equity", T123="M-Mkt"), "", _xll.BDP(R123&amp;" FIGI", $BC$1))</f>
        <v>4/21/2030</v>
      </c>
      <c r="BD123" s="125">
        <f ca="1">IF(OR(T123="Cash",T123="Cash Adjustments",T123="FX Forward",T123="Repo", T123="Equity", T123="M-Mkt"),"",(BC123-'SFC Report'!$B$13)/365)</f>
        <v>9.9808219178082194</v>
      </c>
      <c r="BE123" s="82" t="str">
        <f t="shared" ca="1" si="18"/>
        <v>7 - 10 yrs</v>
      </c>
      <c r="BF123" s="5">
        <f ca="1">IF(BC123="","",BD123*AB123/'SFC Report'!$C$20)</f>
        <v>1.890889234359501E-2</v>
      </c>
      <c r="BG123" s="14" cm="1">
        <f t="array" ref="BG123">IF(OR(AS123="Corporate",AS123="Government"),_xll.BDP(G123&amp;" ISIN", $BG$1),"")</f>
        <v>8.217781864611343</v>
      </c>
      <c r="BH123" s="140">
        <f>IF(OR(AS123="Corporate",AS123="Government"),BG123*BN123/'SFC Report'!$C$20,"")</f>
        <v>1.5568773179274067E-2</v>
      </c>
      <c r="BI123" s="140">
        <f>IF(OR(AS123="Corporate",AS123="Government"),_xll.BDP(G123&amp;" ISIN", $BI$1),"")</f>
        <v>2.4466396476025536</v>
      </c>
      <c r="BJ123" s="140">
        <f>IF(OR(AS123="Corporate",AS123="Government"),BI123*AB123/'SFC Report'!$C$20,"")</f>
        <v>4.6352140215569831E-3</v>
      </c>
      <c r="BK123" s="153" t="str">
        <f>IF(OR(T123="Cash",T123="Cash Adjustments"),"-",_xll.BDP(R123&amp;" FIGI",$BK$1))</f>
        <v>USY68856AT38</v>
      </c>
      <c r="BL123" s="11" t="str">
        <f>IF(OR(AS123="Cash", AS123="Cash Adjustments"),"-",IF(ISNA(VLOOKUP(BK123,'BBG - VaR Data (Sample, Indus )'!C:N,5,0)),"-",VLOOKUP(BK123,'BBG - VaR Data (Sample, Indus )'!C:N,5,0)))</f>
        <v>-</v>
      </c>
      <c r="BM123" s="11">
        <f>IF(OR(AS123="Cash", AS123="Cash Adjustments"),"-",IF(ISNA(VLOOKUP(BK123,'BBG - Scenarios (Sample View)'!C:Z,14,0)),"-",VLOOKUP(BK123,'BBG - Scenarios (Sample View)'!C:Z,14,0)))</f>
        <v>-4.29</v>
      </c>
      <c r="BN123" s="14">
        <f t="shared" si="16"/>
        <v>1042802.8057275541</v>
      </c>
      <c r="BO123" s="1">
        <f t="shared" si="17"/>
        <v>2.0456129480730429E-3</v>
      </c>
      <c r="BP123" t="str">
        <f>IF(BC123&lt;&gt;0,MaturityBucket(BG123),"")</f>
        <v>7 - 10 yrs</v>
      </c>
      <c r="BQ123" s="11" t="str">
        <f>IF(OR(T123="Cash",T123="Cash Adjustments"),T123,VLOOKUP(AL123,'SFC Classifcation'!$A:$C,2,0))</f>
        <v>Malaysia</v>
      </c>
      <c r="BR123" s="1" t="e">
        <f>IF(S123="Bond",BH123/'SFC Report'!$B$7,"")</f>
        <v>#VALUE!</v>
      </c>
      <c r="BS123" t="str">
        <f>IF(OR(T123="Cash",T123="Cash Adjustments"),"-",_xll.BDP(R123&amp;" FIGI",$BS$1))</f>
        <v>4/6/2020</v>
      </c>
      <c r="BT123" t="str">
        <f>IF(OR(T123="Cash",T123="Cash Adjustments"),"-",_xll.BDP(R123&amp;" FIGI",$BT$1))</f>
        <v>4/6/2020</v>
      </c>
      <c r="BU123" t="str">
        <f>IF(OR(T123="Cash",T123="Cash Adjustments"),"-",_xll.BDP(R123&amp;" FIGI",$BU$1))</f>
        <v>#N/A N/A</v>
      </c>
    </row>
    <row r="124" spans="1:73">
      <c r="A124" s="254" t="s">
        <v>15</v>
      </c>
      <c r="B124" s="254" t="s">
        <v>25</v>
      </c>
      <c r="C124" s="254" t="s">
        <v>46</v>
      </c>
      <c r="D124" s="254" t="s">
        <v>22</v>
      </c>
      <c r="E124" s="254"/>
      <c r="F124" s="254" t="s">
        <v>1944</v>
      </c>
      <c r="G124" s="254" t="s">
        <v>1945</v>
      </c>
      <c r="H124" s="270">
        <v>2000000</v>
      </c>
      <c r="I124" s="270">
        <v>109.974</v>
      </c>
      <c r="J124" s="270">
        <v>2000000</v>
      </c>
      <c r="K124" s="270">
        <v>15502800</v>
      </c>
      <c r="L124" s="270">
        <v>1543609.9</v>
      </c>
      <c r="M124" s="270">
        <v>17631.71</v>
      </c>
      <c r="N124" s="270">
        <v>17046409.899999999</v>
      </c>
      <c r="O124" s="255">
        <v>3.7000000000000002E-3</v>
      </c>
      <c r="P124" s="1"/>
      <c r="Q124" s="1" t="str">
        <f t="shared" si="11"/>
        <v>Investments</v>
      </c>
      <c r="R124" s="1" t="str">
        <f>_xll.BDP(G124&amp;" ISIN",$R$1)</f>
        <v>BBG00T5WB757</v>
      </c>
      <c r="S124" s="1" t="str">
        <f>IF(Q124="Cash",Q124,IF(OR(Q124="Receivable Investments",Q124="Payable Investments"),"Cash Adjustments",_xll.BDP(R124&amp;" FIGI",$S$1)))</f>
        <v>BOND</v>
      </c>
      <c r="T124" s="1" t="str">
        <f>IF(Q124="Cash",Q124,IF(OR(Q124="Receivable Investments",Q124="Payable Investments"),"Cash Adjustments",VLOOKUP(R124,LQA!E:S,3,0)))</f>
        <v>Corp</v>
      </c>
      <c r="U124" s="1" t="str">
        <f>IF(Q124="Cash",Q124,IF(OR(Q124="Receivable Investments",Q124="Payable Investments"),"Cash Adjustments",_xll.BDP(R124&amp;" FIGI",$U$1)))</f>
        <v>#N/A Field Not Applicable</v>
      </c>
      <c r="V124" s="10">
        <f>IF(OR(Q124="Cash",Q124="Receivable Investments",Q124="Payable Investments"),0,IF(Q124="Investments",VLOOKUP(R124,LQA!E:Q,12,0),"Not Covered"))</f>
        <v>0.3</v>
      </c>
      <c r="W124" s="76">
        <f>IF(OR(Q124="Cash",Q124="Receivable Investments",Q124="Payable Investments"),0,IF(Q124="Investments",VLOOKUP(R124,LQA!E:Q,9,0),"Not Covered"))</f>
        <v>2.7968E-2</v>
      </c>
      <c r="X124" s="13" t="str">
        <f>IF(OR(H124=0,T124="Comdty"),"High",IF(V124&lt;='Liquidity Bucket'!$A$4,'Liquidity Bucket'!$I$4,IF(V124&lt;='Liquidity Bucket'!$A$5,'Liquidity Bucket'!$I$5,IF(V124&lt;='Liquidity Bucket'!$A$6,'Liquidity Bucket'!$I$6,IF(V124='Liquidity Bucket'!$A$8,'Liquidity Bucket'!$I$8,'Liquidity Bucket'!$I$7)))))</f>
        <v>High</v>
      </c>
      <c r="Y124" s="153">
        <f>IF(OR(Q124="Cash",Q124="Receivable Investments",Q124="Payable Investments"),0,IF(Q124="Investments",VLOOKUP(R124,'LQA Stress'!E:Q,12,0),"Not Covered"))</f>
        <v>0.6</v>
      </c>
      <c r="Z124" s="75">
        <f>IF(OR(Q124="Cash",Q124="Receivable Investments",Q124="Payable Investments"),0,IF(Q124="Investments",VLOOKUP(R124,'LQA Stress'!E:Q,9,0),"Not Covered"))</f>
        <v>7.8344999999999998E-2</v>
      </c>
      <c r="AA124" s="176" t="str">
        <f>IF(OR(H124=0,T124="Comdty"),"High",IF(Y124&lt;='Liquidity Bucket'!$A$4,'Liquidity Bucket'!$I$4,IF(Y124&lt;='Liquidity Bucket'!$A$5,'Liquidity Bucket'!$I$5,IF(Y124&lt;='Liquidity Bucket'!$A$6,'Liquidity Bucket'!$I$6,IF(Y124='Liquidity Bucket'!$A$8,'Liquidity Bucket'!$I$8,'Liquidity Bucket'!$I$7)))))</f>
        <v>High</v>
      </c>
      <c r="AB124" s="14">
        <f>(N124+M124)/'FX Rates'!$C$5</f>
        <v>2201243.7577399379</v>
      </c>
      <c r="AC124" s="15" t="str">
        <f>IF(X124="Not Covered", (H124/_xll.BDP(R124&amp;" FIGI",$AC$1)),"")</f>
        <v/>
      </c>
      <c r="AD124" s="16" t="str">
        <f>IF(X124="Not Covered", _xll.BDP(R124&amp;" FIGI",$AD$1),"")</f>
        <v/>
      </c>
      <c r="AE124" s="16" t="str">
        <f>IF(OR(T124="Corp",T124="Govt"),IF(_xll.BDP(R124&amp;" FIGI",$AE$1)="#N/A N/A","",_xll.BDP(R124&amp;" FIGI",$AE$1)),"")</f>
        <v>A-</v>
      </c>
      <c r="AF124" s="1" t="str">
        <f>IF(OR(T124="Corp",T124="Govt"),IF(_xll.BDP(R124&amp;" FIGI",$AF$1)="#N/A N/A","",_xll.BDP(R124&amp;" FIGI",$AF$1)),"")</f>
        <v>A2</v>
      </c>
      <c r="AG124" s="16" t="str">
        <f>IF(OR(T124="Corp",T124="Govt"),IF(_xll.BDP(R124&amp;" FIGI",$AG$1)="#N/A N/A","",_xll.BDP(R124&amp;" FIGI",$AG$1)),"")</f>
        <v/>
      </c>
      <c r="AH124" s="125">
        <f>IF(OR(S124="Cash",S124="M-Mkt"),21,IF(AE124="",0,VLOOKUP(AE124,'Rating Scale'!A:B,2,0)))</f>
        <v>15</v>
      </c>
      <c r="AI124" s="125">
        <f>IF(OR(S124="Cash",S124="M-Mkt"),21,IF(AF124="",0,VLOOKUP(AF124,'Rating Scale'!D:E,2,0)))</f>
        <v>16</v>
      </c>
      <c r="AJ124" s="125">
        <f>IF(OR(S124="Cash",S124="M-Mkt"),21,IF(AG124="",0,VLOOKUP(AG124,'Rating Scale'!G:H,2,0)))</f>
        <v>0</v>
      </c>
      <c r="AK124">
        <f>Rating(AH124,AI124,AJ124)</f>
        <v>15</v>
      </c>
      <c r="AL124" s="1" t="str">
        <f>IF(OR(U124="Cash",U124="Cash Adjustments"),_xll.BDP(G124&amp;" Curncy","Country"),IF(T124="Equity",_xll.BDP(R124&amp;" FIGI","CNTRY_ISSUE_ISO"),_xll.BDP(R124&amp;" FIGI",$AL$1)))</f>
        <v>MY</v>
      </c>
      <c r="AM124" s="126" t="str">
        <f>IF(OR(T124="Cash",T124="Cash Adjustments",T124="M-Mkt"), T124, IF(T124="Comdty",AS124, _xll.BDP(R124&amp;" FIGI", $AM$1)))</f>
        <v>Energy</v>
      </c>
      <c r="AN124" s="126" t="str">
        <f>IF(OR(T124="Cash",T124="Cash Adjustments",T124="M-Mkt"), T124,  IF(T124="Comdty",AS124,_xll.BDP(R124&amp;" FIGI", $AN$1)))</f>
        <v>Oil&amp;Gas</v>
      </c>
      <c r="AO124" s="126" t="str">
        <f>IF(OR(T124="Cash",T124="Cash Adjustments",T124="M-Mkt"), T124,  IF(T124="Comdty",AS124,_xll.BDP(R124&amp;" FIGI", $AO$1)))</f>
        <v>Oil Comp-Integrated</v>
      </c>
      <c r="AP124" s="13" t="str">
        <f>IF(OR(T124="Cash",T124="Cash Adjustments"), T124, IF(_xll.BDP(R124&amp;" FIGI", $AP$1)="#N/A Field Not Applicable","N",_xll.BDP(R124&amp;" FIGI", $AP$1)))</f>
        <v>N</v>
      </c>
      <c r="AQ124" s="1" t="str">
        <f>IF(OR(T124="Cash",T124="Cash Adjustments"), T124, IF(_xll.BDP(R124&amp;" FIGI", $AQ$1)="#N/A Field Not Applicable"," ",_xll.BDP(R124&amp;" FIGI", $AQ$1)))</f>
        <v xml:space="preserve"> </v>
      </c>
      <c r="AR124" s="1" t="str">
        <f>IF(OR(T124="Cash",T124="Cash Adjustments"), T124, IF(_xll.BDP(R124&amp;" FIGI", $AR$1)="#N/A Field Not Applicable"," ",_xll.BDP(R124&amp;" FIGI", $AR$1)))</f>
        <v>ACTV</v>
      </c>
      <c r="AS124" s="1" t="str">
        <f>VLOOKUP(T124,'SFC Classifcation'!$F$2:$H$7,3,0)</f>
        <v>Corporate</v>
      </c>
      <c r="AT124" s="22" t="str">
        <f t="shared" si="12"/>
        <v>Non-Financial</v>
      </c>
      <c r="AU124" s="1" t="str">
        <f t="shared" si="13"/>
        <v>Investment Grade</v>
      </c>
      <c r="AV124" s="1" t="str">
        <f>IF(OR(T124="Cash",T124="Cash Adjustments"),T124,VLOOKUP(AL124,'SFC Classifcation'!$A:$C,3,0))</f>
        <v>Asia - others (1)</v>
      </c>
      <c r="AW124" s="22" t="str">
        <f t="shared" si="14"/>
        <v>High</v>
      </c>
      <c r="AX124" s="22" t="str">
        <f t="shared" si="15"/>
        <v>High</v>
      </c>
      <c r="AY124" s="45" t="str">
        <f>IF(OR(T124="Cash",T124="Cash Adjustments"), T124, _xll.BDP(R124&amp;" FIGI", $AY$1))</f>
        <v>#N/A Field Not Applicable</v>
      </c>
      <c r="AZ124" s="45" t="str">
        <f>IF(OR(T124="Cash",T124="Cash Adjustments"), T124, _xll.BDP(R124&amp;" FIGI", $AZ$1))</f>
        <v>INDUSTRIAL</v>
      </c>
      <c r="BA124" s="45" t="str">
        <f>IF(OR(T124="Cash",T124="Cash Adjustments"), T124, _xll.BDP(R124&amp;" FIGI", $BA$1))</f>
        <v>#N/A Field Not Applicable</v>
      </c>
      <c r="BB124" s="16">
        <f>IF(OR(AS124="Government",AS124="Corporate"),(AK124*AB124/'SFC Report'!$C$20),"")</f>
        <v>5.9986978571694057E-2</v>
      </c>
      <c r="BC124" s="174" t="str">
        <f>IF(OR(T124="Cash",T124="Cash Adjustments", T124="FX Forward", T124="Repo", T124="Equity", T124="M-Mkt"), "", _xll.BDP(R124&amp;" FIGI", $BC$1))</f>
        <v>4/21/2050</v>
      </c>
      <c r="BD124" s="125">
        <f ca="1">IF(OR(T124="Cash",T124="Cash Adjustments",T124="FX Forward",T124="Repo", T124="Equity", T124="M-Mkt"),"",(BC124-'SFC Report'!$B$13)/365)</f>
        <v>29.994520547945207</v>
      </c>
      <c r="BE124" s="82" t="str">
        <f t="shared" ca="1" si="18"/>
        <v>10 yrs or Above</v>
      </c>
      <c r="BF124" s="5">
        <f ca="1">IF(BC124="","",BD124*AB124/'SFC Report'!$C$20)</f>
        <v>0.11995204409185509</v>
      </c>
      <c r="BG124" s="14" cm="1">
        <f t="array" ref="BG124">IF(OR(AS124="Corporate",AS124="Government"),_xll.BDP(G124&amp;" ISIN", $BG$1),"")</f>
        <v>17.266459469381214</v>
      </c>
      <c r="BH124" s="140">
        <f>IF(OR(AS124="Corporate",AS124="Government"),BG124*BN124/'SFC Report'!$C$20,"")</f>
        <v>6.9050848946586321E-2</v>
      </c>
      <c r="BI124" s="140">
        <f>IF(OR(AS124="Corporate",AS124="Government"),_xll.BDP(G124&amp;" ISIN", $BI$1),"")</f>
        <v>3.4866032505968985</v>
      </c>
      <c r="BJ124" s="140">
        <f>IF(OR(AS124="Corporate",AS124="Government"),BI124*AB124/'SFC Report'!$C$20,"")</f>
        <v>1.3943386298770333E-2</v>
      </c>
      <c r="BK124" s="153" t="str">
        <f>IF(OR(T124="Cash",T124="Cash Adjustments"),"-",_xll.BDP(R124&amp;" FIGI",$BK$1))</f>
        <v>USY68856AV83</v>
      </c>
      <c r="BL124" s="11" t="str">
        <f>IF(OR(AS124="Cash", AS124="Cash Adjustments"),"-",IF(ISNA(VLOOKUP(BK124,'BBG - VaR Data (Sample, Indus )'!C:N,5,0)),"-",VLOOKUP(BK124,'BBG - VaR Data (Sample, Indus )'!C:N,5,0)))</f>
        <v>-</v>
      </c>
      <c r="BM124" s="11">
        <f>IF(OR(AS124="Cash", AS124="Cash Adjustments"),"-",IF(ISNA(VLOOKUP(BK124,'BBG - Scenarios (Sample View)'!C:Z,14,0)),"-",VLOOKUP(BK124,'BBG - Scenarios (Sample View)'!C:Z,14,0)))</f>
        <v>-9.51</v>
      </c>
      <c r="BN124" s="14">
        <f>AB124</f>
        <v>2201243.7577399379</v>
      </c>
      <c r="BO124" s="1">
        <f t="shared" si="17"/>
        <v>4.3180673354212447E-3</v>
      </c>
      <c r="BP124" t="str">
        <f>IF(BC124&lt;&gt;0,MaturityBucket(BG124),"")</f>
        <v>10 yrs or Above</v>
      </c>
      <c r="BQ124" s="11" t="str">
        <f>IF(OR(T124="Cash",T124="Cash Adjustments"),T124,VLOOKUP(AL124,'SFC Classifcation'!$A:$C,2,0))</f>
        <v>Malaysia</v>
      </c>
      <c r="BR124" s="1" t="e">
        <f>IF(S124="Bond",BH124/'SFC Report'!$B$7,"")</f>
        <v>#VALUE!</v>
      </c>
      <c r="BS124" t="str">
        <f>IF(OR(T124="Cash",T124="Cash Adjustments"),"-",_xll.BDP(R124&amp;" FIGI",$BS$1))</f>
        <v>4/6/2020</v>
      </c>
      <c r="BT124" t="str">
        <f>IF(OR(T124="Cash",T124="Cash Adjustments"),"-",_xll.BDP(R124&amp;" FIGI",$BT$1))</f>
        <v>4/6/2020</v>
      </c>
      <c r="BU124" t="str">
        <f>IF(OR(T124="Cash",T124="Cash Adjustments"),"-",_xll.BDP(R124&amp;" FIGI",$BU$1))</f>
        <v>#N/A N/A</v>
      </c>
    </row>
    <row r="125" spans="1:73">
      <c r="A125" s="254" t="s">
        <v>15</v>
      </c>
      <c r="B125" s="254" t="s">
        <v>25</v>
      </c>
      <c r="C125" s="254" t="s">
        <v>46</v>
      </c>
      <c r="D125" s="254" t="s">
        <v>22</v>
      </c>
      <c r="E125" s="254"/>
      <c r="F125" s="254" t="s">
        <v>1946</v>
      </c>
      <c r="G125" s="254" t="s">
        <v>1947</v>
      </c>
      <c r="H125" s="270">
        <v>2000000</v>
      </c>
      <c r="I125" s="270">
        <v>101.518</v>
      </c>
      <c r="J125" s="270">
        <v>2000000</v>
      </c>
      <c r="K125" s="270">
        <v>15500400</v>
      </c>
      <c r="L125" s="270">
        <v>235296.08</v>
      </c>
      <c r="M125" s="270">
        <v>0</v>
      </c>
      <c r="N125" s="270">
        <v>15735696.08</v>
      </c>
      <c r="O125" s="255">
        <v>3.5000000000000001E-3</v>
      </c>
      <c r="P125" s="1"/>
      <c r="Q125" s="1" t="str">
        <f t="shared" si="11"/>
        <v>Investments</v>
      </c>
      <c r="R125" s="1" t="str">
        <f>_xll.BDP(G125&amp;" ISIN",$R$1)</f>
        <v>BBG00THTNZZ3</v>
      </c>
      <c r="S125" s="1" t="str">
        <f>IF(Q125="Cash",Q125,IF(OR(Q125="Receivable Investments",Q125="Payable Investments"),"Cash Adjustments",_xll.BDP(R125&amp;" FIGI",$S$1)))</f>
        <v>BOND</v>
      </c>
      <c r="T125" s="1" t="str">
        <f>IF(Q125="Cash",Q125,IF(OR(Q125="Receivable Investments",Q125="Payable Investments"),"Cash Adjustments",VLOOKUP(R125,LQA!E:S,3,0)))</f>
        <v>Govt</v>
      </c>
      <c r="U125" s="1" t="str">
        <f>IF(Q125="Cash",Q125,IF(OR(Q125="Receivable Investments",Q125="Payable Investments"),"Cash Adjustments",_xll.BDP(R125&amp;" FIGI",$U$1)))</f>
        <v>#N/A Field Not Applicable</v>
      </c>
      <c r="V125" s="10" t="str">
        <f>IF(OR(Q125="Cash",Q125="Receivable Investments",Q125="Payable Investments"),0,IF(Q125="Investments",VLOOKUP(R125,LQA!E:Q,12,0),"Not Covered"))</f>
        <v>N.A.</v>
      </c>
      <c r="W125" s="76" t="str">
        <f>IF(OR(Q125="Cash",Q125="Receivable Investments",Q125="Payable Investments"),0,IF(Q125="Investments",VLOOKUP(R125,LQA!E:Q,9,0),"Not Covered"))</f>
        <v>N.A.</v>
      </c>
      <c r="X125" s="13" t="str">
        <f>IF(OR(H125=0,T125="Comdty"),"High",IF(V125&lt;='Liquidity Bucket'!$A$4,'Liquidity Bucket'!$I$4,IF(V125&lt;='Liquidity Bucket'!$A$5,'Liquidity Bucket'!$I$5,IF(V125&lt;='Liquidity Bucket'!$A$6,'Liquidity Bucket'!$I$6,IF(V125='Liquidity Bucket'!$A$8,'Liquidity Bucket'!$I$8,'Liquidity Bucket'!$I$7)))))</f>
        <v>Not Covered</v>
      </c>
      <c r="Y125" s="153" t="str">
        <f>IF(OR(Q125="Cash",Q125="Receivable Investments",Q125="Payable Investments"),0,IF(Q125="Investments",VLOOKUP(R125,'LQA Stress'!E:Q,12,0),"Not Covered"))</f>
        <v>N.A.</v>
      </c>
      <c r="Z125" s="75" t="str">
        <f>IF(OR(Q125="Cash",Q125="Receivable Investments",Q125="Payable Investments"),0,IF(Q125="Investments",VLOOKUP(R125,'LQA Stress'!E:Q,9,0),"Not Covered"))</f>
        <v>N.A.</v>
      </c>
      <c r="AA125" s="13" t="str">
        <f>IF(T125="Comdty","High",IF(Y125&lt;='Liquidity Bucket'!$A$4,'Liquidity Bucket'!$I$4,IF(Y125&lt;='Liquidity Bucket'!$A$5,'Liquidity Bucket'!$I$5,IF(Y125&lt;='Liquidity Bucket'!$A$6,'Liquidity Bucket'!$I$6,IF(Y125='Liquidity Bucket'!$A$8,'Liquidity Bucket'!$I$8,'Liquidity Bucket'!$I$7)))))</f>
        <v>Not Covered</v>
      </c>
      <c r="AB125" s="14">
        <f>(N125+M125)/'FX Rates'!$C$5</f>
        <v>2029888.5552115585</v>
      </c>
      <c r="AC125" s="15">
        <f>IF(X125="Not Covered", (H125/_xll.BDP(R125&amp;" FIGI",$AC$1)),"")</f>
        <v>2E-3</v>
      </c>
      <c r="AD125" s="16">
        <f>IF(X125="Not Covered", _xll.BDP(R125&amp;" FIGI",$AD$1),"")</f>
        <v>7.312799452429843</v>
      </c>
      <c r="AE125" s="16" t="str">
        <f>IF(OR(T125="Corp",T125="Govt"),IF(_xll.BDP(R125&amp;" FIGI",$AE$1)="#N/A N/A","",_xll.BDP(R125&amp;" FIGI",$AE$1)),"")</f>
        <v>BBB+</v>
      </c>
      <c r="AF125" s="1" t="str">
        <f>IF(OR(T125="Corp",T125="Govt"),IF(_xll.BDP(R125&amp;" FIGI",$AF$1)="#N/A N/A","",_xll.BDP(R125&amp;" FIGI",$AF$1)),"")</f>
        <v>Baa2</v>
      </c>
      <c r="AG125" s="16" t="str">
        <f>IF(OR(T125="Corp",T125="Govt"),IF(_xll.BDP(R125&amp;" FIGI",$AG$1)="#N/A N/A","",_xll.BDP(R125&amp;" FIGI",$AG$1)),"")</f>
        <v>BBB</v>
      </c>
      <c r="AH125" s="125">
        <f>IF(OR(S125="Cash",S125="M-Mkt"),21,IF(AE125="",0,VLOOKUP(AE125,'Rating Scale'!A:B,2,0)))</f>
        <v>14</v>
      </c>
      <c r="AI125" s="125">
        <f>IF(OR(S125="Cash",S125="M-Mkt"),21,IF(AF125="",0,VLOOKUP(AF125,'Rating Scale'!D:E,2,0)))</f>
        <v>13</v>
      </c>
      <c r="AJ125" s="125">
        <f>IF(OR(S125="Cash",S125="M-Mkt"),21,IF(AG125="",0,VLOOKUP(AG125,'Rating Scale'!G:H,2,0)))</f>
        <v>13</v>
      </c>
      <c r="AK125">
        <f t="shared" si="19"/>
        <v>13</v>
      </c>
      <c r="AL125" s="1" t="str">
        <f>IF(OR(U125="Cash",U125="Cash Adjustments"),_xll.BDP(G125&amp;" Curncy","Country"),IF(T125="Equity",_xll.BDP(R125&amp;" FIGI","CNTRY_ISSUE_ISO"),_xll.BDP(R125&amp;" FIGI",$AL$1)))</f>
        <v>PH</v>
      </c>
      <c r="AM125" s="126" t="str">
        <f>IF(OR(T125="Cash",T125="Cash Adjustments",T125="M-Mkt"), T125, IF(T125="Comdty",AS125, _xll.BDP(R125&amp;" FIGI", $AM$1)))</f>
        <v>Government</v>
      </c>
      <c r="AN125" s="126" t="str">
        <f>IF(OR(T125="Cash",T125="Cash Adjustments",T125="M-Mkt"), T125,  IF(T125="Comdty",AS125,_xll.BDP(R125&amp;" FIGI", $AN$1)))</f>
        <v>Sovereign</v>
      </c>
      <c r="AO125" s="126" t="str">
        <f>IF(OR(T125="Cash",T125="Cash Adjustments",T125="M-Mkt"), T125,  IF(T125="Comdty",AS125,_xll.BDP(R125&amp;" FIGI", $AO$1)))</f>
        <v>Sovereign</v>
      </c>
      <c r="AP125" s="13" t="str">
        <f>IF(OR(T125="Cash",T125="Cash Adjustments"), T125, IF(_xll.BDP(R125&amp;" FIGI", $AP$1)="#N/A Field Not Applicable","N",_xll.BDP(R125&amp;" FIGI", $AP$1)))</f>
        <v>N</v>
      </c>
      <c r="AQ125" s="1" t="str">
        <f>IF(OR(T125="Cash",T125="Cash Adjustments"), T125, IF(_xll.BDP(R125&amp;" FIGI", $AQ$1)="#N/A Field Not Applicable"," ",_xll.BDP(R125&amp;" FIGI", $AQ$1)))</f>
        <v xml:space="preserve"> </v>
      </c>
      <c r="AR125" s="1" t="str">
        <f>IF(OR(T125="Cash",T125="Cash Adjustments"), T125, IF(_xll.BDP(R125&amp;" FIGI", $AR$1)="#N/A Field Not Applicable"," ",_xll.BDP(R125&amp;" FIGI", $AR$1)))</f>
        <v>ACTV</v>
      </c>
      <c r="AS125" s="1" t="str">
        <f>VLOOKUP(T125,'SFC Classifcation'!$F$2:$H$7,3,0)</f>
        <v>Government</v>
      </c>
      <c r="AT125" s="22" t="str">
        <f t="shared" si="12"/>
        <v>Non-Financial</v>
      </c>
      <c r="AU125" s="1" t="str">
        <f t="shared" si="13"/>
        <v>Investment Grade</v>
      </c>
      <c r="AV125" s="1" t="str">
        <f>IF(OR(T125="Cash",T125="Cash Adjustments"),T125,VLOOKUP(AL125,'SFC Classifcation'!$A:$C,3,0))</f>
        <v>Asia - others (1)</v>
      </c>
      <c r="AW125" s="22" t="str">
        <f t="shared" si="14"/>
        <v>Medium</v>
      </c>
      <c r="AX125" s="22" t="str">
        <f t="shared" si="15"/>
        <v>Medium</v>
      </c>
      <c r="AY125" s="45" t="str">
        <f>IF(OR(T125="Cash",T125="Cash Adjustments"), T125, _xll.BDP(R125&amp;" FIGI", $AY$1))</f>
        <v>#N/A Field Not Applicable</v>
      </c>
      <c r="AZ125" s="45" t="str">
        <f>IF(OR(T125="Cash",T125="Cash Adjustments"), T125, _xll.BDP(R125&amp;" FIGI", $AZ$1))</f>
        <v>GOVT NATIONAL</v>
      </c>
      <c r="BA125" s="45" t="str">
        <f>IF(OR(T125="Cash",T125="Cash Adjustments"), T125, _xll.BDP(R125&amp;" FIGI", $BA$1))</f>
        <v>#N/A Field Not Applicable</v>
      </c>
      <c r="BB125" s="45">
        <f>IF(OR(AS125="Government",AS125="Corporate"),(AK125*AB125/'SFC Report'!$C$20),"")</f>
        <v>4.7941667852435789E-2</v>
      </c>
      <c r="BC125" s="174" t="str">
        <f>IF(OR(T125="Cash",T125="Cash Adjustments", T125="FX Forward", T125="Repo", T125="Equity", T125="M-Mkt"), "", _xll.BDP(R125&amp;" FIGI", $BC$1))</f>
        <v>5/5/2030</v>
      </c>
      <c r="BD125" s="125">
        <f ca="1">IF(OR(T125="Cash",T125="Cash Adjustments",T125="FX Forward",T125="Repo", T125="Equity", T125="M-Mkt"),"",(BC125-'SFC Report'!$B$13)/365)</f>
        <v>10.019178082191781</v>
      </c>
      <c r="BE125" s="82" t="str">
        <f t="shared" ca="1" si="18"/>
        <v>10 yrs or Above</v>
      </c>
      <c r="BF125" s="5">
        <f ca="1">IF(BC125="","",BD125*AB125/'SFC Report'!$C$20)</f>
        <v>3.6948931366987924E-2</v>
      </c>
      <c r="BG125" s="14" cm="1">
        <f t="array" ref="BG125">IF(OR(AS125="Corporate",AS125="Government"),_xll.BDP(G125&amp;" ISIN", $BG$1),"")</f>
        <v>8.8153508497137096</v>
      </c>
      <c r="BH125" s="140">
        <f>IF(OR(AS125="Corporate",AS125="Government"),BG125*BN125/'SFC Report'!$C$20,"")</f>
        <v>3.2509432495358634E-2</v>
      </c>
      <c r="BI125" s="140">
        <f>IF(OR(AS125="Corporate",AS125="Government"),_xll.BDP(G125&amp;" ISIN", $BI$1),"")</f>
        <v>1.890285335208735</v>
      </c>
      <c r="BJ125" s="140">
        <f>IF(OR(AS125="Corporate",AS125="Government"),BI125*AB125/'SFC Report'!$C$20,"")</f>
        <v>6.9710332066851861E-3</v>
      </c>
      <c r="BK125" s="153" t="str">
        <f>IF(OR(T125="Cash",T125="Cash Adjustments"),"-",_xll.BDP(R125&amp;" FIGI",$BK$1))</f>
        <v>US718286CJ41</v>
      </c>
      <c r="BL125" s="11" t="str">
        <f>IF(OR(AS125="Cash", AS125="Cash Adjustments"),"-",IF(ISNA(VLOOKUP(BK125,'BBG - VaR Data (Sample, Indus )'!C:N,5,0)),"-",VLOOKUP(BK125,'BBG - VaR Data (Sample, Indus )'!C:N,5,0)))</f>
        <v>-</v>
      </c>
      <c r="BM125" s="11">
        <f>IF(OR(AS125="Cash", AS125="Cash Adjustments"),"-",IF(ISNA(VLOOKUP(BK125,'BBG - Scenarios (Sample View)'!C:Z,14,0)),"-",VLOOKUP(BK125,'BBG - Scenarios (Sample View)'!C:Z,14,0)))</f>
        <v>-6.1</v>
      </c>
      <c r="BN125" s="14">
        <f t="shared" ref="BN125:BN130" si="20">AB125</f>
        <v>2029888.5552115585</v>
      </c>
      <c r="BO125" s="1">
        <f t="shared" si="17"/>
        <v>3.9819285955880962E-3</v>
      </c>
      <c r="BP125" t="str">
        <f>IF(BC125&lt;&gt;0,MaturityBucket(BG125),"")</f>
        <v>7 - 10 yrs</v>
      </c>
      <c r="BQ125" s="11" t="str">
        <f>IF(OR(T125="Cash",T125="Cash Adjustments"),T125,VLOOKUP(AL125,'SFC Classifcation'!$A:$C,2,0))</f>
        <v>Philippines</v>
      </c>
      <c r="BR125" s="1" t="e">
        <f>IF(S125="Bond",BH125/'SFC Report'!$B$7,"")</f>
        <v>#VALUE!</v>
      </c>
      <c r="BS125" t="str">
        <f>IF(OR(T125="Cash",T125="Cash Adjustments"),"-",_xll.BDP(R125&amp;" FIGI",$BS$1))</f>
        <v>4/26/2020</v>
      </c>
      <c r="BT125" t="str">
        <f>IF(OR(T125="Cash",T125="Cash Adjustments"),"-",_xll.BDP(R125&amp;" FIGI",$BT$1))</f>
        <v>4/27/2020</v>
      </c>
      <c r="BU125" t="str">
        <f>IF(OR(T125="Cash",T125="Cash Adjustments"),"-",_xll.BDP(R125&amp;" FIGI",$BU$1))</f>
        <v>5/4/2020</v>
      </c>
    </row>
    <row r="126" spans="1:73">
      <c r="A126" s="254" t="s">
        <v>15</v>
      </c>
      <c r="B126" s="254" t="s">
        <v>25</v>
      </c>
      <c r="C126" s="254" t="s">
        <v>46</v>
      </c>
      <c r="D126" s="254" t="s">
        <v>22</v>
      </c>
      <c r="E126" s="254"/>
      <c r="F126" s="254" t="s">
        <v>90</v>
      </c>
      <c r="G126" s="254" t="s">
        <v>91</v>
      </c>
      <c r="H126" s="270">
        <v>5000000</v>
      </c>
      <c r="I126" s="270">
        <v>102.3</v>
      </c>
      <c r="J126" s="270">
        <v>5000000</v>
      </c>
      <c r="K126" s="270">
        <v>38813000</v>
      </c>
      <c r="L126" s="270">
        <v>829273</v>
      </c>
      <c r="M126" s="270">
        <v>534844.53</v>
      </c>
      <c r="N126" s="270">
        <v>39642273</v>
      </c>
      <c r="O126" s="255">
        <v>8.6999999999999994E-3</v>
      </c>
      <c r="P126" s="1"/>
      <c r="Q126" s="1" t="str">
        <f t="shared" si="11"/>
        <v>Investments</v>
      </c>
      <c r="R126" s="1" t="str">
        <f>_xll.BDP(G126&amp;" ISIN",$R$1)</f>
        <v>BBG00D2WYB33</v>
      </c>
      <c r="S126" s="1" t="str">
        <f>IF(Q126="Cash",Q126,IF(OR(Q126="Receivable Investments",Q126="Payable Investments"),"Cash Adjustments",_xll.BDP(R126&amp;" FIGI",$S$1)))</f>
        <v>BOND</v>
      </c>
      <c r="T126" s="1" t="str">
        <f>IF(Q126="Cash",Q126,IF(OR(Q126="Receivable Investments",Q126="Payable Investments"),"Cash Adjustments",VLOOKUP(R126,LQA!E:S,3,0)))</f>
        <v>Corp</v>
      </c>
      <c r="U126" s="1" t="str">
        <f>IF(Q126="Cash",Q126,IF(OR(Q126="Receivable Investments",Q126="Payable Investments"),"Cash Adjustments",_xll.BDP(R126&amp;" FIGI",$U$1)))</f>
        <v>#N/A Field Not Applicable</v>
      </c>
      <c r="V126" s="10">
        <f>IF(OR(Q126="Cash",Q126="Receivable Investments",Q126="Payable Investments"),0,IF(Q126="Investments",VLOOKUP(R126,LQA!E:Q,12,0),"Not Covered"))</f>
        <v>0.5</v>
      </c>
      <c r="W126" s="76">
        <f>IF(OR(Q126="Cash",Q126="Receivable Investments",Q126="Payable Investments"),0,IF(Q126="Investments",VLOOKUP(R126,LQA!E:Q,9,0),"Not Covered"))</f>
        <v>6.4999999999999997E-3</v>
      </c>
      <c r="X126" s="13" t="str">
        <f>IF(OR(H126=0,T126="Comdty"),"High",IF(V126&lt;='Liquidity Bucket'!$A$4,'Liquidity Bucket'!$I$4,IF(V126&lt;='Liquidity Bucket'!$A$5,'Liquidity Bucket'!$I$5,IF(V126&lt;='Liquidity Bucket'!$A$6,'Liquidity Bucket'!$I$6,IF(V126='Liquidity Bucket'!$A$8,'Liquidity Bucket'!$I$8,'Liquidity Bucket'!$I$7)))))</f>
        <v>High</v>
      </c>
      <c r="Y126" s="153">
        <f>IF(OR(Q126="Cash",Q126="Receivable Investments",Q126="Payable Investments"),0,IF(Q126="Investments",VLOOKUP(R126,'LQA Stress'!E:Q,12,0),"Not Covered"))</f>
        <v>1.3</v>
      </c>
      <c r="Z126" s="75">
        <f>IF(OR(Q126="Cash",Q126="Receivable Investments",Q126="Payable Investments"),0,IF(Q126="Investments",VLOOKUP(R126,'LQA Stress'!E:Q,9,0),"Not Covered"))</f>
        <v>2.4896000000000001E-2</v>
      </c>
      <c r="AA126" s="13" t="str">
        <f>IF(T126="Comdty","High",IF(Y126&lt;='Liquidity Bucket'!$A$4,'Liquidity Bucket'!$I$4,IF(Y126&lt;='Liquidity Bucket'!$A$5,'Liquidity Bucket'!$I$5,IF(Y126&lt;='Liquidity Bucket'!$A$6,'Liquidity Bucket'!$I$6,IF(Y126='Liquidity Bucket'!$A$8,'Liquidity Bucket'!$I$8,'Liquidity Bucket'!$I$7)))))</f>
        <v>High</v>
      </c>
      <c r="AB126" s="14">
        <f>(N126+M126)/'FX Rates'!$C$5</f>
        <v>5182806.6989164092</v>
      </c>
      <c r="AC126" s="15" t="str">
        <f>IF(X126="Not Covered", (H126/_xll.BDP(R126&amp;" FIGI",$AC$1)),"")</f>
        <v/>
      </c>
      <c r="AD126" s="16" t="str">
        <f>IF(X126="Not Covered", _xll.BDP(R126&amp;" FIGI",$AD$1),"")</f>
        <v/>
      </c>
      <c r="AE126" s="16" t="str">
        <f>IF(OR(T126="Corp",T126="Govt"),IF(_xll.BDP(R126&amp;" FIGI",$AE$1)="#N/A N/A","",_xll.BDP(R126&amp;" FIGI",$AE$1)),"")</f>
        <v>BBB</v>
      </c>
      <c r="AF126" s="1" t="str">
        <f>IF(OR(T126="Corp",T126="Govt"),IF(_xll.BDP(R126&amp;" FIGI",$AF$1)="#N/A N/A","",_xll.BDP(R126&amp;" FIGI",$AF$1)),"")</f>
        <v>Ba2</v>
      </c>
      <c r="AG126" s="16" t="str">
        <f>IF(OR(T126="Corp",T126="Govt"),IF(_xll.BDP(R126&amp;" FIGI",$AG$1)="#N/A N/A","",_xll.BDP(R126&amp;" FIGI",$AG$1)),"")</f>
        <v/>
      </c>
      <c r="AH126" s="125">
        <f>IF(OR(S126="Cash",S126="M-Mkt"),21,IF(AE126="",0,VLOOKUP(AE126,'Rating Scale'!A:B,2,0)))</f>
        <v>13</v>
      </c>
      <c r="AI126" s="125">
        <f>IF(OR(S126="Cash",S126="M-Mkt"),21,IF(AF126="",0,VLOOKUP(AF126,'Rating Scale'!D:E,2,0)))</f>
        <v>10</v>
      </c>
      <c r="AJ126" s="125">
        <f>IF(OR(S126="Cash",S126="M-Mkt"),21,IF(AG126="",0,VLOOKUP(AG126,'Rating Scale'!G:H,2,0)))</f>
        <v>0</v>
      </c>
      <c r="AK126">
        <f t="shared" si="19"/>
        <v>10</v>
      </c>
      <c r="AL126" s="1" t="str">
        <f>IF(OR(U126="Cash",U126="Cash Adjustments"),_xll.BDP(G126&amp;" Curncy","Country"),IF(T126="Equity",_xll.BDP(R126&amp;" FIGI","CNTRY_ISSUE_ISO"),_xll.BDP(R126&amp;" FIGI",$AL$1)))</f>
        <v>KY</v>
      </c>
      <c r="AM126" s="126" t="str">
        <f>IF(OR(T126="Cash",T126="Cash Adjustments",T126="M-Mkt"), T126, IF(T126="Comdty",AS126, _xll.BDP(R126&amp;" FIGI", $AM$1)))</f>
        <v>Energy</v>
      </c>
      <c r="AN126" s="126" t="str">
        <f>IF(OR(T126="Cash",T126="Cash Adjustments",T126="M-Mkt"), T126,  IF(T126="Comdty",AS126,_xll.BDP(R126&amp;" FIGI", $AN$1)))</f>
        <v>Oil&amp;Gas Services</v>
      </c>
      <c r="AO126" s="126" t="str">
        <f>IF(OR(T126="Cash",T126="Cash Adjustments",T126="M-Mkt"), T126,  IF(T126="Comdty",AS126,_xll.BDP(R126&amp;" FIGI", $AO$1)))</f>
        <v>Oil-Field Services</v>
      </c>
      <c r="AP126" s="13" t="str">
        <f>IF(OR(T126="Cash",T126="Cash Adjustments"), T126, IF(_xll.BDP(R126&amp;" FIGI", $AP$1)="#N/A Field Not Applicable","N",_xll.BDP(R126&amp;" FIGI", $AP$1)))</f>
        <v>N</v>
      </c>
      <c r="AQ126" s="1" t="str">
        <f>IF(OR(T126="Cash",T126="Cash Adjustments"), T126, IF(_xll.BDP(R126&amp;" FIGI", $AQ$1)="#N/A Field Not Applicable"," ",_xll.BDP(R126&amp;" FIGI", $AQ$1)))</f>
        <v xml:space="preserve"> </v>
      </c>
      <c r="AR126" s="1" t="str">
        <f>IF(OR(T126="Cash",T126="Cash Adjustments"), T126, IF(_xll.BDP(R126&amp;" FIGI", $AR$1)="#N/A Field Not Applicable"," ",_xll.BDP(R126&amp;" FIGI", $AR$1)))</f>
        <v>ACTV</v>
      </c>
      <c r="AS126" s="1" t="str">
        <f>VLOOKUP(T126,'SFC Classifcation'!$F$2:$H$7,3,0)</f>
        <v>Corporate</v>
      </c>
      <c r="AT126" s="22" t="str">
        <f t="shared" si="12"/>
        <v>Non-Financial</v>
      </c>
      <c r="AU126" s="1" t="str">
        <f t="shared" si="13"/>
        <v>Non-Investment Grade</v>
      </c>
      <c r="AV126" s="1" t="str">
        <f>IF(OR(T126="Cash",T126="Cash Adjustments"),T126,VLOOKUP(AL126,'SFC Classifcation'!$A:$C,3,0))</f>
        <v>America - others (2)</v>
      </c>
      <c r="AW126" s="22" t="str">
        <f t="shared" si="14"/>
        <v>High</v>
      </c>
      <c r="AX126" s="22" t="str">
        <f t="shared" si="15"/>
        <v>High</v>
      </c>
      <c r="AY126" s="45" t="str">
        <f>IF(OR(T126="Cash",T126="Cash Adjustments"), T126, _xll.BDP(R126&amp;" FIGI", $AY$1))</f>
        <v>#N/A Field Not Applicable</v>
      </c>
      <c r="AZ126" s="45" t="str">
        <f>IF(OR(T126="Cash",T126="Cash Adjustments"), T126, _xll.BDP(R126&amp;" FIGI", $AZ$1))</f>
        <v>SPECIAL PURPOSE</v>
      </c>
      <c r="BA126" s="45" t="str">
        <f>IF(OR(T126="Cash",T126="Cash Adjustments"), T126, _xll.BDP(R126&amp;" FIGI", $BA$1))</f>
        <v>#N/A Field Not Applicable</v>
      </c>
      <c r="BB126" s="45">
        <f>IF(OR(AS126="Government",AS126="Corporate"),(AK126*AB126/'SFC Report'!$C$20),"")</f>
        <v>9.4159165939998513E-2</v>
      </c>
      <c r="BC126" s="174" t="str">
        <f>IF(OR(T126="Cash",T126="Cash Adjustments", T126="FX Forward", T126="Repo", T126="Equity", T126="M-Mkt"), "", _xll.BDP(R126&amp;" FIGI", $BC$1))</f>
        <v>6/17/2031</v>
      </c>
      <c r="BD126" s="125">
        <f ca="1">IF(OR(T126="Cash",T126="Cash Adjustments",T126="FX Forward",T126="Repo", T126="Equity", T126="M-Mkt"),"",(BC126-'SFC Report'!$B$13)/365)</f>
        <v>11.136986301369863</v>
      </c>
      <c r="BE126" s="82" t="str">
        <f t="shared" ca="1" si="18"/>
        <v>10 yrs or Above</v>
      </c>
      <c r="BF126" s="5">
        <f ca="1">IF(BC126="","",BD126*AB126/'SFC Report'!$C$20)</f>
        <v>0.10486493412221752</v>
      </c>
      <c r="BG126" s="14" cm="1">
        <f t="array" ref="BG126">IF(OR(AS126="Corporate",AS126="Government"),_xll.BDP(G126&amp;" ISIN", $BG$1),"")</f>
        <v>5.6190497914176625</v>
      </c>
      <c r="BH126" s="140">
        <f>IF(OR(AS126="Corporate",AS126="Government"),BG126*BN126/'SFC Report'!$C$20,"")</f>
        <v>5.2908504173520977E-2</v>
      </c>
      <c r="BI126" s="140">
        <f>IF(OR(AS126="Corporate",AS126="Government"),_xll.BDP(G126&amp;" ISIN", $BI$1),"")</f>
        <v>6.8640007297858769</v>
      </c>
      <c r="BJ126" s="140">
        <f>IF(OR(AS126="Corporate",AS126="Government"),BI126*AB126/'SFC Report'!$C$20,"")</f>
        <v>6.4630858372817943E-2</v>
      </c>
      <c r="BK126" s="153" t="str">
        <f>IF(OR(T126="Cash",T126="Cash Adjustments"),"-",_xll.BDP(R126&amp;" FIGI",$BK$1))</f>
        <v>USG7150PAA87</v>
      </c>
      <c r="BL126" s="11" t="str">
        <f>IF(OR(AS126="Cash", AS126="Cash Adjustments"),"-",IF(ISNA(VLOOKUP(BK126,'BBG - VaR Data (Sample, Indus )'!C:N,5,0)),"-",VLOOKUP(BK126,'BBG - VaR Data (Sample, Indus )'!C:N,5,0)))</f>
        <v>-</v>
      </c>
      <c r="BM126" s="11">
        <f>IF(OR(AS126="Cash", AS126="Cash Adjustments"),"-",IF(ISNA(VLOOKUP(BK126,'BBG - Scenarios (Sample View)'!C:Z,14,0)),"-",VLOOKUP(BK126,'BBG - Scenarios (Sample View)'!C:Z,14,0)))</f>
        <v>-4.33</v>
      </c>
      <c r="BN126" s="14">
        <f t="shared" si="20"/>
        <v>5182806.6989164092</v>
      </c>
      <c r="BO126" s="1">
        <f t="shared" si="17"/>
        <v>1.0166846917204235E-2</v>
      </c>
      <c r="BP126" t="str">
        <f>IF(BC126&lt;&gt;0,MaturityBucket(BG126),"")</f>
        <v>5 - 7 yrs</v>
      </c>
      <c r="BQ126" s="11" t="str">
        <f>IF(OR(T126="Cash",T126="Cash Adjustments"),T126,VLOOKUP(AL126,'SFC Classifcation'!$A:$C,2,0))</f>
        <v>Cayman Islands</v>
      </c>
      <c r="BR126" s="1" t="e">
        <f>IF(S126="Bond",BH126/'SFC Report'!$B$7,"")</f>
        <v>#VALUE!</v>
      </c>
      <c r="BS126" t="str">
        <f>IF(OR(T126="Cash",T126="Cash Adjustments"),"-",_xll.BDP(R126&amp;" FIGI",$BS$1))</f>
        <v>3/27/2020</v>
      </c>
      <c r="BT126" t="str">
        <f>IF(OR(T126="Cash",T126="Cash Adjustments"),"-",_xll.BDP(R126&amp;" FIGI",$BT$1))</f>
        <v>4/23/2020</v>
      </c>
      <c r="BU126" t="str">
        <f>IF(OR(T126="Cash",T126="Cash Adjustments"),"-",_xll.BDP(R126&amp;" FIGI",$BU$1))</f>
        <v>#N/A N/A</v>
      </c>
    </row>
    <row r="127" spans="1:73">
      <c r="A127" s="254" t="s">
        <v>15</v>
      </c>
      <c r="B127" s="254" t="s">
        <v>25</v>
      </c>
      <c r="C127" s="254" t="s">
        <v>46</v>
      </c>
      <c r="D127" s="254" t="s">
        <v>22</v>
      </c>
      <c r="E127" s="254"/>
      <c r="F127" s="254" t="s">
        <v>92</v>
      </c>
      <c r="G127" s="254" t="s">
        <v>93</v>
      </c>
      <c r="H127" s="270">
        <v>8300000</v>
      </c>
      <c r="I127" s="270">
        <v>100.634</v>
      </c>
      <c r="J127" s="270">
        <v>8602858.4399999995</v>
      </c>
      <c r="K127" s="270">
        <v>67459236.579999998</v>
      </c>
      <c r="L127" s="270">
        <v>-2724745.66</v>
      </c>
      <c r="M127" s="270">
        <v>0</v>
      </c>
      <c r="N127" s="270">
        <v>64734490.920000002</v>
      </c>
      <c r="O127" s="255">
        <v>1.4200000000000001E-2</v>
      </c>
      <c r="P127" s="1"/>
      <c r="Q127" s="1" t="str">
        <f t="shared" si="11"/>
        <v>Investments</v>
      </c>
      <c r="R127" s="1" t="str">
        <f>_xll.BDP(G127&amp;" ISIN",$R$1)</f>
        <v>BBG00HPPFXF4</v>
      </c>
      <c r="S127" s="1" t="str">
        <f>IF(Q127="Cash",Q127,IF(OR(Q127="Receivable Investments",Q127="Payable Investments"),"Cash Adjustments",_xll.BDP(R127&amp;" FIGI",$S$1)))</f>
        <v>BOND</v>
      </c>
      <c r="T127" s="1" t="str">
        <f>IF(Q127="Cash",Q127,IF(OR(Q127="Receivable Investments",Q127="Payable Investments"),"Cash Adjustments",VLOOKUP(R127,LQA!E:S,3,0)))</f>
        <v>Equity</v>
      </c>
      <c r="U127" s="1" t="str">
        <f>IF(Q127="Cash",Q127,IF(OR(Q127="Receivable Investments",Q127="Payable Investments"),"Cash Adjustments",_xll.BDP(R127&amp;" FIGI",$U$1)))</f>
        <v>#N/A Field Not Applicable</v>
      </c>
      <c r="V127" s="10">
        <f>IF(OR(Q127="Cash",Q127="Receivable Investments",Q127="Payable Investments"),0,IF(Q127="Investments",VLOOKUP(R127,LQA!E:Q,12,0),"Not Covered"))</f>
        <v>0.4</v>
      </c>
      <c r="W127" s="76">
        <f>IF(OR(Q127="Cash",Q127="Receivable Investments",Q127="Payable Investments"),0,IF(Q127="Investments",VLOOKUP(R127,LQA!E:Q,9,0),"Not Covered"))</f>
        <v>4.7999999999999996E-3</v>
      </c>
      <c r="X127" s="13" t="str">
        <f>IF(OR(H127=0,T127="Comdty"),"High",IF(V127&lt;='Liquidity Bucket'!$A$4,'Liquidity Bucket'!$I$4,IF(V127&lt;='Liquidity Bucket'!$A$5,'Liquidity Bucket'!$I$5,IF(V127&lt;='Liquidity Bucket'!$A$6,'Liquidity Bucket'!$I$6,IF(V127='Liquidity Bucket'!$A$8,'Liquidity Bucket'!$I$8,'Liquidity Bucket'!$I$7)))))</f>
        <v>High</v>
      </c>
      <c r="Y127" s="153">
        <f>IF(OR(Q127="Cash",Q127="Receivable Investments",Q127="Payable Investments"),0,IF(Q127="Investments",VLOOKUP(R127,'LQA Stress'!E:Q,12,0),"Not Covered"))</f>
        <v>1</v>
      </c>
      <c r="Z127" s="75">
        <f>IF(OR(Q127="Cash",Q127="Receivable Investments",Q127="Payable Investments"),0,IF(Q127="Investments",VLOOKUP(R127,'LQA Stress'!E:Q,9,0),"Not Covered"))</f>
        <v>1.3127E-2</v>
      </c>
      <c r="AA127" s="13" t="str">
        <f>IF(T127="Comdty","High",IF(Y127&lt;='Liquidity Bucket'!$A$4,'Liquidity Bucket'!$I$4,IF(Y127&lt;='Liquidity Bucket'!$A$5,'Liquidity Bucket'!$I$5,IF(Y127&lt;='Liquidity Bucket'!$A$6,'Liquidity Bucket'!$I$6,IF(Y127='Liquidity Bucket'!$A$8,'Liquidity Bucket'!$I$8,'Liquidity Bucket'!$I$7)))))</f>
        <v>High</v>
      </c>
      <c r="AB127" s="14">
        <f>(N127+M127)/'FX Rates'!$C$5</f>
        <v>8350682.5232198145</v>
      </c>
      <c r="AC127" s="15" t="str">
        <f>IF(X127="Not Covered", (H127/_xll.BDP(R127&amp;" FIGI",$AC$1)),"")</f>
        <v/>
      </c>
      <c r="AD127" s="16" t="str">
        <f>IF(X127="Not Covered", _xll.BDP(R127&amp;" FIGI",$AD$1),"")</f>
        <v/>
      </c>
      <c r="AE127" s="16" t="str">
        <f>IF(OR(T127="Corp",T127="Govt"),IF(_xll.BDP(R127&amp;" FIGI",$AE$1)="#N/A N/A","",_xll.BDP(R127&amp;" FIGI",$AE$1)),"")</f>
        <v/>
      </c>
      <c r="AF127" s="1" t="str">
        <f>IF(OR(T127="Corp",T127="Govt"),IF(_xll.BDP(R127&amp;" FIGI",$AF$1)="#N/A N/A","",_xll.BDP(R127&amp;" FIGI",$AF$1)),"")</f>
        <v/>
      </c>
      <c r="AG127" s="16" t="str">
        <f>IF(OR(T127="Corp",T127="Govt"),IF(_xll.BDP(R127&amp;" FIGI",$AG$1)="#N/A N/A","",_xll.BDP(R127&amp;" FIGI",$AG$1)),"")</f>
        <v/>
      </c>
      <c r="AH127" s="125">
        <f>IF(OR(S127="Cash",S127="M-Mkt"),21,IF(AE127="",0,VLOOKUP(AE127,'Rating Scale'!A:B,2,0)))</f>
        <v>0</v>
      </c>
      <c r="AI127" s="125">
        <f>IF(OR(S127="Cash",S127="M-Mkt"),21,IF(AF127="",0,VLOOKUP(AF127,'Rating Scale'!D:E,2,0)))</f>
        <v>0</v>
      </c>
      <c r="AJ127" s="125">
        <f>IF(OR(S127="Cash",S127="M-Mkt"),21,IF(AG127="",0,VLOOKUP(AG127,'Rating Scale'!G:H,2,0)))</f>
        <v>0</v>
      </c>
      <c r="AK127">
        <f t="shared" si="19"/>
        <v>0</v>
      </c>
      <c r="AL127" s="1" t="str">
        <f>IF(OR(U127="Cash",U127="Cash Adjustments"),_xll.BDP(G127&amp;" Curncy","Country"),IF(T127="Equity",_xll.BDP(R127&amp;" FIGI","CNTRY_ISSUE_ISO"),_xll.BDP(R127&amp;" FIGI",$AL$1)))</f>
        <v>CN</v>
      </c>
      <c r="AM127" s="126" t="str">
        <f>IF(OR(T127="Cash",T127="Cash Adjustments",T127="M-Mkt"), T127, IF(T127="Comdty",AS127, _xll.BDP(R127&amp;" FIGI", $AM$1)))</f>
        <v>Financial</v>
      </c>
      <c r="AN127" s="126" t="str">
        <f>IF(OR(T127="Cash",T127="Cash Adjustments",T127="M-Mkt"), T127,  IF(T127="Comdty",AS127,_xll.BDP(R127&amp;" FIGI", $AN$1)))</f>
        <v>Banks</v>
      </c>
      <c r="AO127" s="126" t="str">
        <f>IF(OR(T127="Cash",T127="Cash Adjustments",T127="M-Mkt"), T127,  IF(T127="Comdty",AS127,_xll.BDP(R127&amp;" FIGI", $AO$1)))</f>
        <v>Money Center Banks</v>
      </c>
      <c r="AP127" s="13" t="str">
        <f>IF(OR(T127="Cash",T127="Cash Adjustments"), T127, IF(_xll.BDP(R127&amp;" FIGI", $AP$1)="#N/A Field Not Applicable","N",_xll.BDP(R127&amp;" FIGI", $AP$1)))</f>
        <v>Y</v>
      </c>
      <c r="AQ127" s="1" t="str">
        <f>IF(OR(T127="Cash",T127="Cash Adjustments"), T127, IF(_xll.BDP(R127&amp;" FIGI", $AQ$1)="#N/A Field Not Applicable"," ",_xll.BDP(R127&amp;" FIGI", $AQ$1)))</f>
        <v>Common Equity Tier 1 Ratio</v>
      </c>
      <c r="AR127" s="1" t="str">
        <f>IF(OR(T127="Cash",T127="Cash Adjustments"), T127, IF(_xll.BDP(R127&amp;" FIGI", $AR$1)="#N/A Field Not Applicable"," ",_xll.BDP(R127&amp;" FIGI", $AR$1)))</f>
        <v>ACTV</v>
      </c>
      <c r="AS127" s="1" t="str">
        <f>VLOOKUP(T127,'SFC Classifcation'!$F$2:$H$7,3,0)</f>
        <v>Equity</v>
      </c>
      <c r="AT127" s="22" t="str">
        <f t="shared" si="12"/>
        <v>Financial</v>
      </c>
      <c r="AU127" s="1" t="str">
        <f t="shared" si="13"/>
        <v/>
      </c>
      <c r="AV127" s="1" t="str">
        <f>IF(OR(T127="Cash",T127="Cash Adjustments"),T127,VLOOKUP(AL127,'SFC Classifcation'!$A:$C,3,0))</f>
        <v>China</v>
      </c>
      <c r="AW127" s="22" t="str">
        <f t="shared" si="14"/>
        <v>High</v>
      </c>
      <c r="AX127" s="22" t="str">
        <f t="shared" si="15"/>
        <v>High</v>
      </c>
      <c r="AY127" s="45" t="str">
        <f>IF(OR(T127="Cash",T127="Cash Adjustments"), T127, _xll.BDP(R127&amp;" FIGI", $AY$1))</f>
        <v>Financials</v>
      </c>
      <c r="AZ127" s="45" t="str">
        <f>IF(OR(T127="Cash",T127="Cash Adjustments"), T127, _xll.BDP(R127&amp;" FIGI", $AZ$1))</f>
        <v>BANK</v>
      </c>
      <c r="BA127" s="45" t="str">
        <f>IF(OR(T127="Cash",T127="Cash Adjustments"), T127, _xll.BDP(R127&amp;" FIGI", $BA$1))</f>
        <v>#N/A Field Not Applicable</v>
      </c>
      <c r="BB127" s="45" t="str">
        <f>IF(OR(AS127="Government",AS127="Corporate"),(AK127*AB127/'SFC Report'!$C$20),"")</f>
        <v/>
      </c>
      <c r="BC127" s="174" t="str">
        <f>IF(OR(T127="Cash",T127="Cash Adjustments", T127="FX Forward", T127="Repo", T127="Equity", T127="M-Mkt"), "", _xll.BDP(R127&amp;" FIGI", $BC$1))</f>
        <v/>
      </c>
      <c r="BD127" s="125" t="str">
        <f>IF(OR(T127="Cash",T127="Cash Adjustments",T127="FX Forward",T127="Repo", T127="Equity", T127="M-Mkt"),"",(BC127-'SFC Report'!$B$13)/365)</f>
        <v/>
      </c>
      <c r="BE127" s="82" t="str">
        <f t="shared" si="18"/>
        <v/>
      </c>
      <c r="BF127" s="5" t="str">
        <f>IF(BC127="","",BD127*AB127/'SFC Report'!$C$20)</f>
        <v/>
      </c>
      <c r="BG127" s="14" t="str" cm="1">
        <f t="array" ref="BG127">IF(OR(AS127="Corporate",AS127="Government"),_xll.BDP(G127&amp;" ISIN", $BG$1),"")</f>
        <v/>
      </c>
      <c r="BH127" s="140" t="str">
        <f>IF(OR(AS127="Corporate",AS127="Government"),BG127*BN127/'SFC Report'!$C$20,"")</f>
        <v/>
      </c>
      <c r="BI127" s="140" t="str">
        <f>IF(OR(AS127="Corporate",AS127="Government"),_xll.BDP(G127&amp;" ISIN", $BI$1),"")</f>
        <v/>
      </c>
      <c r="BJ127" s="140" t="str">
        <f>IF(OR(AS127="Corporate",AS127="Government"),BI127*AB127/'SFC Report'!$C$20,"")</f>
        <v/>
      </c>
      <c r="BK127" s="153" t="str">
        <f>IF(OR(T127="Cash",T127="Cash Adjustments"),"-",_xll.BDP(R127&amp;" FIGI",$BK$1))</f>
        <v>XS1684793018</v>
      </c>
      <c r="BL127" s="11" t="str">
        <f>IF(OR(AS127="Cash", AS127="Cash Adjustments"),"-",IF(ISNA(VLOOKUP(BK127,'BBG - VaR Data (Sample, Indus )'!C:N,5,0)),"-",VLOOKUP(BK127,'BBG - VaR Data (Sample, Indus )'!C:N,5,0)))</f>
        <v>-</v>
      </c>
      <c r="BM127" s="11">
        <f>IF(OR(AS127="Cash", AS127="Cash Adjustments"),"-",IF(ISNA(VLOOKUP(BK127,'BBG - Scenarios (Sample View)'!C:Z,14,0)),"-",VLOOKUP(BK127,'BBG - Scenarios (Sample View)'!C:Z,14,0)))</f>
        <v>-5.59</v>
      </c>
      <c r="BN127" s="14">
        <f t="shared" si="20"/>
        <v>8350682.5232198145</v>
      </c>
      <c r="BO127" s="1">
        <f t="shared" si="17"/>
        <v>1.6381106956101427E-2</v>
      </c>
      <c r="BP127" t="str">
        <f>IF(BC127&lt;&gt;0,MaturityBucket(BG127),"")</f>
        <v/>
      </c>
      <c r="BQ127" s="11" t="str">
        <f>IF(OR(T127="Cash",T127="Cash Adjustments"),T127,VLOOKUP(AL127,'SFC Classifcation'!$A:$C,2,0))</f>
        <v>China</v>
      </c>
      <c r="BR127" s="1" t="e">
        <f>IF(S127="Bond",BH127/'SFC Report'!$B$7,"")</f>
        <v>#VALUE!</v>
      </c>
      <c r="BS127" t="str">
        <f>IF(OR(T127="Cash",T127="Cash Adjustments"),"-",_xll.BDP(R127&amp;" FIGI",$BS$1))</f>
        <v>#N/A N/A</v>
      </c>
      <c r="BT127" t="str">
        <f>IF(OR(T127="Cash",T127="Cash Adjustments"),"-",_xll.BDP(R127&amp;" FIGI",$BT$1))</f>
        <v>5/30/2018</v>
      </c>
      <c r="BU127" t="str">
        <f>IF(OR(T127="Cash",T127="Cash Adjustments"),"-",_xll.BDP(R127&amp;" FIGI",$BU$1))</f>
        <v>7/16/2018</v>
      </c>
    </row>
    <row r="128" spans="1:73">
      <c r="A128" s="254" t="s">
        <v>15</v>
      </c>
      <c r="B128" s="254" t="s">
        <v>25</v>
      </c>
      <c r="C128" s="254" t="s">
        <v>46</v>
      </c>
      <c r="D128" s="254" t="s">
        <v>22</v>
      </c>
      <c r="E128" s="254"/>
      <c r="F128" s="254" t="s">
        <v>1948</v>
      </c>
      <c r="G128" s="254" t="s">
        <v>1949</v>
      </c>
      <c r="H128" s="270">
        <v>2000000</v>
      </c>
      <c r="I128" s="270">
        <v>103.473</v>
      </c>
      <c r="J128" s="270">
        <v>1981160</v>
      </c>
      <c r="K128" s="270">
        <v>15357556.09</v>
      </c>
      <c r="L128" s="270">
        <v>681172.8</v>
      </c>
      <c r="M128" s="270">
        <v>53820.83</v>
      </c>
      <c r="N128" s="270">
        <v>16038728.890000001</v>
      </c>
      <c r="O128" s="255">
        <v>3.5000000000000001E-3</v>
      </c>
      <c r="P128" s="1"/>
      <c r="Q128" s="1" t="str">
        <f t="shared" si="11"/>
        <v>Investments</v>
      </c>
      <c r="R128" s="1" t="str">
        <f>_xll.BDP(G128&amp;" ISIN",$R$1)</f>
        <v>BBG00T2MWMJ1</v>
      </c>
      <c r="S128" s="1" t="str">
        <f>IF(Q128="Cash",Q128,IF(OR(Q128="Receivable Investments",Q128="Payable Investments"),"Cash Adjustments",_xll.BDP(R128&amp;" FIGI",$S$1)))</f>
        <v>BOND</v>
      </c>
      <c r="T128" s="1" t="str">
        <f>IF(Q128="Cash",Q128,IF(OR(Q128="Receivable Investments",Q128="Payable Investments"),"Cash Adjustments",VLOOKUP(R128,LQA!E:S,3,0)))</f>
        <v>Corp</v>
      </c>
      <c r="U128" s="1" t="str">
        <f>IF(Q128="Cash",Q128,IF(OR(Q128="Receivable Investments",Q128="Payable Investments"),"Cash Adjustments",_xll.BDP(R128&amp;" FIGI",$U$1)))</f>
        <v>#N/A Field Not Applicable</v>
      </c>
      <c r="V128" s="10">
        <f>IF(OR(Q128="Cash",Q128="Receivable Investments",Q128="Payable Investments"),0,IF(Q128="Investments",VLOOKUP(R128,LQA!E:Q,12,0),"Not Covered"))</f>
        <v>0.2</v>
      </c>
      <c r="W128" s="76">
        <f>IF(OR(Q128="Cash",Q128="Receivable Investments",Q128="Payable Investments"),0,IF(Q128="Investments",VLOOKUP(R128,LQA!E:Q,9,0),"Not Covered"))</f>
        <v>1.0115000000000001E-2</v>
      </c>
      <c r="X128" s="13" t="str">
        <f>IF(OR(H128=0,T128="Comdty"),"High",IF(V128&lt;='Liquidity Bucket'!$A$4,'Liquidity Bucket'!$I$4,IF(V128&lt;='Liquidity Bucket'!$A$5,'Liquidity Bucket'!$I$5,IF(V128&lt;='Liquidity Bucket'!$A$6,'Liquidity Bucket'!$I$6,IF(V128='Liquidity Bucket'!$A$8,'Liquidity Bucket'!$I$8,'Liquidity Bucket'!$I$7)))))</f>
        <v>High</v>
      </c>
      <c r="Y128" s="153">
        <f>IF(OR(Q128="Cash",Q128="Receivable Investments",Q128="Payable Investments"),0,IF(Q128="Investments",VLOOKUP(R128,'LQA Stress'!E:Q,12,0),"Not Covered"))</f>
        <v>1.7</v>
      </c>
      <c r="Z128" s="75">
        <f>IF(OR(Q128="Cash",Q128="Receivable Investments",Q128="Payable Investments"),0,IF(Q128="Investments",VLOOKUP(R128,'LQA Stress'!E:Q,9,0),"Not Covered"))</f>
        <v>2.7099000000000002E-2</v>
      </c>
      <c r="AA128" s="13" t="str">
        <f>IF(T128="Comdty","High",IF(Y128&lt;='Liquidity Bucket'!$A$4,'Liquidity Bucket'!$I$4,IF(Y128&lt;='Liquidity Bucket'!$A$5,'Liquidity Bucket'!$I$5,IF(Y128&lt;='Liquidity Bucket'!$A$6,'Liquidity Bucket'!$I$6,IF(Y128='Liquidity Bucket'!$A$8,'Liquidity Bucket'!$I$8,'Liquidity Bucket'!$I$7)))))</f>
        <v>High</v>
      </c>
      <c r="AB128" s="14">
        <f>(N128+M128)/'FX Rates'!$C$5</f>
        <v>2075922.306501548</v>
      </c>
      <c r="AC128" s="15" t="str">
        <f>IF(X128="Not Covered", (H128/_xll.BDP(R128&amp;" FIGI",$AC$1)),"")</f>
        <v/>
      </c>
      <c r="AD128" s="16" t="str">
        <f>IF(X128="Not Covered", _xll.BDP(R128&amp;" FIGI",$AD$1),"")</f>
        <v/>
      </c>
      <c r="AE128" s="16" t="str">
        <f>IF(OR(T128="Corp",T128="Govt"),IF(_xll.BDP(R128&amp;" FIGI",$AE$1)="#N/A N/A","",_xll.BDP(R128&amp;" FIGI",$AE$1)),"")</f>
        <v>A</v>
      </c>
      <c r="AF128" s="1" t="str">
        <f>IF(OR(T128="Corp",T128="Govt"),IF(_xll.BDP(R128&amp;" FIGI",$AF$1)="#N/A N/A","",_xll.BDP(R128&amp;" FIGI",$AF$1)),"")</f>
        <v>A2</v>
      </c>
      <c r="AG128" s="16" t="str">
        <f>IF(OR(T128="Corp",T128="Govt"),IF(_xll.BDP(R128&amp;" FIGI",$AG$1)="#N/A N/A","",_xll.BDP(R128&amp;" FIGI",$AG$1)),"")</f>
        <v/>
      </c>
      <c r="AH128" s="125">
        <f>IF(OR(S128="Cash",S128="M-Mkt"),21,IF(AE128="",0,VLOOKUP(AE128,'Rating Scale'!A:B,2,0)))</f>
        <v>16</v>
      </c>
      <c r="AI128" s="125">
        <f>IF(OR(S128="Cash",S128="M-Mkt"),21,IF(AF128="",0,VLOOKUP(AF128,'Rating Scale'!D:E,2,0)))</f>
        <v>16</v>
      </c>
      <c r="AJ128" s="125">
        <f>IF(OR(S128="Cash",S128="M-Mkt"),21,IF(AG128="",0,VLOOKUP(AG128,'Rating Scale'!G:H,2,0)))</f>
        <v>0</v>
      </c>
      <c r="AK128">
        <f t="shared" si="19"/>
        <v>16</v>
      </c>
      <c r="AL128" s="1" t="str">
        <f>IF(OR(U128="Cash",U128="Cash Adjustments"),_xll.BDP(G128&amp;" Curncy","Country"),IF(T128="Equity",_xll.BDP(R128&amp;" FIGI","CNTRY_ISSUE_ISO"),_xll.BDP(R128&amp;" FIGI",$AL$1)))</f>
        <v>GB</v>
      </c>
      <c r="AM128" s="126" t="str">
        <f>IF(OR(T128="Cash",T128="Cash Adjustments",T128="M-Mkt"), T128, IF(T128="Comdty",AS128, _xll.BDP(R128&amp;" FIGI", $AM$1)))</f>
        <v>Financial</v>
      </c>
      <c r="AN128" s="126" t="str">
        <f>IF(OR(T128="Cash",T128="Cash Adjustments",T128="M-Mkt"), T128,  IF(T128="Comdty",AS128,_xll.BDP(R128&amp;" FIGI", $AN$1)))</f>
        <v>Insurance</v>
      </c>
      <c r="AO128" s="126" t="str">
        <f>IF(OR(T128="Cash",T128="Cash Adjustments",T128="M-Mkt"), T128,  IF(T128="Comdty",AS128,_xll.BDP(R128&amp;" FIGI", $AO$1)))</f>
        <v>Life/Health Insurance</v>
      </c>
      <c r="AP128" s="13" t="str">
        <f>IF(OR(T128="Cash",T128="Cash Adjustments"), T128, IF(_xll.BDP(R128&amp;" FIGI", $AP$1)="#N/A Field Not Applicable","N",_xll.BDP(R128&amp;" FIGI", $AP$1)))</f>
        <v>N</v>
      </c>
      <c r="AQ128" s="1" t="str">
        <f>IF(OR(T128="Cash",T128="Cash Adjustments"), T128, IF(_xll.BDP(R128&amp;" FIGI", $AQ$1)="#N/A Field Not Applicable"," ",_xll.BDP(R128&amp;" FIGI", $AQ$1)))</f>
        <v xml:space="preserve"> </v>
      </c>
      <c r="AR128" s="1" t="str">
        <f>IF(OR(T128="Cash",T128="Cash Adjustments"), T128, IF(_xll.BDP(R128&amp;" FIGI", $AR$1)="#N/A Field Not Applicable"," ",_xll.BDP(R128&amp;" FIGI", $AR$1)))</f>
        <v>ACTV</v>
      </c>
      <c r="AS128" s="1" t="str">
        <f>VLOOKUP(T128,'SFC Classifcation'!$F$2:$H$7,3,0)</f>
        <v>Corporate</v>
      </c>
      <c r="AT128" s="22" t="str">
        <f t="shared" si="12"/>
        <v>Financial</v>
      </c>
      <c r="AU128" s="1" t="str">
        <f t="shared" si="13"/>
        <v>Investment Grade</v>
      </c>
      <c r="AV128" s="1" t="str">
        <f>IF(OR(T128="Cash",T128="Cash Adjustments"),T128,VLOOKUP(AL128,'SFC Classifcation'!$A:$C,3,0))</f>
        <v>United Kingdom</v>
      </c>
      <c r="AW128" s="22" t="str">
        <f t="shared" si="14"/>
        <v>High</v>
      </c>
      <c r="AX128" s="22" t="str">
        <f t="shared" si="15"/>
        <v>High</v>
      </c>
      <c r="AY128" s="45" t="str">
        <f>IF(OR(T128="Cash",T128="Cash Adjustments"), T128, _xll.BDP(R128&amp;" FIGI", $AY$1))</f>
        <v>Financials</v>
      </c>
      <c r="AZ128" s="45" t="str">
        <f>IF(OR(T128="Cash",T128="Cash Adjustments"), T128, _xll.BDP(R128&amp;" FIGI", $AZ$1))</f>
        <v>FINANCIAL</v>
      </c>
      <c r="BA128" s="45" t="str">
        <f>IF(OR(T128="Cash",T128="Cash Adjustments"), T128, _xll.BDP(R128&amp;" FIGI", $BA$1))</f>
        <v>#N/A Field Not Applicable</v>
      </c>
      <c r="BB128" s="45">
        <f>IF(OR(AS128="Government",AS128="Corporate"),(AK128*AB128/'SFC Report'!$C$20),"")</f>
        <v>6.0343246211298086E-2</v>
      </c>
      <c r="BC128" s="174" t="str">
        <f>IF(OR(T128="Cash",T128="Cash Adjustments", T128="FX Forward", T128="Repo", T128="Equity", T128="M-Mkt"), "", _xll.BDP(R128&amp;" FIGI", $BC$1))</f>
        <v>4/14/2030</v>
      </c>
      <c r="BD128" s="125">
        <f ca="1">IF(OR(T128="Cash",T128="Cash Adjustments",T128="FX Forward",T128="Repo", T128="Equity", T128="M-Mkt"),"",(BC128-'SFC Report'!$B$13)/365)</f>
        <v>9.9616438356164387</v>
      </c>
      <c r="BE128" s="82" t="str">
        <f t="shared" ca="1" si="18"/>
        <v>7 - 10 yrs</v>
      </c>
      <c r="BF128" s="5">
        <f ca="1">IF(BC128="","",BD128*AB128/'SFC Report'!$C$20)</f>
        <v>3.7569870415116412E-2</v>
      </c>
      <c r="BG128" s="14" cm="1">
        <f t="array" ref="BG128">IF(OR(AS128="Corporate",AS128="Government"),_xll.BDP(G128&amp;" ISIN", $BG$1),"")</f>
        <v>8.4643921373454347</v>
      </c>
      <c r="BH128" s="140">
        <f>IF(OR(AS128="Corporate",AS128="Government"),BG128*BN128/'SFC Report'!$C$20,"")</f>
        <v>3.1923056173300705E-2</v>
      </c>
      <c r="BI128" s="140">
        <f>IF(OR(AS128="Corporate",AS128="Government"),_xll.BDP(G128&amp;" ISIN", $BI$1),"")</f>
        <v>2.6669742348404837</v>
      </c>
      <c r="BJ128" s="140">
        <f>IF(OR(AS128="Corporate",AS128="Government"),BI128*AB128/'SFC Report'!$C$20,"")</f>
        <v>1.0058367680760476E-2</v>
      </c>
      <c r="BK128" s="153" t="str">
        <f>IF(OR(T128="Cash",T128="Cash Adjustments"),"-",_xll.BDP(R128&amp;" FIGI",$BK$1))</f>
        <v>US74435KAA34</v>
      </c>
      <c r="BL128" s="11" t="str">
        <f>IF(OR(AS128="Cash", AS128="Cash Adjustments"),"-",IF(ISNA(VLOOKUP(BK128,'BBG - VaR Data (Sample, Indus )'!C:N,5,0)),"-",VLOOKUP(BK128,'BBG - VaR Data (Sample, Indus )'!C:N,5,0)))</f>
        <v>-</v>
      </c>
      <c r="BM128" s="11">
        <f>IF(OR(AS128="Cash", AS128="Cash Adjustments"),"-",IF(ISNA(VLOOKUP(BK128,'BBG - Scenarios (Sample View)'!C:Z,14,0)),"-",VLOOKUP(BK128,'BBG - Scenarios (Sample View)'!C:Z,14,0)))</f>
        <v>-7.15</v>
      </c>
      <c r="BN128" s="14">
        <f t="shared" si="20"/>
        <v>2075922.306501548</v>
      </c>
      <c r="BO128" s="1">
        <f t="shared" si="17"/>
        <v>4.0722306519020675E-3</v>
      </c>
      <c r="BP128" t="str">
        <f>IF(BC128&lt;&gt;0,MaturityBucket(BG128),"")</f>
        <v>7 - 10 yrs</v>
      </c>
      <c r="BQ128" s="11" t="str">
        <f>IF(OR(T128="Cash",T128="Cash Adjustments"),T128,VLOOKUP(AL128,'SFC Classifcation'!$A:$C,2,0))</f>
        <v>United Kingdom</v>
      </c>
      <c r="BR128" s="1" t="e">
        <f>IF(S128="Bond",BH128/'SFC Report'!$B$7,"")</f>
        <v>#VALUE!</v>
      </c>
      <c r="BS128" t="str">
        <f>IF(OR(T128="Cash",T128="Cash Adjustments"),"-",_xll.BDP(R128&amp;" FIGI",$BS$1))</f>
        <v>4/6/2020</v>
      </c>
      <c r="BT128" t="str">
        <f>IF(OR(T128="Cash",T128="Cash Adjustments"),"-",_xll.BDP(R128&amp;" FIGI",$BT$1))</f>
        <v>4/8/2020</v>
      </c>
      <c r="BU128" t="str">
        <f>IF(OR(T128="Cash",T128="Cash Adjustments"),"-",_xll.BDP(R128&amp;" FIGI",$BU$1))</f>
        <v>#N/A N/A</v>
      </c>
    </row>
    <row r="129" spans="1:73">
      <c r="A129" s="254" t="s">
        <v>15</v>
      </c>
      <c r="B129" s="254" t="s">
        <v>25</v>
      </c>
      <c r="C129" s="254" t="s">
        <v>46</v>
      </c>
      <c r="D129" s="254" t="s">
        <v>22</v>
      </c>
      <c r="E129" s="254"/>
      <c r="F129" s="254" t="s">
        <v>94</v>
      </c>
      <c r="G129" s="254" t="s">
        <v>95</v>
      </c>
      <c r="H129" s="270">
        <v>4000000</v>
      </c>
      <c r="I129" s="270">
        <v>103.727</v>
      </c>
      <c r="J129" s="270">
        <v>3977274.31</v>
      </c>
      <c r="K129" s="270">
        <v>31100002.75</v>
      </c>
      <c r="L129" s="270">
        <v>1056197.07</v>
      </c>
      <c r="M129" s="270">
        <v>558014.39</v>
      </c>
      <c r="N129" s="270">
        <v>32156199.82</v>
      </c>
      <c r="O129" s="255">
        <v>7.1000000000000004E-3</v>
      </c>
      <c r="P129" s="1"/>
      <c r="Q129" s="1" t="str">
        <f t="shared" si="11"/>
        <v>Investments</v>
      </c>
      <c r="R129" s="1" t="str">
        <f>_xll.BDP(G129&amp;" ISIN",$R$1)</f>
        <v>BBG00MNS44N6</v>
      </c>
      <c r="S129" s="1" t="str">
        <f>IF(Q129="Cash",Q129,IF(OR(Q129="Receivable Investments",Q129="Payable Investments"),"Cash Adjustments",_xll.BDP(R129&amp;" FIGI",$S$1)))</f>
        <v>BOND</v>
      </c>
      <c r="T129" s="1" t="str">
        <f>IF(Q129="Cash",Q129,IF(OR(Q129="Receivable Investments",Q129="Payable Investments"),"Cash Adjustments",VLOOKUP(R129,LQA!E:S,3,0)))</f>
        <v>Corp</v>
      </c>
      <c r="U129" s="1" t="str">
        <f>IF(Q129="Cash",Q129,IF(OR(Q129="Receivable Investments",Q129="Payable Investments"),"Cash Adjustments",_xll.BDP(R129&amp;" FIGI",$U$1)))</f>
        <v>#N/A Field Not Applicable</v>
      </c>
      <c r="V129" s="10">
        <f>IF(OR(Q129="Cash",Q129="Receivable Investments",Q129="Payable Investments"),0,IF(Q129="Investments",VLOOKUP(R129,LQA!E:Q,12,0),"Not Covered"))</f>
        <v>1.9</v>
      </c>
      <c r="W129" s="76">
        <f>IF(OR(Q129="Cash",Q129="Receivable Investments",Q129="Payable Investments"),0,IF(Q129="Investments",VLOOKUP(R129,LQA!E:Q,9,0),"Not Covered"))</f>
        <v>4.9690000000000003E-3</v>
      </c>
      <c r="X129" s="13" t="str">
        <f>IF(OR(H129=0,T129="Comdty"),"High",IF(V129&lt;='Liquidity Bucket'!$A$4,'Liquidity Bucket'!$I$4,IF(V129&lt;='Liquidity Bucket'!$A$5,'Liquidity Bucket'!$I$5,IF(V129&lt;='Liquidity Bucket'!$A$6,'Liquidity Bucket'!$I$6,IF(V129='Liquidity Bucket'!$A$8,'Liquidity Bucket'!$I$8,'Liquidity Bucket'!$I$7)))))</f>
        <v>High</v>
      </c>
      <c r="Y129" s="153">
        <f>IF(OR(Q129="Cash",Q129="Receivable Investments",Q129="Payable Investments"),0,IF(Q129="Investments",VLOOKUP(R129,'LQA Stress'!E:Q,12,0),"Not Covered"))</f>
        <v>6.7</v>
      </c>
      <c r="Z129" s="75">
        <f>IF(OR(Q129="Cash",Q129="Receivable Investments",Q129="Payable Investments"),0,IF(Q129="Investments",VLOOKUP(R129,'LQA Stress'!E:Q,9,0),"Not Covered"))</f>
        <v>1.2956000000000001E-2</v>
      </c>
      <c r="AA129" s="13" t="str">
        <f>IF(T129="Comdty","High",IF(Y129&lt;='Liquidity Bucket'!$A$4,'Liquidity Bucket'!$I$4,IF(Y129&lt;='Liquidity Bucket'!$A$5,'Liquidity Bucket'!$I$5,IF(Y129&lt;='Liquidity Bucket'!$A$6,'Liquidity Bucket'!$I$6,IF(Y129='Liquidity Bucket'!$A$8,'Liquidity Bucket'!$I$8,'Liquidity Bucket'!$I$7)))))</f>
        <v>Medium</v>
      </c>
      <c r="AB129" s="14">
        <f>(N129+M129)/'FX Rates'!$C$5</f>
        <v>4220099.872291022</v>
      </c>
      <c r="AC129" s="15" t="str">
        <f>IF(X129="Not Covered", (H129/_xll.BDP(R129&amp;" FIGI",$AC$1)),"")</f>
        <v/>
      </c>
      <c r="AD129" s="16" t="str">
        <f>IF(X129="Not Covered", _xll.BDP(R129&amp;" FIGI",$AD$1),"")</f>
        <v/>
      </c>
      <c r="AE129" s="16" t="str">
        <f>IF(OR(T129="Corp",T129="Govt"),IF(_xll.BDP(R129&amp;" FIGI",$AE$1)="#N/A N/A","",_xll.BDP(R129&amp;" FIGI",$AE$1)),"")</f>
        <v/>
      </c>
      <c r="AF129" s="1" t="str">
        <f>IF(OR(T129="Corp",T129="Govt"),IF(_xll.BDP(R129&amp;" FIGI",$AF$1)="#N/A N/A","",_xll.BDP(R129&amp;" FIGI",$AF$1)),"")</f>
        <v>Baa1</v>
      </c>
      <c r="AG129" s="16" t="str">
        <f>IF(OR(T129="Corp",T129="Govt"),IF(_xll.BDP(R129&amp;" FIGI",$AG$1)="#N/A N/A","",_xll.BDP(R129&amp;" FIGI",$AG$1)),"")</f>
        <v>BBB+</v>
      </c>
      <c r="AH129" s="125">
        <f>IF(OR(S129="Cash",S129="M-Mkt"),21,IF(AE129="",0,VLOOKUP(AE129,'Rating Scale'!A:B,2,0)))</f>
        <v>0</v>
      </c>
      <c r="AI129" s="125">
        <f>IF(OR(S129="Cash",S129="M-Mkt"),21,IF(AF129="",0,VLOOKUP(AF129,'Rating Scale'!D:E,2,0)))</f>
        <v>14</v>
      </c>
      <c r="AJ129" s="125">
        <f>IF(OR(S129="Cash",S129="M-Mkt"),21,IF(AG129="",0,VLOOKUP(AG129,'Rating Scale'!G:H,2,0)))</f>
        <v>14</v>
      </c>
      <c r="AK129">
        <f t="shared" si="19"/>
        <v>14</v>
      </c>
      <c r="AL129" s="1" t="str">
        <f>IF(OR(U129="Cash",U129="Cash Adjustments"),_xll.BDP(G129&amp;" Curncy","Country"),IF(T129="Equity",_xll.BDP(R129&amp;" FIGI","CNTRY_ISSUE_ISO"),_xll.BDP(R129&amp;" FIGI",$AL$1)))</f>
        <v>CN</v>
      </c>
      <c r="AM129" s="126" t="str">
        <f>IF(OR(T129="Cash",T129="Cash Adjustments",T129="M-Mkt"), T129, IF(T129="Comdty",AS129, _xll.BDP(R129&amp;" FIGI", $AM$1)))</f>
        <v>Financial</v>
      </c>
      <c r="AN129" s="126" t="str">
        <f>IF(OR(T129="Cash",T129="Cash Adjustments",T129="M-Mkt"), T129,  IF(T129="Comdty",AS129,_xll.BDP(R129&amp;" FIGI", $AN$1)))</f>
        <v>Real Estate</v>
      </c>
      <c r="AO129" s="126" t="str">
        <f>IF(OR(T129="Cash",T129="Cash Adjustments",T129="M-Mkt"), T129,  IF(T129="Comdty",AS129,_xll.BDP(R129&amp;" FIGI", $AO$1)))</f>
        <v>Real Estate Oper/Develop</v>
      </c>
      <c r="AP129" s="13" t="str">
        <f>IF(OR(T129="Cash",T129="Cash Adjustments"), T129, IF(_xll.BDP(R129&amp;" FIGI", $AP$1)="#N/A Field Not Applicable","N",_xll.BDP(R129&amp;" FIGI", $AP$1)))</f>
        <v>N</v>
      </c>
      <c r="AQ129" s="1" t="str">
        <f>IF(OR(T129="Cash",T129="Cash Adjustments"), T129, IF(_xll.BDP(R129&amp;" FIGI", $AQ$1)="#N/A Field Not Applicable"," ",_xll.BDP(R129&amp;" FIGI", $AQ$1)))</f>
        <v xml:space="preserve"> </v>
      </c>
      <c r="AR129" s="1" t="str">
        <f>IF(OR(T129="Cash",T129="Cash Adjustments"), T129, IF(_xll.BDP(R129&amp;" FIGI", $AR$1)="#N/A Field Not Applicable"," ",_xll.BDP(R129&amp;" FIGI", $AR$1)))</f>
        <v>ACTV</v>
      </c>
      <c r="AS129" s="1" t="str">
        <f>VLOOKUP(T129,'SFC Classifcation'!$F$2:$H$7,3,0)</f>
        <v>Corporate</v>
      </c>
      <c r="AT129" s="22" t="str">
        <f t="shared" si="12"/>
        <v>Financial</v>
      </c>
      <c r="AU129" s="1" t="str">
        <f t="shared" si="13"/>
        <v>Investment Grade</v>
      </c>
      <c r="AV129" s="1" t="str">
        <f>IF(OR(T129="Cash",T129="Cash Adjustments"),T129,VLOOKUP(AL129,'SFC Classifcation'!$A:$C,3,0))</f>
        <v>China</v>
      </c>
      <c r="AW129" s="22" t="str">
        <f t="shared" si="14"/>
        <v>High</v>
      </c>
      <c r="AX129" s="22" t="str">
        <f t="shared" si="15"/>
        <v>Medium</v>
      </c>
      <c r="AY129" s="45" t="str">
        <f>IF(OR(T129="Cash",T129="Cash Adjustments"), T129, _xll.BDP(R129&amp;" FIGI", $AY$1))</f>
        <v>#N/A Field Not Applicable</v>
      </c>
      <c r="AZ129" s="45" t="str">
        <f>IF(OR(T129="Cash",T129="Cash Adjustments"), T129, _xll.BDP(R129&amp;" FIGI", $AZ$1))</f>
        <v>FINANCIAL</v>
      </c>
      <c r="BA129" s="45" t="str">
        <f>IF(OR(T129="Cash",T129="Cash Adjustments"), T129, _xll.BDP(R129&amp;" FIGI", $BA$1))</f>
        <v>#N/A Field Not Applicable</v>
      </c>
      <c r="BB129" s="45">
        <f>IF(OR(AS129="Government",AS129="Corporate"),(AK129*AB129/'SFC Report'!$C$20),"")</f>
        <v>0.10733672894613121</v>
      </c>
      <c r="BC129" s="174" t="str">
        <f>IF(OR(T129="Cash",T129="Cash Adjustments", T129="FX Forward", T129="Repo", T129="Equity", T129="M-Mkt"), "", _xll.BDP(R129&amp;" FIGI", $BC$1))</f>
        <v>12/6/2021</v>
      </c>
      <c r="BD129" s="125">
        <f ca="1">IF(OR(T129="Cash",T129="Cash Adjustments",T129="FX Forward",T129="Repo", T129="Equity", T129="M-Mkt"),"",(BC129-'SFC Report'!$B$13)/365)</f>
        <v>1.6027397260273972</v>
      </c>
      <c r="BE129" s="82" t="str">
        <f t="shared" ca="1" si="18"/>
        <v>1 - 2 yrs</v>
      </c>
      <c r="BF129" s="5">
        <f ca="1">IF(BC129="","",BD129*AB129/'SFC Report'!$C$20)</f>
        <v>1.2288059967414238E-2</v>
      </c>
      <c r="BG129" s="14" cm="1">
        <f t="array" ref="BG129">IF(OR(AS129="Corporate",AS129="Government"),_xll.BDP(G129&amp;" ISIN", $BG$1),"")</f>
        <v>1.446526359857959</v>
      </c>
      <c r="BH129" s="140">
        <f>IF(OR(AS129="Corporate",AS129="Government"),BG129*BN129/'SFC Report'!$C$20,"")</f>
        <v>1.1090386271536256E-2</v>
      </c>
      <c r="BI129" s="140">
        <f>IF(OR(AS129="Corporate",AS129="Government"),_xll.BDP(G129&amp;" ISIN", $BI$1),"")</f>
        <v>2.0888672835529056</v>
      </c>
      <c r="BJ129" s="140">
        <f>IF(OR(AS129="Corporate",AS129="Government"),BI129*AB129/'SFC Report'!$C$20,"")</f>
        <v>1.6015155815654259E-2</v>
      </c>
      <c r="BK129" s="153" t="str">
        <f>IF(OR(T129="Cash",T129="Cash Adjustments"),"-",_xll.BDP(R129&amp;" FIGI",$BK$1))</f>
        <v>XS1917764372</v>
      </c>
      <c r="BL129" s="11" t="str">
        <f>IF(OR(AS129="Cash", AS129="Cash Adjustments"),"-",IF(ISNA(VLOOKUP(BK129,'BBG - VaR Data (Sample, Indus )'!C:N,5,0)),"-",VLOOKUP(BK129,'BBG - VaR Data (Sample, Indus )'!C:N,5,0)))</f>
        <v>-</v>
      </c>
      <c r="BM129" s="11">
        <f>IF(OR(AS129="Cash", AS129="Cash Adjustments"),"-",IF(ISNA(VLOOKUP(BK129,'BBG - Scenarios (Sample View)'!C:Z,14,0)),"-",VLOOKUP(BK129,'BBG - Scenarios (Sample View)'!C:Z,14,0)))</f>
        <v>-0.99</v>
      </c>
      <c r="BN129" s="14">
        <f t="shared" si="20"/>
        <v>4220099.872291022</v>
      </c>
      <c r="BO129" s="1">
        <f t="shared" si="17"/>
        <v>8.278354156227033E-3</v>
      </c>
      <c r="BP129" t="str">
        <f>IF(BC129&lt;&gt;0,MaturityBucket(BG129),"")</f>
        <v>1 - 2 yrs</v>
      </c>
      <c r="BQ129" s="11" t="str">
        <f>IF(OR(T129="Cash",T129="Cash Adjustments"),T129,VLOOKUP(AL129,'SFC Classifcation'!$A:$C,2,0))</f>
        <v>China</v>
      </c>
      <c r="BR129" s="1" t="e">
        <f>IF(S129="Bond",BH129/'SFC Report'!$B$7,"")</f>
        <v>#VALUE!</v>
      </c>
      <c r="BS129" t="str">
        <f>IF(OR(T129="Cash",T129="Cash Adjustments"),"-",_xll.BDP(R129&amp;" FIGI",$BS$1))</f>
        <v>#N/A N/A</v>
      </c>
      <c r="BT129" t="str">
        <f>IF(OR(T129="Cash",T129="Cash Adjustments"),"-",_xll.BDP(R129&amp;" FIGI",$BT$1))</f>
        <v>11/26/2018</v>
      </c>
      <c r="BU129" t="str">
        <f>IF(OR(T129="Cash",T129="Cash Adjustments"),"-",_xll.BDP(R129&amp;" FIGI",$BU$1))</f>
        <v>9/10/2019</v>
      </c>
    </row>
    <row r="130" spans="1:73">
      <c r="A130" s="254" t="s">
        <v>15</v>
      </c>
      <c r="B130" s="254" t="s">
        <v>25</v>
      </c>
      <c r="C130" s="254" t="s">
        <v>46</v>
      </c>
      <c r="D130" s="254" t="s">
        <v>22</v>
      </c>
      <c r="E130" s="254"/>
      <c r="F130" s="254" t="s">
        <v>1337</v>
      </c>
      <c r="G130" s="254" t="s">
        <v>1338</v>
      </c>
      <c r="H130" s="270">
        <v>1500000</v>
      </c>
      <c r="I130" s="270">
        <v>100.008</v>
      </c>
      <c r="J130" s="270">
        <v>1440000</v>
      </c>
      <c r="K130" s="270">
        <v>11170944</v>
      </c>
      <c r="L130" s="270">
        <v>455286.02</v>
      </c>
      <c r="M130" s="270">
        <v>194061.78</v>
      </c>
      <c r="N130" s="270">
        <v>11626230.02</v>
      </c>
      <c r="O130" s="255">
        <v>2.5999999999999999E-3</v>
      </c>
      <c r="P130" s="1"/>
      <c r="Q130" s="1" t="str">
        <f t="shared" ref="Q130:Q148" si="21">IF(B130="Cash Long","Cash",A130)</f>
        <v>Investments</v>
      </c>
      <c r="R130" s="1" t="str">
        <f>_xll.BDP(G130&amp;" ISIN",$R$1)</f>
        <v>BBG00H4BZMF0</v>
      </c>
      <c r="S130" s="1" t="str">
        <f>IF(Q130="Cash",Q130,IF(OR(Q130="Receivable Investments",Q130="Payable Investments"),"Cash Adjustments",_xll.BDP(R130&amp;" FIGI",$S$1)))</f>
        <v>BOND</v>
      </c>
      <c r="T130" s="1" t="str">
        <f>IF(Q130="Cash",Q130,IF(OR(Q130="Receivable Investments",Q130="Payable Investments"),"Cash Adjustments",VLOOKUP(R130,LQA!E:S,3,0)))</f>
        <v>Corp</v>
      </c>
      <c r="U130" s="1" t="str">
        <f>IF(Q130="Cash",Q130,IF(OR(Q130="Receivable Investments",Q130="Payable Investments"),"Cash Adjustments",_xll.BDP(R130&amp;" FIGI",$U$1)))</f>
        <v>#N/A Field Not Applicable</v>
      </c>
      <c r="V130" s="10">
        <f>IF(OR(Q130="Cash",Q130="Receivable Investments",Q130="Payable Investments"),0,IF(Q130="Investments",VLOOKUP(R130,LQA!E:Q,12,0),"Not Covered"))</f>
        <v>0.3</v>
      </c>
      <c r="W130" s="76">
        <f>IF(OR(Q130="Cash",Q130="Receivable Investments",Q130="Payable Investments"),0,IF(Q130="Investments",VLOOKUP(R130,LQA!E:Q,9,0),"Not Covered"))</f>
        <v>3.4280000000000001E-3</v>
      </c>
      <c r="X130" s="13" t="str">
        <f>IF(OR(H130=0,T130="Comdty"),"High",IF(V130&lt;='Liquidity Bucket'!$A$4,'Liquidity Bucket'!$I$4,IF(V130&lt;='Liquidity Bucket'!$A$5,'Liquidity Bucket'!$I$5,IF(V130&lt;='Liquidity Bucket'!$A$6,'Liquidity Bucket'!$I$6,IF(V130='Liquidity Bucket'!$A$8,'Liquidity Bucket'!$I$8,'Liquidity Bucket'!$I$7)))))</f>
        <v>High</v>
      </c>
      <c r="Y130" s="153">
        <f>IF(OR(Q130="Cash",Q130="Receivable Investments",Q130="Payable Investments"),0,IF(Q130="Investments",VLOOKUP(R130,'LQA Stress'!E:Q,12,0),"Not Covered"))</f>
        <v>0.7</v>
      </c>
      <c r="Z130" s="75">
        <f>IF(OR(Q130="Cash",Q130="Receivable Investments",Q130="Payable Investments"),0,IF(Q130="Investments",VLOOKUP(R130,'LQA Stress'!E:Q,9,0),"Not Covered"))</f>
        <v>8.9899999999999997E-3</v>
      </c>
      <c r="AA130" s="13" t="str">
        <f>IF(T130="Comdty","High",IF(Y130&lt;='Liquidity Bucket'!$A$4,'Liquidity Bucket'!$I$4,IF(Y130&lt;='Liquidity Bucket'!$A$5,'Liquidity Bucket'!$I$5,IF(Y130&lt;='Liquidity Bucket'!$A$6,'Liquidity Bucket'!$I$6,IF(Y130='Liquidity Bucket'!$A$8,'Liquidity Bucket'!$I$8,'Liquidity Bucket'!$I$7)))))</f>
        <v>High</v>
      </c>
      <c r="AB130" s="14">
        <f>(N130+M130)/'FX Rates'!$C$5</f>
        <v>1524805.4437564497</v>
      </c>
      <c r="AC130" s="15" t="str">
        <f>IF(X130="Not Covered", (H130/_xll.BDP(R130&amp;" FIGI",$AC$1)),"")</f>
        <v/>
      </c>
      <c r="AD130" s="16" t="str">
        <f>IF(X130="Not Covered", _xll.BDP(R130&amp;" FIGI",$AD$1),"")</f>
        <v/>
      </c>
      <c r="AE130" s="16" t="str">
        <f>IF(OR(T130="Corp",T130="Govt"),IF(_xll.BDP(R130&amp;" FIGI",$AE$1)="#N/A N/A","",_xll.BDP(R130&amp;" FIGI",$AE$1)),"")</f>
        <v>B</v>
      </c>
      <c r="AF130" s="1" t="str">
        <f>IF(OR(T130="Corp",T130="Govt"),IF(_xll.BDP(R130&amp;" FIGI",$AF$1)="#N/A N/A","",_xll.BDP(R130&amp;" FIGI",$AF$1)),"")</f>
        <v>B2</v>
      </c>
      <c r="AG130" s="16" t="str">
        <f>IF(OR(T130="Corp",T130="Govt"),IF(_xll.BDP(R130&amp;" FIGI",$AG$1)="#N/A N/A","",_xll.BDP(R130&amp;" FIGI",$AG$1)),"")</f>
        <v/>
      </c>
      <c r="AH130" s="125">
        <f>IF(OR(S130="Cash",S130="M-Mkt"),21,IF(AE130="",0,VLOOKUP(AE130,'Rating Scale'!A:B,2,0)))</f>
        <v>7</v>
      </c>
      <c r="AI130" s="125">
        <f>IF(OR(S130="Cash",S130="M-Mkt"),21,IF(AF130="",0,VLOOKUP(AF130,'Rating Scale'!D:E,2,0)))</f>
        <v>7</v>
      </c>
      <c r="AJ130" s="125">
        <f>IF(OR(S130="Cash",S130="M-Mkt"),21,IF(AG130="",0,VLOOKUP(AG130,'Rating Scale'!G:H,2,0)))</f>
        <v>0</v>
      </c>
      <c r="AK130">
        <f t="shared" si="19"/>
        <v>7</v>
      </c>
      <c r="AL130" s="1" t="str">
        <f>IF(OR(U130="Cash",U130="Cash Adjustments"),_xll.BDP(G130&amp;" Curncy","Country"),IF(T130="Equity",_xll.BDP(R130&amp;" FIGI","CNTRY_ISSUE_ISO"),_xll.BDP(R130&amp;" FIGI",$AL$1)))</f>
        <v>CN</v>
      </c>
      <c r="AM130" s="126" t="str">
        <f>IF(OR(T130="Cash",T130="Cash Adjustments",T130="M-Mkt"), T130, IF(T130="Comdty",AS130, _xll.BDP(R130&amp;" FIGI", $AM$1)))</f>
        <v>Financial</v>
      </c>
      <c r="AN130" s="126" t="str">
        <f>IF(OR(T130="Cash",T130="Cash Adjustments",T130="M-Mkt"), T130,  IF(T130="Comdty",AS130,_xll.BDP(R130&amp;" FIGI", $AN$1)))</f>
        <v>Real Estate</v>
      </c>
      <c r="AO130" s="126" t="str">
        <f>IF(OR(T130="Cash",T130="Cash Adjustments",T130="M-Mkt"), T130,  IF(T130="Comdty",AS130,_xll.BDP(R130&amp;" FIGI", $AO$1)))</f>
        <v>Real Estate Oper/Develop</v>
      </c>
      <c r="AP130" s="13" t="str">
        <f>IF(OR(T130="Cash",T130="Cash Adjustments"), T130, IF(_xll.BDP(R130&amp;" FIGI", $AP$1)="#N/A Field Not Applicable","N",_xll.BDP(R130&amp;" FIGI", $AP$1)))</f>
        <v>N</v>
      </c>
      <c r="AQ130" s="1" t="str">
        <f>IF(OR(T130="Cash",T130="Cash Adjustments"), T130, IF(_xll.BDP(R130&amp;" FIGI", $AQ$1)="#N/A Field Not Applicable"," ",_xll.BDP(R130&amp;" FIGI", $AQ$1)))</f>
        <v xml:space="preserve"> </v>
      </c>
      <c r="AR130" s="1" t="str">
        <f>IF(OR(T130="Cash",T130="Cash Adjustments"), T130, IF(_xll.BDP(R130&amp;" FIGI", $AR$1)="#N/A Field Not Applicable"," ",_xll.BDP(R130&amp;" FIGI", $AR$1)))</f>
        <v>ACTV</v>
      </c>
      <c r="AS130" s="1" t="str">
        <f>VLOOKUP(T130,'SFC Classifcation'!$F$2:$H$7,3,0)</f>
        <v>Corporate</v>
      </c>
      <c r="AT130" s="22" t="str">
        <f t="shared" ref="AT130:AT148" si="22">IF(OR(T130="Cash",T130="Cash Adjustments"),T130, IF(AM130&lt;&gt;"Financial","Non-Financial","Financial"))</f>
        <v>Financial</v>
      </c>
      <c r="AU130" s="1" t="str">
        <f t="shared" si="13"/>
        <v>Non-Investment Grade</v>
      </c>
      <c r="AV130" s="1" t="str">
        <f>IF(OR(T130="Cash",T130="Cash Adjustments"),T130,VLOOKUP(AL130,'SFC Classifcation'!$A:$C,3,0))</f>
        <v>China</v>
      </c>
      <c r="AW130" s="22" t="str">
        <f t="shared" si="14"/>
        <v>High</v>
      </c>
      <c r="AX130" s="22" t="str">
        <f t="shared" si="15"/>
        <v>High</v>
      </c>
      <c r="AY130" s="45" t="str">
        <f>IF(OR(T130="Cash",T130="Cash Adjustments"), T130, _xll.BDP(R130&amp;" FIGI", $AY$1))</f>
        <v>Real Estate</v>
      </c>
      <c r="AZ130" s="45" t="str">
        <f>IF(OR(T130="Cash",T130="Cash Adjustments"), T130, _xll.BDP(R130&amp;" FIGI", $AZ$1))</f>
        <v>FINANCIAL</v>
      </c>
      <c r="BA130" s="45" t="str">
        <f>IF(OR(T130="Cash",T130="Cash Adjustments"), T130, _xll.BDP(R130&amp;" FIGI", $BA$1))</f>
        <v>#N/A Field Not Applicable</v>
      </c>
      <c r="BB130" s="45">
        <f>IF(OR(AS130="Government",AS130="Corporate"),(AK130*AB130/'SFC Report'!$C$20),"")</f>
        <v>1.9391440198691188E-2</v>
      </c>
      <c r="BC130" s="174" t="str">
        <f>IF(OR(T130="Cash",T130="Cash Adjustments", T130="FX Forward", T130="Repo", T130="Equity", T130="M-Mkt"), "", _xll.BDP(R130&amp;" FIGI", $BC$1))</f>
        <v>7/19/2020</v>
      </c>
      <c r="BD130" s="125">
        <f ca="1">IF(OR(T130="Cash",T130="Cash Adjustments",T130="FX Forward",T130="Repo", T130="Equity", T130="M-Mkt"),"",(BC130-'SFC Report'!$B$13)/365)</f>
        <v>0.21917808219178081</v>
      </c>
      <c r="BE130" s="82" t="str">
        <f t="shared" ca="1" si="18"/>
        <v>0 - 1 yr</v>
      </c>
      <c r="BF130" s="5">
        <f ca="1">IF(BC130="","",BD130*AB130/'SFC Report'!$C$20)</f>
        <v>6.0716838195510562E-4</v>
      </c>
      <c r="BG130" s="14" cm="1">
        <f t="array" ref="BG130">IF(OR(AS130="Corporate",AS130="Government"),_xll.BDP(G130&amp;" ISIN", $BG$1),"")</f>
        <v>0.14339459118912129</v>
      </c>
      <c r="BH130" s="140">
        <f>IF(OR(AS130="Corporate",AS130="Government"),BG130*BN130/'SFC Report'!$C$20,"")</f>
        <v>3.9723251997994514E-4</v>
      </c>
      <c r="BI130" s="140">
        <f>IF(OR(AS130="Corporate",AS130="Government"),_xll.BDP(G130&amp;" ISIN", $BI$1),"")</f>
        <v>5.0686814530520774</v>
      </c>
      <c r="BJ130" s="140">
        <f>IF(OR(AS130="Corporate",AS130="Government"),BI130*AB130/'SFC Report'!$C$20,"")</f>
        <v>1.4041290469010646E-2</v>
      </c>
      <c r="BK130" s="153" t="str">
        <f>IF(OR(T130="Cash",T130="Cash Adjustments"),"-",_xll.BDP(R130&amp;" FIGI",$BK$1))</f>
        <v>XS1645451565</v>
      </c>
      <c r="BL130" s="11" t="str">
        <f>IF(OR(AS130="Cash", AS130="Cash Adjustments"),"-",IF(ISNA(VLOOKUP(BK130,'BBG - VaR Data (Sample, Indus )'!C:N,5,0)),"-",VLOOKUP(BK130,'BBG - VaR Data (Sample, Indus )'!C:N,5,0)))</f>
        <v>-</v>
      </c>
      <c r="BM130" s="11">
        <f>IF(OR(AS130="Cash", AS130="Cash Adjustments"),"-",IF(ISNA(VLOOKUP(BK130,'BBG - Scenarios (Sample View)'!C:Z,14,0)),"-",VLOOKUP(BK130,'BBG - Scenarios (Sample View)'!C:Z,14,0)))</f>
        <v>-0.3</v>
      </c>
      <c r="BN130" s="14">
        <f t="shared" si="20"/>
        <v>1524805.4437564497</v>
      </c>
      <c r="BO130" s="1">
        <f t="shared" si="17"/>
        <v>2.9911328794941668E-3</v>
      </c>
      <c r="BP130" t="str">
        <f>IF(BC130&lt;&gt;0,MaturityBucket(BG130),"")</f>
        <v>0 - 1 yr</v>
      </c>
      <c r="BQ130" s="11" t="str">
        <f>IF(OR(T130="Cash",T130="Cash Adjustments"),T130,VLOOKUP(AL130,'SFC Classifcation'!$A:$C,2,0))</f>
        <v>China</v>
      </c>
      <c r="BR130" s="1" t="e">
        <f>IF(S130="Bond",BH130/'SFC Report'!$B$7,"")</f>
        <v>#VALUE!</v>
      </c>
      <c r="BS130" t="str">
        <f>IF(OR(T130="Cash",T130="Cash Adjustments"),"-",_xll.BDP(R130&amp;" FIGI",$BS$1))</f>
        <v>11/21/2017</v>
      </c>
      <c r="BT130" t="str">
        <f>IF(OR(T130="Cash",T130="Cash Adjustments"),"-",_xll.BDP(R130&amp;" FIGI",$BT$1))</f>
        <v>7/12/2017</v>
      </c>
      <c r="BU130" t="str">
        <f>IF(OR(T130="Cash",T130="Cash Adjustments"),"-",_xll.BDP(R130&amp;" FIGI",$BU$1))</f>
        <v>#N/A N/A</v>
      </c>
    </row>
    <row r="131" spans="1:73">
      <c r="A131" s="254" t="s">
        <v>15</v>
      </c>
      <c r="B131" s="254" t="s">
        <v>25</v>
      </c>
      <c r="C131" s="254" t="s">
        <v>46</v>
      </c>
      <c r="D131" s="254" t="s">
        <v>22</v>
      </c>
      <c r="E131" s="254"/>
      <c r="F131" s="254" t="s">
        <v>1071</v>
      </c>
      <c r="G131" s="254" t="s">
        <v>1072</v>
      </c>
      <c r="H131" s="270">
        <v>6000000</v>
      </c>
      <c r="I131" s="270">
        <v>97.19</v>
      </c>
      <c r="J131" s="270">
        <v>6037407.5</v>
      </c>
      <c r="K131" s="270">
        <v>47253281.93</v>
      </c>
      <c r="L131" s="270">
        <v>-2058765.66</v>
      </c>
      <c r="M131" s="270">
        <v>1582978.36</v>
      </c>
      <c r="N131" s="270">
        <v>45194516.270000003</v>
      </c>
      <c r="O131" s="255">
        <v>9.9000000000000008E-3</v>
      </c>
      <c r="P131" s="1"/>
      <c r="Q131" s="1" t="str">
        <f t="shared" si="21"/>
        <v>Investments</v>
      </c>
      <c r="R131" s="1" t="str">
        <f>_xll.BDP(G131&amp;" ISIN",$R$1)</f>
        <v>BBG00QRVV8P5</v>
      </c>
      <c r="S131" s="1" t="str">
        <f>IF(Q131="Cash",Q131,IF(OR(Q131="Receivable Investments",Q131="Payable Investments"),"Cash Adjustments",_xll.BDP(R131&amp;" FIGI",$S$1)))</f>
        <v>BOND</v>
      </c>
      <c r="T131" s="1" t="str">
        <f>IF(Q131="Cash",Q131,IF(OR(Q131="Receivable Investments",Q131="Payable Investments"),"Cash Adjustments",VLOOKUP(R131,LQA!E:S,3,0)))</f>
        <v>Corp</v>
      </c>
      <c r="U131" s="1" t="str">
        <f>IF(Q131="Cash",Q131,IF(OR(Q131="Receivable Investments",Q131="Payable Investments"),"Cash Adjustments",_xll.BDP(R131&amp;" FIGI",$U$1)))</f>
        <v>#N/A Field Not Applicable</v>
      </c>
      <c r="V131" s="10">
        <f>IF(OR(Q131="Cash",Q131="Receivable Investments",Q131="Payable Investments"),0,IF(Q131="Investments",VLOOKUP(R131,LQA!E:Q,12,0),"Not Covered"))</f>
        <v>0.4</v>
      </c>
      <c r="W131" s="76">
        <f>IF(OR(Q131="Cash",Q131="Receivable Investments",Q131="Payable Investments"),0,IF(Q131="Investments",VLOOKUP(R131,LQA!E:Q,9,0),"Not Covered"))</f>
        <v>9.5469999999999999E-3</v>
      </c>
      <c r="X131" s="13" t="str">
        <f>IF(OR(H131=0,T131="Comdty"),"High",IF(V131&lt;='Liquidity Bucket'!$A$4,'Liquidity Bucket'!$I$4,IF(V131&lt;='Liquidity Bucket'!$A$5,'Liquidity Bucket'!$I$5,IF(V131&lt;='Liquidity Bucket'!$A$6,'Liquidity Bucket'!$I$6,IF(V131='Liquidity Bucket'!$A$8,'Liquidity Bucket'!$I$8,'Liquidity Bucket'!$I$7)))))</f>
        <v>High</v>
      </c>
      <c r="Y131" s="153">
        <f>IF(OR(Q131="Cash",Q131="Receivable Investments",Q131="Payable Investments"),0,IF(Q131="Investments",VLOOKUP(R131,'LQA Stress'!E:Q,12,0),"Not Covered"))</f>
        <v>4.8</v>
      </c>
      <c r="Z131" s="75">
        <f>IF(OR(Q131="Cash",Q131="Receivable Investments",Q131="Payable Investments"),0,IF(Q131="Investments",VLOOKUP(R131,'LQA Stress'!E:Q,9,0),"Not Covered"))</f>
        <v>2.4913000000000001E-2</v>
      </c>
      <c r="AA131" s="13" t="str">
        <f>IF(T131="Comdty","High",IF(Y131&lt;='Liquidity Bucket'!$A$4,'Liquidity Bucket'!$I$4,IF(Y131&lt;='Liquidity Bucket'!$A$5,'Liquidity Bucket'!$I$5,IF(Y131&lt;='Liquidity Bucket'!$A$6,'Liquidity Bucket'!$I$6,IF(Y131='Liquidity Bucket'!$A$8,'Liquidity Bucket'!$I$8,'Liquidity Bucket'!$I$7)))))</f>
        <v>Medium</v>
      </c>
      <c r="AB131" s="14">
        <f>(N131+M131)/'FX Rates'!$C$5</f>
        <v>6034248.5332817342</v>
      </c>
      <c r="AC131" s="15" t="str">
        <f>IF(X131="Not Covered", (H131/_xll.BDP(R131&amp;" FIGI",$AC$1)),"")</f>
        <v/>
      </c>
      <c r="AD131" s="16" t="str">
        <f>IF(X131="Not Covered", _xll.BDP(R131&amp;" FIGI",$AD$1),"")</f>
        <v/>
      </c>
      <c r="AE131" s="16" t="str">
        <f>IF(OR(T131="Corp",T131="Govt"),IF(_xll.BDP(R131&amp;" FIGI",$AE$1)="#N/A N/A","",_xll.BDP(R131&amp;" FIGI",$AE$1)),"")</f>
        <v/>
      </c>
      <c r="AF131" s="1" t="str">
        <f>IF(OR(T131="Corp",T131="Govt"),IF(_xll.BDP(R131&amp;" FIGI",$AF$1)="#N/A N/A","",_xll.BDP(R131&amp;" FIGI",$AF$1)),"")</f>
        <v>B2</v>
      </c>
      <c r="AG131" s="16" t="str">
        <f>IF(OR(T131="Corp",T131="Govt"),IF(_xll.BDP(R131&amp;" FIGI",$AG$1)="#N/A N/A","",_xll.BDP(R131&amp;" FIGI",$AG$1)),"")</f>
        <v/>
      </c>
      <c r="AH131" s="125">
        <f>IF(OR(S131="Cash",S131="M-Mkt"),21,IF(AE131="",0,VLOOKUP(AE131,'Rating Scale'!A:B,2,0)))</f>
        <v>0</v>
      </c>
      <c r="AI131" s="125">
        <f>IF(OR(S131="Cash",S131="M-Mkt"),21,IF(AF131="",0,VLOOKUP(AF131,'Rating Scale'!D:E,2,0)))</f>
        <v>7</v>
      </c>
      <c r="AJ131" s="125">
        <f>IF(OR(S131="Cash",S131="M-Mkt"),21,IF(AG131="",0,VLOOKUP(AG131,'Rating Scale'!G:H,2,0)))</f>
        <v>0</v>
      </c>
      <c r="AK131">
        <f t="shared" si="19"/>
        <v>7</v>
      </c>
      <c r="AL131" s="1" t="str">
        <f>IF(OR(U131="Cash",U131="Cash Adjustments"),_xll.BDP(G131&amp;" Curncy","Country"),IF(T131="Equity",_xll.BDP(R131&amp;" FIGI","CNTRY_ISSUE_ISO"),_xll.BDP(R131&amp;" FIGI",$AL$1)))</f>
        <v>CN</v>
      </c>
      <c r="AM131" s="126" t="str">
        <f>IF(OR(T131="Cash",T131="Cash Adjustments",T131="M-Mkt"), T131, IF(T131="Comdty",AS131, _xll.BDP(R131&amp;" FIGI", $AM$1)))</f>
        <v>Financial</v>
      </c>
      <c r="AN131" s="126" t="str">
        <f>IF(OR(T131="Cash",T131="Cash Adjustments",T131="M-Mkt"), T131,  IF(T131="Comdty",AS131,_xll.BDP(R131&amp;" FIGI", $AN$1)))</f>
        <v>Real Estate</v>
      </c>
      <c r="AO131" s="126" t="str">
        <f>IF(OR(T131="Cash",T131="Cash Adjustments",T131="M-Mkt"), T131,  IF(T131="Comdty",AS131,_xll.BDP(R131&amp;" FIGI", $AO$1)))</f>
        <v>Real Estate Oper/Develop</v>
      </c>
      <c r="AP131" s="13" t="str">
        <f>IF(OR(T131="Cash",T131="Cash Adjustments"), T131, IF(_xll.BDP(R131&amp;" FIGI", $AP$1)="#N/A Field Not Applicable","N",_xll.BDP(R131&amp;" FIGI", $AP$1)))</f>
        <v>N</v>
      </c>
      <c r="AQ131" s="1" t="str">
        <f>IF(OR(T131="Cash",T131="Cash Adjustments"), T131, IF(_xll.BDP(R131&amp;" FIGI", $AQ$1)="#N/A Field Not Applicable"," ",_xll.BDP(R131&amp;" FIGI", $AQ$1)))</f>
        <v xml:space="preserve"> </v>
      </c>
      <c r="AR131" s="1" t="str">
        <f>IF(OR(T131="Cash",T131="Cash Adjustments"), T131, IF(_xll.BDP(R131&amp;" FIGI", $AR$1)="#N/A Field Not Applicable"," ",_xll.BDP(R131&amp;" FIGI", $AR$1)))</f>
        <v>ACTV</v>
      </c>
      <c r="AS131" s="1" t="str">
        <f>VLOOKUP(T131,'SFC Classifcation'!$F$2:$H$7,3,0)</f>
        <v>Corporate</v>
      </c>
      <c r="AT131" s="22" t="str">
        <f t="shared" si="22"/>
        <v>Financial</v>
      </c>
      <c r="AU131" s="1" t="str">
        <f t="shared" ref="AU131:AU148" si="23">IF(OR(T131="Cash",T131="Cash Adjustments",T131="Equity", T131="Comdty"),"",IF(AK131&gt;=12,"Investment Grade", "Non-Investment Grade"))</f>
        <v>Non-Investment Grade</v>
      </c>
      <c r="AV131" s="1" t="str">
        <f>IF(OR(T131="Cash",T131="Cash Adjustments"),T131,VLOOKUP(AL131,'SFC Classifcation'!$A:$C,3,0))</f>
        <v>China</v>
      </c>
      <c r="AW131" s="22" t="str">
        <f t="shared" ref="AW131:AW148" si="24">LQBucket(X131,AK131,AD131,AC131)</f>
        <v>High</v>
      </c>
      <c r="AX131" s="22" t="str">
        <f>LQBucket(AA131,AK131,AD131,AC131)</f>
        <v>Medium</v>
      </c>
      <c r="AY131" s="45" t="str">
        <f>IF(OR(T131="Cash",T131="Cash Adjustments"), T131, _xll.BDP(R131&amp;" FIGI", $AY$1))</f>
        <v>Real Estate</v>
      </c>
      <c r="AZ131" s="45" t="str">
        <f>IF(OR(T131="Cash",T131="Cash Adjustments"), T131, _xll.BDP(R131&amp;" FIGI", $AZ$1))</f>
        <v>FINANCIAL</v>
      </c>
      <c r="BA131" s="45" t="str">
        <f>IF(OR(T131="Cash",T131="Cash Adjustments"), T131, _xll.BDP(R131&amp;" FIGI", $BA$1))</f>
        <v>#N/A Field Not Applicable</v>
      </c>
      <c r="BB131" s="45">
        <f>IF(OR(AS131="Government",AS131="Corporate"),(AK131*AB131/'SFC Report'!$C$20),"")</f>
        <v>7.6739475227019641E-2</v>
      </c>
      <c r="BC131" s="174" t="str">
        <f>IF(OR(T131="Cash",T131="Cash Adjustments", T131="FX Forward", T131="Repo", T131="Equity", T131="M-Mkt"), "", _xll.BDP(R131&amp;" FIGI", $BC$1))</f>
        <v>11/8/2022</v>
      </c>
      <c r="BD131" s="125">
        <f ca="1">IF(OR(T131="Cash",T131="Cash Adjustments",T131="FX Forward",T131="Repo", T131="Equity", T131="M-Mkt"),"",(BC131-'SFC Report'!$B$13)/365)</f>
        <v>2.526027397260274</v>
      </c>
      <c r="BE131" s="82" t="str">
        <f t="shared" ca="1" si="18"/>
        <v>2 - 3 yrs</v>
      </c>
      <c r="BF131" s="5">
        <f ca="1">IF(BC131="","",BD131*AB131/'SFC Report'!$C$20)</f>
        <v>2.7692288124975387E-2</v>
      </c>
      <c r="BG131" s="14" cm="1">
        <f t="array" ref="BG131">IF(OR(AS131="Corporate",AS131="Government"),_xll.BDP(G131&amp;" ISIN", $BG$1),"")</f>
        <v>2.2014058761845279</v>
      </c>
      <c r="BH131" s="140">
        <f>IF(OR(AS131="Corporate",AS131="Government"),BG131*BN131/'SFC Report'!$C$20,"")</f>
        <v>2.4133533100011151E-2</v>
      </c>
      <c r="BI131" s="140">
        <f>IF(OR(AS131="Corporate",AS131="Government"),_xll.BDP(G131&amp;" ISIN", $BI$1),"")</f>
        <v>7.2167792263130908</v>
      </c>
      <c r="BJ131" s="140">
        <f>IF(OR(AS131="Corporate",AS131="Government"),BI131*AB131/'SFC Report'!$C$20,"")</f>
        <v>7.9115978665217634E-2</v>
      </c>
      <c r="BK131" s="153" t="str">
        <f>IF(OR(T131="Cash",T131="Cash Adjustments"),"-",_xll.BDP(R131&amp;" FIGI",$BK$1))</f>
        <v>XS2078556342</v>
      </c>
      <c r="BL131" s="11" t="str">
        <f>IF(OR(AS131="Cash", AS131="Cash Adjustments"),"-",IF(ISNA(VLOOKUP(BK131,'BBG - VaR Data (Sample, Indus )'!C:N,5,0)),"-",VLOOKUP(BK131,'BBG - VaR Data (Sample, Indus )'!C:N,5,0)))</f>
        <v>-</v>
      </c>
      <c r="BM131" s="11">
        <f>IF(OR(AS131="Cash", AS131="Cash Adjustments"),"-",IF(ISNA(VLOOKUP(BK131,'BBG - Scenarios (Sample View)'!C:Z,14,0)),"-",VLOOKUP(BK131,'BBG - Scenarios (Sample View)'!C:Z,14,0)))</f>
        <v>-4.2</v>
      </c>
      <c r="BN131" s="14">
        <f>AB131</f>
        <v>6034248.5332817342</v>
      </c>
      <c r="BO131" s="1">
        <f t="shared" ref="BO131:BO132" si="25">BN131/SUM($BN$2:$BN$154)</f>
        <v>1.1837076831568139E-2</v>
      </c>
      <c r="BP131" t="str">
        <f>IF(BC131&lt;&gt;0,MaturityBucket(BG131),"")</f>
        <v>2 - 3 yrs</v>
      </c>
      <c r="BQ131" s="11" t="str">
        <f>IF(OR(T131="Cash",T131="Cash Adjustments"),T131,VLOOKUP(AL131,'SFC Classifcation'!$A:$C,2,0))</f>
        <v>China</v>
      </c>
      <c r="BR131" s="1" t="e">
        <f>IF(S131="Bond",BH131/'SFC Report'!$B$7,"")</f>
        <v>#VALUE!</v>
      </c>
      <c r="BS131" t="str">
        <f>IF(OR(T131="Cash",T131="Cash Adjustments"),"-",_xll.BDP(R131&amp;" FIGI",$BS$1))</f>
        <v>#N/A N/A</v>
      </c>
      <c r="BT131" t="str">
        <f>IF(OR(T131="Cash",T131="Cash Adjustments"),"-",_xll.BDP(R131&amp;" FIGI",$BT$1))</f>
        <v>11/4/2019</v>
      </c>
      <c r="BU131" t="str">
        <f>IF(OR(T131="Cash",T131="Cash Adjustments"),"-",_xll.BDP(R131&amp;" FIGI",$BU$1))</f>
        <v>#N/A N/A</v>
      </c>
    </row>
    <row r="132" spans="1:73">
      <c r="A132" s="254" t="s">
        <v>15</v>
      </c>
      <c r="B132" s="254" t="s">
        <v>25</v>
      </c>
      <c r="C132" s="254" t="s">
        <v>46</v>
      </c>
      <c r="D132" s="254" t="s">
        <v>22</v>
      </c>
      <c r="E132" s="254"/>
      <c r="F132" s="254" t="s">
        <v>1073</v>
      </c>
      <c r="G132" s="254" t="s">
        <v>1074</v>
      </c>
      <c r="H132" s="270">
        <v>1000000</v>
      </c>
      <c r="I132" s="270">
        <v>101.502</v>
      </c>
      <c r="J132" s="270">
        <v>1037500</v>
      </c>
      <c r="K132" s="270">
        <v>8118852.5</v>
      </c>
      <c r="L132" s="270">
        <v>-252244.5</v>
      </c>
      <c r="M132" s="270">
        <v>208232.8</v>
      </c>
      <c r="N132" s="270">
        <v>7866608</v>
      </c>
      <c r="O132" s="255">
        <v>1.6999999999999999E-3</v>
      </c>
      <c r="P132" s="1"/>
      <c r="Q132" s="1" t="str">
        <f t="shared" si="21"/>
        <v>Investments</v>
      </c>
      <c r="R132" s="1" t="str">
        <f>_xll.BDP(G132&amp;" ISIN",$R$1)</f>
        <v>BBG00N0J9QB8</v>
      </c>
      <c r="S132" s="1" t="str">
        <f>IF(Q132="Cash",Q132,IF(OR(Q132="Receivable Investments",Q132="Payable Investments"),"Cash Adjustments",_xll.BDP(R132&amp;" FIGI",$S$1)))</f>
        <v>BOND</v>
      </c>
      <c r="T132" s="1" t="str">
        <f>IF(Q132="Cash",Q132,IF(OR(Q132="Receivable Investments",Q132="Payable Investments"),"Cash Adjustments",VLOOKUP(R132,LQA!E:S,3,0)))</f>
        <v>Corp</v>
      </c>
      <c r="U132" s="1" t="str">
        <f>IF(Q132="Cash",Q132,IF(OR(Q132="Receivable Investments",Q132="Payable Investments"),"Cash Adjustments",_xll.BDP(R132&amp;" FIGI",$U$1)))</f>
        <v>#N/A Field Not Applicable</v>
      </c>
      <c r="V132" s="10">
        <f>IF(OR(Q132="Cash",Q132="Receivable Investments",Q132="Payable Investments"),0,IF(Q132="Investments",VLOOKUP(R132,LQA!E:Q,12,0),"Not Covered"))</f>
        <v>0.2</v>
      </c>
      <c r="W132" s="76">
        <f>IF(OR(Q132="Cash",Q132="Receivable Investments",Q132="Payable Investments"),0,IF(Q132="Investments",VLOOKUP(R132,LQA!E:Q,9,0),"Not Covered"))</f>
        <v>6.1929999999999997E-3</v>
      </c>
      <c r="X132" s="13" t="str">
        <f>IF(OR(H132=0,T132="Comdty"),"High",IF(V132&lt;='Liquidity Bucket'!$A$4,'Liquidity Bucket'!$I$4,IF(V132&lt;='Liquidity Bucket'!$A$5,'Liquidity Bucket'!$I$5,IF(V132&lt;='Liquidity Bucket'!$A$6,'Liquidity Bucket'!$I$6,IF(V132='Liquidity Bucket'!$A$8,'Liquidity Bucket'!$I$8,'Liquidity Bucket'!$I$7)))))</f>
        <v>High</v>
      </c>
      <c r="Y132" s="153">
        <f>IF(OR(Q132="Cash",Q132="Receivable Investments",Q132="Payable Investments"),0,IF(Q132="Investments",VLOOKUP(R132,'LQA Stress'!E:Q,12,0),"Not Covered"))</f>
        <v>0.6</v>
      </c>
      <c r="Z132" s="75">
        <f>IF(OR(Q132="Cash",Q132="Receivable Investments",Q132="Payable Investments"),0,IF(Q132="Investments",VLOOKUP(R132,'LQA Stress'!E:Q,9,0),"Not Covered"))</f>
        <v>1.6368000000000001E-2</v>
      </c>
      <c r="AA132" s="13" t="str">
        <f>IF(T132="Comdty","High",IF(Y132&lt;='Liquidity Bucket'!$A$4,'Liquidity Bucket'!$I$4,IF(Y132&lt;='Liquidity Bucket'!$A$5,'Liquidity Bucket'!$I$5,IF(Y132&lt;='Liquidity Bucket'!$A$6,'Liquidity Bucket'!$I$6,IF(Y132='Liquidity Bucket'!$A$8,'Liquidity Bucket'!$I$8,'Liquidity Bucket'!$I$7)))))</f>
        <v>High</v>
      </c>
      <c r="AB132" s="14">
        <f>(N132+M132)/'FX Rates'!$C$5</f>
        <v>1041646.1300309597</v>
      </c>
      <c r="AC132" s="15" t="str">
        <f>IF(X132="Not Covered", (H132/_xll.BDP(R132&amp;" FIGI",$AC$1)),"")</f>
        <v/>
      </c>
      <c r="AD132" s="16" t="str">
        <f>IF(X132="Not Covered", _xll.BDP(R132&amp;" FIGI",$AD$1),"")</f>
        <v/>
      </c>
      <c r="AE132" s="16" t="str">
        <f>IF(OR(T132="Corp",T132="Govt"),IF(_xll.BDP(R132&amp;" FIGI",$AE$1)="#N/A N/A","",_xll.BDP(R132&amp;" FIGI",$AE$1)),"")</f>
        <v>B</v>
      </c>
      <c r="AF132" s="1" t="str">
        <f>IF(OR(T132="Corp",T132="Govt"),IF(_xll.BDP(R132&amp;" FIGI",$AF$1)="#N/A N/A","",_xll.BDP(R132&amp;" FIGI",$AF$1)),"")</f>
        <v>B2</v>
      </c>
      <c r="AG132" s="16" t="str">
        <f>IF(OR(T132="Corp",T132="Govt"),IF(_xll.BDP(R132&amp;" FIGI",$AG$1)="#N/A N/A","",_xll.BDP(R132&amp;" FIGI",$AG$1)),"")</f>
        <v/>
      </c>
      <c r="AH132" s="125">
        <f>IF(OR(S132="Cash",S132="M-Mkt"),21,IF(AE132="",0,VLOOKUP(AE132,'Rating Scale'!A:B,2,0)))</f>
        <v>7</v>
      </c>
      <c r="AI132" s="125">
        <f>IF(OR(S132="Cash",S132="M-Mkt"),21,IF(AF132="",0,VLOOKUP(AF132,'Rating Scale'!D:E,2,0)))</f>
        <v>7</v>
      </c>
      <c r="AJ132" s="125">
        <f>IF(OR(S132="Cash",S132="M-Mkt"),21,IF(AG132="",0,VLOOKUP(AG132,'Rating Scale'!G:H,2,0)))</f>
        <v>0</v>
      </c>
      <c r="AK132">
        <f t="shared" si="19"/>
        <v>7</v>
      </c>
      <c r="AL132" s="1" t="str">
        <f>IF(OR(U132="Cash",U132="Cash Adjustments"),_xll.BDP(G132&amp;" Curncy","Country"),IF(T132="Equity",_xll.BDP(R132&amp;" FIGI","CNTRY_ISSUE_ISO"),_xll.BDP(R132&amp;" FIGI",$AL$1)))</f>
        <v>CN</v>
      </c>
      <c r="AM132" s="126" t="str">
        <f>IF(OR(T132="Cash",T132="Cash Adjustments",T132="M-Mkt"), T132, IF(T132="Comdty",AS132, _xll.BDP(R132&amp;" FIGI", $AM$1)))</f>
        <v>Financial</v>
      </c>
      <c r="AN132" s="126" t="str">
        <f>IF(OR(T132="Cash",T132="Cash Adjustments",T132="M-Mkt"), T132,  IF(T132="Comdty",AS132,_xll.BDP(R132&amp;" FIGI", $AN$1)))</f>
        <v>Real Estate</v>
      </c>
      <c r="AO132" s="126" t="str">
        <f>IF(OR(T132="Cash",T132="Cash Adjustments",T132="M-Mkt"), T132,  IF(T132="Comdty",AS132,_xll.BDP(R132&amp;" FIGI", $AO$1)))</f>
        <v>Real Estate Oper/Develop</v>
      </c>
      <c r="AP132" s="13" t="str">
        <f>IF(OR(T132="Cash",T132="Cash Adjustments"), T132, IF(_xll.BDP(R132&amp;" FIGI", $AP$1)="#N/A Field Not Applicable","N",_xll.BDP(R132&amp;" FIGI", $AP$1)))</f>
        <v>N</v>
      </c>
      <c r="AQ132" s="1" t="str">
        <f>IF(OR(T132="Cash",T132="Cash Adjustments"), T132, IF(_xll.BDP(R132&amp;" FIGI", $AQ$1)="#N/A Field Not Applicable"," ",_xll.BDP(R132&amp;" FIGI", $AQ$1)))</f>
        <v xml:space="preserve"> </v>
      </c>
      <c r="AR132" s="1" t="str">
        <f>IF(OR(T132="Cash",T132="Cash Adjustments"), T132, IF(_xll.BDP(R132&amp;" FIGI", $AR$1)="#N/A Field Not Applicable"," ",_xll.BDP(R132&amp;" FIGI", $AR$1)))</f>
        <v>ACTV</v>
      </c>
      <c r="AS132" s="1" t="str">
        <f>VLOOKUP(T132,'SFC Classifcation'!$F$2:$H$7,3,0)</f>
        <v>Corporate</v>
      </c>
      <c r="AT132" s="22" t="str">
        <f t="shared" si="22"/>
        <v>Financial</v>
      </c>
      <c r="AU132" s="1" t="str">
        <f t="shared" si="23"/>
        <v>Non-Investment Grade</v>
      </c>
      <c r="AV132" s="1" t="str">
        <f>IF(OR(T132="Cash",T132="Cash Adjustments"),T132,VLOOKUP(AL132,'SFC Classifcation'!$A:$C,3,0))</f>
        <v>China</v>
      </c>
      <c r="AW132" s="22" t="str">
        <f t="shared" si="24"/>
        <v>High</v>
      </c>
      <c r="AX132" s="22" t="str">
        <f t="shared" ref="AX132:AX148" si="26">LQBucket(AA132,AK132,AD132,AC132)</f>
        <v>High</v>
      </c>
      <c r="AY132" s="45" t="str">
        <f>IF(OR(T132="Cash",T132="Cash Adjustments"), T132, _xll.BDP(R132&amp;" FIGI", $AY$1))</f>
        <v>Real Estate</v>
      </c>
      <c r="AZ132" s="45" t="str">
        <f>IF(OR(T132="Cash",T132="Cash Adjustments"), T132, _xll.BDP(R132&amp;" FIGI", $AZ$1))</f>
        <v>FINANCIAL</v>
      </c>
      <c r="BA132" s="45" t="str">
        <f>IF(OR(T132="Cash",T132="Cash Adjustments"), T132, _xll.BDP(R132&amp;" FIGI", $BA$1))</f>
        <v>#N/A Field Not Applicable</v>
      </c>
      <c r="BB132" s="45">
        <f>IF(OR(AS132="Government",AS132="Corporate"),(AK132*AB132/'SFC Report'!$C$20),"")</f>
        <v>1.3246948141090032E-2</v>
      </c>
      <c r="BC132" s="174" t="str">
        <f>IF(OR(T132="Cash",T132="Cash Adjustments", T132="FX Forward", T132="Repo", T132="Equity", T132="M-Mkt"), "", _xll.BDP(R132&amp;" FIGI", $BC$1))</f>
        <v>1/14/2021</v>
      </c>
      <c r="BD132" s="125">
        <f ca="1">IF(OR(T132="Cash",T132="Cash Adjustments",T132="FX Forward",T132="Repo", T132="Equity", T132="M-Mkt"),"",(BC132-'SFC Report'!$B$13)/365)</f>
        <v>0.70958904109589038</v>
      </c>
      <c r="BE132" s="82" t="str">
        <f t="shared" ca="1" si="18"/>
        <v>0 - 1 yr</v>
      </c>
      <c r="BF132" s="5">
        <f ca="1">IF(BC132="","",BD132*AB132/'SFC Report'!$C$20)</f>
        <v>1.3428413184118661E-3</v>
      </c>
      <c r="BG132" s="14" cm="1">
        <f t="array" ref="BG132">IF(OR(AS132="Corporate",AS132="Government"),_xll.BDP(G132&amp;" ISIN", $BG$1),"")</f>
        <v>0.59177959683091907</v>
      </c>
      <c r="BH132" s="140">
        <f>IF(OR(AS132="Corporate",AS132="Government"),BG132*BN132/'SFC Report'!$C$20,"")</f>
        <v>1.1198962328820502E-3</v>
      </c>
      <c r="BI132" s="140">
        <f>IF(OR(AS132="Corporate",AS132="Government"),_xll.BDP(G132&amp;" ISIN", $BI$1),"")</f>
        <v>5.8422498367495788</v>
      </c>
      <c r="BJ132" s="140">
        <f>IF(OR(AS132="Corporate",AS132="Government"),BI132*AB132/'SFC Report'!$C$20,"")</f>
        <v>1.105599723067334E-2</v>
      </c>
      <c r="BK132" s="153" t="str">
        <f>IF(OR(T132="Cash",T132="Cash Adjustments"),"-",_xll.BDP(R132&amp;" FIGI",$BK$1))</f>
        <v>XS1932406314</v>
      </c>
      <c r="BL132" s="11" t="str">
        <f>IF(OR(AS132="Cash", AS132="Cash Adjustments"),"-",IF(ISNA(VLOOKUP(BK132,'BBG - VaR Data (Sample, Indus )'!C:N,5,0)),"-",VLOOKUP(BK132,'BBG - VaR Data (Sample, Indus )'!C:N,5,0)))</f>
        <v>-</v>
      </c>
      <c r="BM132" s="11">
        <f>IF(OR(AS132="Cash", AS132="Cash Adjustments"),"-",IF(ISNA(VLOOKUP(BK132,'BBG - Scenarios (Sample View)'!C:Z,14,0)),"-",VLOOKUP(BK132,'BBG - Scenarios (Sample View)'!C:Z,14,0)))</f>
        <v>-1.1100000000000001</v>
      </c>
      <c r="BN132" s="14">
        <f t="shared" ref="BN132:BN148" si="27">AB132</f>
        <v>1041646.1300309597</v>
      </c>
      <c r="BO132" s="1">
        <f t="shared" si="25"/>
        <v>2.0433439564969949E-3</v>
      </c>
      <c r="BP132" t="str">
        <f>IF(BC132&lt;&gt;0,MaturityBucket(BG132),"")</f>
        <v>0 - 1 yr</v>
      </c>
      <c r="BQ132" s="11" t="str">
        <f>IF(OR(T132="Cash",T132="Cash Adjustments"),T132,VLOOKUP(AL132,'SFC Classifcation'!$A:$C,2,0))</f>
        <v>China</v>
      </c>
      <c r="BR132" s="1" t="e">
        <f>IF(S132="Bond",BH132/'SFC Report'!$B$7,"")</f>
        <v>#VALUE!</v>
      </c>
      <c r="BS132" t="str">
        <f>IF(OR(T132="Cash",T132="Cash Adjustments"),"-",_xll.BDP(R132&amp;" FIGI",$BS$1))</f>
        <v>1/7/2019</v>
      </c>
      <c r="BT132" t="str">
        <f>IF(OR(T132="Cash",T132="Cash Adjustments"),"-",_xll.BDP(R132&amp;" FIGI",$BT$1))</f>
        <v>1/7/2019</v>
      </c>
      <c r="BU132" t="str">
        <f>IF(OR(T132="Cash",T132="Cash Adjustments"),"-",_xll.BDP(R132&amp;" FIGI",$BU$1))</f>
        <v>#N/A N/A</v>
      </c>
    </row>
    <row r="133" spans="1:73">
      <c r="A133" s="254" t="s">
        <v>15</v>
      </c>
      <c r="B133" s="254" t="s">
        <v>25</v>
      </c>
      <c r="C133" s="254" t="s">
        <v>46</v>
      </c>
      <c r="D133" s="254" t="s">
        <v>22</v>
      </c>
      <c r="E133" s="254"/>
      <c r="F133" s="254" t="s">
        <v>1950</v>
      </c>
      <c r="G133" s="254" t="s">
        <v>1951</v>
      </c>
      <c r="H133" s="270">
        <v>1000000</v>
      </c>
      <c r="I133" s="270">
        <v>108.045</v>
      </c>
      <c r="J133" s="270">
        <v>998100</v>
      </c>
      <c r="K133" s="270">
        <v>7737670.4400000004</v>
      </c>
      <c r="L133" s="270">
        <v>636033.15</v>
      </c>
      <c r="M133" s="270">
        <v>11302.38</v>
      </c>
      <c r="N133" s="270">
        <v>8373703.5899999999</v>
      </c>
      <c r="O133" s="255">
        <v>1.8E-3</v>
      </c>
      <c r="P133" s="1"/>
      <c r="Q133" s="1" t="str">
        <f t="shared" si="21"/>
        <v>Investments</v>
      </c>
      <c r="R133" s="1" t="str">
        <f>_xll.BDP(G133&amp;" ISIN",$R$1)</f>
        <v>BBG00T21B8F5</v>
      </c>
      <c r="S133" s="1" t="str">
        <f>IF(Q133="Cash",Q133,IF(OR(Q133="Receivable Investments",Q133="Payable Investments"),"Cash Adjustments",_xll.BDP(R133&amp;" FIGI",$S$1)))</f>
        <v>BOND</v>
      </c>
      <c r="T133" s="1" t="str">
        <f>IF(Q133="Cash",Q133,IF(OR(Q133="Receivable Investments",Q133="Payable Investments"),"Cash Adjustments",VLOOKUP(R133,LQA!E:S,3,0)))</f>
        <v>Govt</v>
      </c>
      <c r="U133" s="1" t="str">
        <f>IF(Q133="Cash",Q133,IF(OR(Q133="Receivable Investments",Q133="Payable Investments"),"Cash Adjustments",_xll.BDP(R133&amp;" FIGI",$U$1)))</f>
        <v>#N/A Field Not Applicable</v>
      </c>
      <c r="V133" s="10">
        <f>IF(OR(Q133="Cash",Q133="Receivable Investments",Q133="Payable Investments"),0,IF(Q133="Investments",VLOOKUP(R133,LQA!E:Q,12,0),"Not Covered"))</f>
        <v>0.3</v>
      </c>
      <c r="W133" s="76">
        <f>IF(OR(Q133="Cash",Q133="Receivable Investments",Q133="Payable Investments"),0,IF(Q133="Investments",VLOOKUP(R133,LQA!E:Q,9,0),"Not Covered"))</f>
        <v>1.3258000000000001E-2</v>
      </c>
      <c r="X133" s="13" t="str">
        <f>IF(OR(H133=0,T133="Comdty"),"High",IF(V133&lt;='Liquidity Bucket'!$A$4,'Liquidity Bucket'!$I$4,IF(V133&lt;='Liquidity Bucket'!$A$5,'Liquidity Bucket'!$I$5,IF(V133&lt;='Liquidity Bucket'!$A$6,'Liquidity Bucket'!$I$6,IF(V133='Liquidity Bucket'!$A$8,'Liquidity Bucket'!$I$8,'Liquidity Bucket'!$I$7)))))</f>
        <v>High</v>
      </c>
      <c r="Y133" s="153">
        <f>IF(OR(Q133="Cash",Q133="Receivable Investments",Q133="Payable Investments"),0,IF(Q133="Investments",VLOOKUP(R133,'LQA Stress'!E:Q,12,0),"Not Covered"))</f>
        <v>0.9</v>
      </c>
      <c r="Z133" s="75">
        <f>IF(OR(Q133="Cash",Q133="Receivable Investments",Q133="Payable Investments"),0,IF(Q133="Investments",VLOOKUP(R133,'LQA Stress'!E:Q,9,0),"Not Covered"))</f>
        <v>3.7246000000000001E-2</v>
      </c>
      <c r="AA133" s="13" t="str">
        <f>IF(T133="Comdty","High",IF(Y133&lt;='Liquidity Bucket'!$A$4,'Liquidity Bucket'!$I$4,IF(Y133&lt;='Liquidity Bucket'!$A$5,'Liquidity Bucket'!$I$5,IF(Y133&lt;='Liquidity Bucket'!$A$6,'Liquidity Bucket'!$I$6,IF(Y133='Liquidity Bucket'!$A$8,'Liquidity Bucket'!$I$8,'Liquidity Bucket'!$I$7)))))</f>
        <v>High</v>
      </c>
      <c r="AB133" s="14">
        <f>(N133+M133)/'FX Rates'!$C$5</f>
        <v>1081657.116873065</v>
      </c>
      <c r="AC133" s="15" t="str">
        <f>IF(X133="Not Covered", (H133/_xll.BDP(R133&amp;" FIGI",$AC$1)),"")</f>
        <v/>
      </c>
      <c r="AD133" s="16" t="str">
        <f>IF(X133="Not Covered", _xll.BDP(R133&amp;" FIGI",$AD$1),"")</f>
        <v/>
      </c>
      <c r="AE133" s="16" t="str">
        <f>IF(OR(T133="Corp",T133="Govt"),IF(_xll.BDP(R133&amp;" FIGI",$AE$1)="#N/A N/A","",_xll.BDP(R133&amp;" FIGI",$AE$1)),"")</f>
        <v>AA-</v>
      </c>
      <c r="AF133" s="1" t="str">
        <f>IF(OR(T133="Corp",T133="Govt"),IF(_xll.BDP(R133&amp;" FIGI",$AF$1)="#N/A N/A","",_xll.BDP(R133&amp;" FIGI",$AF$1)),"")</f>
        <v>Aa3</v>
      </c>
      <c r="AG133" s="16" t="str">
        <f>IF(OR(T133="Corp",T133="Govt"),IF(_xll.BDP(R133&amp;" FIGI",$AG$1)="#N/A N/A","",_xll.BDP(R133&amp;" FIGI",$AG$1)),"")</f>
        <v>AA-</v>
      </c>
      <c r="AH133" s="125">
        <f>IF(OR(S133="Cash",S133="M-Mkt"),21,IF(AE133="",0,VLOOKUP(AE133,'Rating Scale'!A:B,2,0)))</f>
        <v>18</v>
      </c>
      <c r="AI133" s="125">
        <f>IF(OR(S133="Cash",S133="M-Mkt"),21,IF(AF133="",0,VLOOKUP(AF133,'Rating Scale'!D:E,2,0)))</f>
        <v>18</v>
      </c>
      <c r="AJ133" s="125">
        <f>IF(OR(S133="Cash",S133="M-Mkt"),21,IF(AG133="",0,VLOOKUP(AG133,'Rating Scale'!G:H,2,0)))</f>
        <v>18</v>
      </c>
      <c r="AK133">
        <f t="shared" si="19"/>
        <v>18</v>
      </c>
      <c r="AL133" s="1" t="str">
        <f>IF(OR(U133="Cash",U133="Cash Adjustments"),_xll.BDP(G133&amp;" Curncy","Country"),IF(T133="Equity",_xll.BDP(R133&amp;" FIGI","CNTRY_ISSUE_ISO"),_xll.BDP(R133&amp;" FIGI",$AL$1)))</f>
        <v>QA</v>
      </c>
      <c r="AM133" s="126" t="str">
        <f>IF(OR(T133="Cash",T133="Cash Adjustments",T133="M-Mkt"), T133, IF(T133="Comdty",AS133, _xll.BDP(R133&amp;" FIGI", $AM$1)))</f>
        <v>Government</v>
      </c>
      <c r="AN133" s="126" t="str">
        <f>IF(OR(T133="Cash",T133="Cash Adjustments",T133="M-Mkt"), T133,  IF(T133="Comdty",AS133,_xll.BDP(R133&amp;" FIGI", $AN$1)))</f>
        <v>Sovereign</v>
      </c>
      <c r="AO133" s="126" t="str">
        <f>IF(OR(T133="Cash",T133="Cash Adjustments",T133="M-Mkt"), T133,  IF(T133="Comdty",AS133,_xll.BDP(R133&amp;" FIGI", $AO$1)))</f>
        <v>Sovereign</v>
      </c>
      <c r="AP133" s="13" t="str">
        <f>IF(OR(T133="Cash",T133="Cash Adjustments"), T133, IF(_xll.BDP(R133&amp;" FIGI", $AP$1)="#N/A Field Not Applicable","N",_xll.BDP(R133&amp;" FIGI", $AP$1)))</f>
        <v>N</v>
      </c>
      <c r="AQ133" s="1" t="str">
        <f>IF(OR(T133="Cash",T133="Cash Adjustments"), T133, IF(_xll.BDP(R133&amp;" FIGI", $AQ$1)="#N/A Field Not Applicable"," ",_xll.BDP(R133&amp;" FIGI", $AQ$1)))</f>
        <v xml:space="preserve"> </v>
      </c>
      <c r="AR133" s="1" t="str">
        <f>IF(OR(T133="Cash",T133="Cash Adjustments"), T133, IF(_xll.BDP(R133&amp;" FIGI", $AR$1)="#N/A Field Not Applicable"," ",_xll.BDP(R133&amp;" FIGI", $AR$1)))</f>
        <v>ACTV</v>
      </c>
      <c r="AS133" s="1" t="str">
        <f>VLOOKUP(T133,'SFC Classifcation'!$F$2:$H$7,3,0)</f>
        <v>Government</v>
      </c>
      <c r="AT133" s="22" t="str">
        <f t="shared" si="22"/>
        <v>Non-Financial</v>
      </c>
      <c r="AU133" s="1" t="str">
        <f t="shared" si="23"/>
        <v>Investment Grade</v>
      </c>
      <c r="AV133" s="1" t="str">
        <f>IF(OR(T133="Cash",T133="Cash Adjustments"),T133,VLOOKUP(AL133,'SFC Classifcation'!$A:$C,3,0))</f>
        <v>Qatar</v>
      </c>
      <c r="AW133" s="22" t="str">
        <f t="shared" si="24"/>
        <v>High</v>
      </c>
      <c r="AX133" s="22" t="str">
        <f t="shared" si="26"/>
        <v>High</v>
      </c>
      <c r="AY133" s="45" t="str">
        <f>IF(OR(T133="Cash",T133="Cash Adjustments"), T133, _xll.BDP(R133&amp;" FIGI", $AY$1))</f>
        <v>#N/A Field Not Applicable</v>
      </c>
      <c r="AZ133" s="45" t="str">
        <f>IF(OR(T133="Cash",T133="Cash Adjustments"), T133, _xll.BDP(R133&amp;" FIGI", $AZ$1))</f>
        <v>GOVT NATIONAL</v>
      </c>
      <c r="BA133" s="45" t="str">
        <f>IF(OR(T133="Cash",T133="Cash Adjustments"), T133, _xll.BDP(R133&amp;" FIGI", $BA$1))</f>
        <v>#N/A Field Not Applicable</v>
      </c>
      <c r="BB133" s="45">
        <f>IF(OR(AS133="Government",AS133="Corporate"),(AK133*AB133/'SFC Report'!$C$20),"")</f>
        <v>3.5372007519096769E-2</v>
      </c>
      <c r="BC133" s="174" t="str">
        <f>IF(OR(T133="Cash",T133="Cash Adjustments", T133="FX Forward", T133="Repo", T133="Equity", T133="M-Mkt"), "", _xll.BDP(R133&amp;" FIGI", $BC$1))</f>
        <v>4/16/2030</v>
      </c>
      <c r="BD133" s="125">
        <f ca="1">IF(OR(T133="Cash",T133="Cash Adjustments",T133="FX Forward",T133="Repo", T133="Equity", T133="M-Mkt"),"",(BC133-'SFC Report'!$B$13)/365)</f>
        <v>9.9671232876712335</v>
      </c>
      <c r="BE133" s="82" t="str">
        <f t="shared" ca="1" si="18"/>
        <v>7 - 10 yrs</v>
      </c>
      <c r="BF133" s="5">
        <f ca="1">IF(BC133="","",BD133*AB133/'SFC Report'!$C$20)</f>
        <v>1.9586508881959522E-2</v>
      </c>
      <c r="BG133" s="14" cm="1">
        <f t="array" ref="BG133">IF(OR(AS133="Corporate",AS133="Government"),_xll.BDP(G133&amp;" ISIN", $BG$1),"")</f>
        <v>8.3207219210710548</v>
      </c>
      <c r="BH133" s="140">
        <f>IF(OR(AS133="Corporate",AS133="Government"),BG133*BN133/'SFC Report'!$C$20,"")</f>
        <v>1.6351146575357703E-2</v>
      </c>
      <c r="BI133" s="140">
        <f>IF(OR(AS133="Corporate",AS133="Government"),_xll.BDP(G133&amp;" ISIN", $BI$1),"")</f>
        <v>2.3964029590415943</v>
      </c>
      <c r="BJ133" s="140">
        <f>IF(OR(AS133="Corporate",AS133="Government"),BI133*AB133/'SFC Report'!$C$20,"")</f>
        <v>4.7091990825558353E-3</v>
      </c>
      <c r="BK133" s="153" t="str">
        <f>IF(OR(T133="Cash",T133="Cash Adjustments"),"-",_xll.BDP(R133&amp;" FIGI",$BK$1))</f>
        <v>XS2155352664</v>
      </c>
      <c r="BL133" s="11" t="str">
        <f>IF(OR(AS133="Cash", AS133="Cash Adjustments"),"-",IF(ISNA(VLOOKUP(BK133,'BBG - VaR Data (Sample, Indus )'!C:N,5,0)),"-",VLOOKUP(BK133,'BBG - VaR Data (Sample, Indus )'!C:N,5,0)))</f>
        <v>-</v>
      </c>
      <c r="BM133" s="11">
        <f>IF(OR(AS133="Cash", AS133="Cash Adjustments"),"-",IF(ISNA(VLOOKUP(BK133,'BBG - Scenarios (Sample View)'!C:Z,14,0)),"-",VLOOKUP(BK133,'BBG - Scenarios (Sample View)'!C:Z,14,0)))</f>
        <v>-5.65</v>
      </c>
      <c r="BN133" s="14">
        <f t="shared" si="27"/>
        <v>1081657.116873065</v>
      </c>
      <c r="BO133" s="1">
        <f>BN133/SUM($BN$2:$BN$154)</f>
        <v>2.1218314637225693E-3</v>
      </c>
      <c r="BP133" t="str">
        <f>IF(BC133&lt;&gt;0,MaturityBucket(BG133),"")</f>
        <v>7 - 10 yrs</v>
      </c>
      <c r="BQ133" s="11" t="str">
        <f>IF(OR(T133="Cash",T133="Cash Adjustments"),T133,VLOOKUP(AL133,'SFC Classifcation'!$A:$C,2,0))</f>
        <v>Qatar</v>
      </c>
      <c r="BR133" s="1" t="e">
        <f>IF(S133="Bond",BH133/'SFC Report'!$B$7,"")</f>
        <v>#VALUE!</v>
      </c>
      <c r="BS133" t="str">
        <f>IF(OR(T133="Cash",T133="Cash Adjustments"),"-",_xll.BDP(R133&amp;" FIGI",$BS$1))</f>
        <v>4/9/2020</v>
      </c>
      <c r="BT133" t="str">
        <f>IF(OR(T133="Cash",T133="Cash Adjustments"),"-",_xll.BDP(R133&amp;" FIGI",$BT$1))</f>
        <v>4/7/2020</v>
      </c>
      <c r="BU133" t="str">
        <f>IF(OR(T133="Cash",T133="Cash Adjustments"),"-",_xll.BDP(R133&amp;" FIGI",$BU$1))</f>
        <v>4/9/2020</v>
      </c>
    </row>
    <row r="134" spans="1:73">
      <c r="A134" s="254" t="s">
        <v>15</v>
      </c>
      <c r="B134" s="254" t="s">
        <v>25</v>
      </c>
      <c r="C134" s="254" t="s">
        <v>46</v>
      </c>
      <c r="D134" s="254" t="s">
        <v>22</v>
      </c>
      <c r="E134" s="254"/>
      <c r="F134" s="254" t="s">
        <v>1127</v>
      </c>
      <c r="G134" s="254" t="s">
        <v>1119</v>
      </c>
      <c r="H134" s="270">
        <v>3700000</v>
      </c>
      <c r="I134" s="270">
        <v>97.903999999999996</v>
      </c>
      <c r="J134" s="270">
        <v>3812161</v>
      </c>
      <c r="K134" s="270">
        <v>29691192.649999999</v>
      </c>
      <c r="L134" s="270">
        <v>-1616496.16</v>
      </c>
      <c r="M134" s="270">
        <v>512977.13</v>
      </c>
      <c r="N134" s="270">
        <v>28074696.489999998</v>
      </c>
      <c r="O134" s="255">
        <v>6.1999999999999998E-3</v>
      </c>
      <c r="P134" s="1"/>
      <c r="Q134" s="1" t="str">
        <f t="shared" si="21"/>
        <v>Investments</v>
      </c>
      <c r="R134" s="1" t="str">
        <f>_xll.BDP(G134&amp;" ISIN",$R$1)</f>
        <v>BBG00NG9L0S8</v>
      </c>
      <c r="S134" s="1" t="str">
        <f>IF(Q134="Cash",Q134,IF(OR(Q134="Receivable Investments",Q134="Payable Investments"),"Cash Adjustments",_xll.BDP(R134&amp;" FIGI",$S$1)))</f>
        <v>BOND</v>
      </c>
      <c r="T134" s="1" t="str">
        <f>IF(Q134="Cash",Q134,IF(OR(Q134="Receivable Investments",Q134="Payable Investments"),"Cash Adjustments",VLOOKUP(R134,LQA!E:S,3,0)))</f>
        <v>Corp</v>
      </c>
      <c r="U134" s="1" t="str">
        <f>IF(Q134="Cash",Q134,IF(OR(Q134="Receivable Investments",Q134="Payable Investments"),"Cash Adjustments",_xll.BDP(R134&amp;" FIGI",$U$1)))</f>
        <v>#N/A Field Not Applicable</v>
      </c>
      <c r="V134" s="10">
        <f>IF(OR(Q134="Cash",Q134="Receivable Investments",Q134="Payable Investments"),0,IF(Q134="Investments",VLOOKUP(R134,LQA!E:Q,12,0),"Not Covered"))</f>
        <v>0.3</v>
      </c>
      <c r="W134" s="76">
        <f>IF(OR(Q134="Cash",Q134="Receivable Investments",Q134="Payable Investments"),0,IF(Q134="Investments",VLOOKUP(R134,LQA!E:Q,9,0),"Not Covered"))</f>
        <v>4.1050000000000001E-3</v>
      </c>
      <c r="X134" s="13" t="str">
        <f>IF(OR(H134=0,T134="Comdty"),"High",IF(V134&lt;='Liquidity Bucket'!$A$4,'Liquidity Bucket'!$I$4,IF(V134&lt;='Liquidity Bucket'!$A$5,'Liquidity Bucket'!$I$5,IF(V134&lt;='Liquidity Bucket'!$A$6,'Liquidity Bucket'!$I$6,IF(V134='Liquidity Bucket'!$A$8,'Liquidity Bucket'!$I$8,'Liquidity Bucket'!$I$7)))))</f>
        <v>High</v>
      </c>
      <c r="Y134" s="153">
        <f>IF(OR(Q134="Cash",Q134="Receivable Investments",Q134="Payable Investments"),0,IF(Q134="Investments",VLOOKUP(R134,'LQA Stress'!E:Q,12,0),"Not Covered"))</f>
        <v>2</v>
      </c>
      <c r="Z134" s="75">
        <f>IF(OR(Q134="Cash",Q134="Receivable Investments",Q134="Payable Investments"),0,IF(Q134="Investments",VLOOKUP(R134,'LQA Stress'!E:Q,9,0),"Not Covered"))</f>
        <v>1.0042000000000001E-2</v>
      </c>
      <c r="AA134" s="13" t="str">
        <f>IF(T134="Comdty","High",IF(Y134&lt;='Liquidity Bucket'!$A$4,'Liquidity Bucket'!$I$4,IF(Y134&lt;='Liquidity Bucket'!$A$5,'Liquidity Bucket'!$I$5,IF(Y134&lt;='Liquidity Bucket'!$A$6,'Liquidity Bucket'!$I$6,IF(Y134='Liquidity Bucket'!$A$8,'Liquidity Bucket'!$I$8,'Liquidity Bucket'!$I$7)))))</f>
        <v>High</v>
      </c>
      <c r="AB134" s="14">
        <f>(N134+M134)/'FX Rates'!$C$5</f>
        <v>3687780.3947368418</v>
      </c>
      <c r="AC134" s="15" t="str">
        <f>IF(X134="Not Covered", (H134/_xll.BDP(R134&amp;" FIGI",$AC$1)),"")</f>
        <v/>
      </c>
      <c r="AD134" s="16" t="str">
        <f>IF(X134="Not Covered", _xll.BDP(R134&amp;" FIGI",$AD$1),"")</f>
        <v/>
      </c>
      <c r="AE134" s="16" t="str">
        <f>IF(OR(T134="Corp",T134="Govt"),IF(_xll.BDP(R134&amp;" FIGI",$AE$1)="#N/A N/A","",_xll.BDP(R134&amp;" FIGI",$AE$1)),"")</f>
        <v/>
      </c>
      <c r="AF134" s="1" t="str">
        <f>IF(OR(T134="Corp",T134="Govt"),IF(_xll.BDP(R134&amp;" FIGI",$AF$1)="#N/A N/A","",_xll.BDP(R134&amp;" FIGI",$AF$1)),"")</f>
        <v/>
      </c>
      <c r="AG134" s="16" t="str">
        <f>IF(OR(T134="Corp",T134="Govt"),IF(_xll.BDP(R134&amp;" FIGI",$AG$1)="#N/A N/A","",_xll.BDP(R134&amp;" FIGI",$AG$1)),"")</f>
        <v>B+</v>
      </c>
      <c r="AH134" s="125">
        <f>IF(OR(S134="Cash",S134="M-Mkt"),21,IF(AE134="",0,VLOOKUP(AE134,'Rating Scale'!A:B,2,0)))</f>
        <v>0</v>
      </c>
      <c r="AI134" s="125">
        <f>IF(OR(S134="Cash",S134="M-Mkt"),21,IF(AF134="",0,VLOOKUP(AF134,'Rating Scale'!D:E,2,0)))</f>
        <v>0</v>
      </c>
      <c r="AJ134" s="125">
        <f>IF(OR(S134="Cash",S134="M-Mkt"),21,IF(AG134="",0,VLOOKUP(AG134,'Rating Scale'!G:H,2,0)))</f>
        <v>8</v>
      </c>
      <c r="AK134">
        <f t="shared" si="19"/>
        <v>8</v>
      </c>
      <c r="AL134" s="1" t="str">
        <f>IF(OR(U134="Cash",U134="Cash Adjustments"),_xll.BDP(G134&amp;" Curncy","Country"),IF(T134="Equity",_xll.BDP(R134&amp;" FIGI","CNTRY_ISSUE_ISO"),_xll.BDP(R134&amp;" FIGI",$AL$1)))</f>
        <v>CN</v>
      </c>
      <c r="AM134" s="126" t="str">
        <f>IF(OR(T134="Cash",T134="Cash Adjustments",T134="M-Mkt"), T134, IF(T134="Comdty",AS134, _xll.BDP(R134&amp;" FIGI", $AM$1)))</f>
        <v>Financial</v>
      </c>
      <c r="AN134" s="126" t="str">
        <f>IF(OR(T134="Cash",T134="Cash Adjustments",T134="M-Mkt"), T134,  IF(T134="Comdty",AS134,_xll.BDP(R134&amp;" FIGI", $AN$1)))</f>
        <v>Real Estate</v>
      </c>
      <c r="AO134" s="126" t="str">
        <f>IF(OR(T134="Cash",T134="Cash Adjustments",T134="M-Mkt"), T134,  IF(T134="Comdty",AS134,_xll.BDP(R134&amp;" FIGI", $AO$1)))</f>
        <v>Real Estate Oper/Develop</v>
      </c>
      <c r="AP134" s="13" t="str">
        <f>IF(OR(T134="Cash",T134="Cash Adjustments"), T134, IF(_xll.BDP(R134&amp;" FIGI", $AP$1)="#N/A Field Not Applicable","N",_xll.BDP(R134&amp;" FIGI", $AP$1)))</f>
        <v>N</v>
      </c>
      <c r="AQ134" s="1" t="str">
        <f>IF(OR(T134="Cash",T134="Cash Adjustments"), T134, IF(_xll.BDP(R134&amp;" FIGI", $AQ$1)="#N/A Field Not Applicable"," ",_xll.BDP(R134&amp;" FIGI", $AQ$1)))</f>
        <v xml:space="preserve"> </v>
      </c>
      <c r="AR134" s="1" t="str">
        <f>IF(OR(T134="Cash",T134="Cash Adjustments"), T134, IF(_xll.BDP(R134&amp;" FIGI", $AR$1)="#N/A Field Not Applicable"," ",_xll.BDP(R134&amp;" FIGI", $AR$1)))</f>
        <v>ACTV</v>
      </c>
      <c r="AS134" s="1" t="str">
        <f>VLOOKUP(T134,'SFC Classifcation'!$F$2:$H$7,3,0)</f>
        <v>Corporate</v>
      </c>
      <c r="AT134" s="22" t="str">
        <f t="shared" si="22"/>
        <v>Financial</v>
      </c>
      <c r="AU134" s="1" t="str">
        <f t="shared" si="23"/>
        <v>Non-Investment Grade</v>
      </c>
      <c r="AV134" s="1" t="str">
        <f>IF(OR(T134="Cash",T134="Cash Adjustments"),T134,VLOOKUP(AL134,'SFC Classifcation'!$A:$C,3,0))</f>
        <v>China</v>
      </c>
      <c r="AW134" s="22" t="str">
        <f t="shared" si="24"/>
        <v>High</v>
      </c>
      <c r="AX134" s="22" t="str">
        <f t="shared" si="26"/>
        <v>High</v>
      </c>
      <c r="AY134" s="45" t="str">
        <f>IF(OR(T134="Cash",T134="Cash Adjustments"), T134, _xll.BDP(R134&amp;" FIGI", $AY$1))</f>
        <v>Real Estate</v>
      </c>
      <c r="AZ134" s="45" t="str">
        <f>IF(OR(T134="Cash",T134="Cash Adjustments"), T134, _xll.BDP(R134&amp;" FIGI", $AZ$1))</f>
        <v>FINANCIAL</v>
      </c>
      <c r="BA134" s="45" t="str">
        <f>IF(OR(T134="Cash",T134="Cash Adjustments"), T134, _xll.BDP(R134&amp;" FIGI", $BA$1))</f>
        <v>#N/A Field Not Applicable</v>
      </c>
      <c r="BB134" s="45">
        <f>IF(OR(AS134="Government",AS134="Corporate"),(AK134*AB134/'SFC Report'!$C$20),"")</f>
        <v>5.3598499239556521E-2</v>
      </c>
      <c r="BC134" s="174" t="str">
        <f>IF(OR(T134="Cash",T134="Cash Adjustments", T134="FX Forward", T134="Repo", T134="Equity", T134="M-Mkt"), "", _xll.BDP(R134&amp;" FIGI", $BC$1))</f>
        <v>3/4/2021</v>
      </c>
      <c r="BD134" s="125">
        <f ca="1">IF(OR(T134="Cash",T134="Cash Adjustments",T134="FX Forward",T134="Repo", T134="Equity", T134="M-Mkt"),"",(BC134-'SFC Report'!$B$13)/365)</f>
        <v>0.84383561643835614</v>
      </c>
      <c r="BE134" s="82" t="str">
        <f t="shared" ca="1" si="18"/>
        <v>0 - 1 yr</v>
      </c>
      <c r="BF134" s="5">
        <f ca="1">IF(BC134="","",BD134*AB134/'SFC Report'!$C$20)</f>
        <v>5.6535403307477429E-3</v>
      </c>
      <c r="BG134" s="14" cm="1">
        <f t="array" ref="BG134">IF(OR(AS134="Corporate",AS134="Government"),_xll.BDP(G134&amp;" ISIN", $BG$1),"")</f>
        <v>0.70072481877748627</v>
      </c>
      <c r="BH134" s="140">
        <f>IF(OR(AS134="Corporate",AS134="Government"),BG134*BN134/'SFC Report'!$C$20,"")</f>
        <v>4.6947248332979349E-3</v>
      </c>
      <c r="BI134" s="140">
        <f>IF(OR(AS134="Corporate",AS134="Government"),_xll.BDP(G134&amp;" ISIN", $BI$1),"")</f>
        <v>11.842381444467248</v>
      </c>
      <c r="BJ134" s="140">
        <f>IF(OR(AS134="Corporate",AS134="Government"),BI134*AB134/'SFC Report'!$C$20,"")</f>
        <v>7.9341734105727021E-2</v>
      </c>
      <c r="BK134" s="153" t="str">
        <f>IF(OR(T134="Cash",T134="Cash Adjustments"),"-",_xll.BDP(R134&amp;" FIGI",$BK$1))</f>
        <v>XS1958110089</v>
      </c>
      <c r="BL134" s="11" t="str">
        <f>IF(OR(AS134="Cash", AS134="Cash Adjustments"),"-",IF(ISNA(VLOOKUP(BK134,'BBG - VaR Data (Sample, Indus )'!C:N,5,0)),"-",VLOOKUP(BK134,'BBG - VaR Data (Sample, Indus )'!C:N,5,0)))</f>
        <v>-</v>
      </c>
      <c r="BM134" s="11">
        <f>IF(OR(AS134="Cash", AS134="Cash Adjustments"),"-",IF(ISNA(VLOOKUP(BK134,'BBG - Scenarios (Sample View)'!C:Z,14,0)),"-",VLOOKUP(BK134,'BBG - Scenarios (Sample View)'!C:Z,14,0)))</f>
        <v>-2.41</v>
      </c>
      <c r="BN134" s="14">
        <f t="shared" si="27"/>
        <v>3687780.3947368418</v>
      </c>
      <c r="BO134" s="168">
        <f>BN134/SUM($BN$2:$BN$154)</f>
        <v>7.2341302532844447E-3</v>
      </c>
      <c r="BP134" t="str">
        <f>IF(BC134&lt;&gt;0,MaturityBucket(BG134),"")</f>
        <v>0 - 1 yr</v>
      </c>
      <c r="BQ134" s="11" t="str">
        <f>IF(OR(T134="Cash",T134="Cash Adjustments"),T134,VLOOKUP(AL134,'SFC Classifcation'!$A:$C,2,0))</f>
        <v>China</v>
      </c>
      <c r="BR134" s="1" t="e">
        <f>IF(S134="Bond",BH134/'SFC Report'!$B$7,"")</f>
        <v>#VALUE!</v>
      </c>
      <c r="BS134" t="str">
        <f>IF(OR(T134="Cash",T134="Cash Adjustments"),"-",_xll.BDP(R134&amp;" FIGI",$BS$1))</f>
        <v>#N/A N/A</v>
      </c>
      <c r="BT134" t="str">
        <f>IF(OR(T134="Cash",T134="Cash Adjustments"),"-",_xll.BDP(R134&amp;" FIGI",$BT$1))</f>
        <v>#N/A N/A</v>
      </c>
      <c r="BU134" t="str">
        <f>IF(OR(T134="Cash",T134="Cash Adjustments"),"-",_xll.BDP(R134&amp;" FIGI",$BU$1))</f>
        <v>10/16/2019</v>
      </c>
    </row>
    <row r="135" spans="1:73">
      <c r="A135" s="254" t="s">
        <v>15</v>
      </c>
      <c r="B135" s="254" t="s">
        <v>25</v>
      </c>
      <c r="C135" s="254" t="s">
        <v>46</v>
      </c>
      <c r="D135" s="254" t="s">
        <v>22</v>
      </c>
      <c r="E135" s="254"/>
      <c r="F135" s="254" t="s">
        <v>1128</v>
      </c>
      <c r="G135" s="254" t="s">
        <v>1121</v>
      </c>
      <c r="H135" s="270">
        <v>1100000</v>
      </c>
      <c r="I135" s="270">
        <v>99.68</v>
      </c>
      <c r="J135" s="270">
        <v>1155000</v>
      </c>
      <c r="K135" s="270">
        <v>9014775</v>
      </c>
      <c r="L135" s="270">
        <v>-516835.7</v>
      </c>
      <c r="M135" s="270">
        <v>469952.75</v>
      </c>
      <c r="N135" s="270">
        <v>8497939.3000000007</v>
      </c>
      <c r="O135" s="255">
        <v>1.9E-3</v>
      </c>
      <c r="P135" s="1"/>
      <c r="Q135" s="1" t="str">
        <f t="shared" si="21"/>
        <v>Investments</v>
      </c>
      <c r="R135" s="1" t="str">
        <f>_xll.BDP(G135&amp;" ISIN",$R$1)</f>
        <v>BBG00MNWHQT8</v>
      </c>
      <c r="S135" s="1" t="str">
        <f>IF(Q135="Cash",Q135,IF(OR(Q135="Receivable Investments",Q135="Payable Investments"),"Cash Adjustments",_xll.BDP(R135&amp;" FIGI",$S$1)))</f>
        <v>BOND</v>
      </c>
      <c r="T135" s="1" t="str">
        <f>IF(Q135="Cash",Q135,IF(OR(Q135="Receivable Investments",Q135="Payable Investments"),"Cash Adjustments",VLOOKUP(R135,LQA!E:S,3,0)))</f>
        <v>Corp</v>
      </c>
      <c r="U135" s="1" t="str">
        <f>IF(Q135="Cash",Q135,IF(OR(Q135="Receivable Investments",Q135="Payable Investments"),"Cash Adjustments",_xll.BDP(R135&amp;" FIGI",$U$1)))</f>
        <v>#N/A Field Not Applicable</v>
      </c>
      <c r="V135" s="10">
        <f>IF(OR(Q135="Cash",Q135="Receivable Investments",Q135="Payable Investments"),0,IF(Q135="Investments",VLOOKUP(R135,LQA!E:Q,12,0),"Not Covered"))</f>
        <v>0.3</v>
      </c>
      <c r="W135" s="76">
        <f>IF(OR(Q135="Cash",Q135="Receivable Investments",Q135="Payable Investments"),0,IF(Q135="Investments",VLOOKUP(R135,LQA!E:Q,9,0),"Not Covered"))</f>
        <v>6.9179999999999997E-3</v>
      </c>
      <c r="X135" s="13" t="str">
        <f>IF(OR(H135=0,T135="Comdty"),"High",IF(V135&lt;='Liquidity Bucket'!$A$4,'Liquidity Bucket'!$I$4,IF(V135&lt;='Liquidity Bucket'!$A$5,'Liquidity Bucket'!$I$5,IF(V135&lt;='Liquidity Bucket'!$A$6,'Liquidity Bucket'!$I$6,IF(V135='Liquidity Bucket'!$A$8,'Liquidity Bucket'!$I$8,'Liquidity Bucket'!$I$7)))))</f>
        <v>High</v>
      </c>
      <c r="Y135" s="153">
        <f>IF(OR(Q135="Cash",Q135="Receivable Investments",Q135="Payable Investments"),0,IF(Q135="Investments",VLOOKUP(R135,'LQA Stress'!E:Q,12,0),"Not Covered"))</f>
        <v>1.9</v>
      </c>
      <c r="Z135" s="75">
        <f>IF(OR(Q135="Cash",Q135="Receivable Investments",Q135="Payable Investments"),0,IF(Q135="Investments",VLOOKUP(R135,'LQA Stress'!E:Q,9,0),"Not Covered"))</f>
        <v>1.7519E-2</v>
      </c>
      <c r="AA135" s="13" t="str">
        <f>IF(T135="Comdty","High",IF(Y135&lt;='Liquidity Bucket'!$A$4,'Liquidity Bucket'!$I$4,IF(Y135&lt;='Liquidity Bucket'!$A$5,'Liquidity Bucket'!$I$5,IF(Y135&lt;='Liquidity Bucket'!$A$6,'Liquidity Bucket'!$I$6,IF(Y135='Liquidity Bucket'!$A$8,'Liquidity Bucket'!$I$8,'Liquidity Bucket'!$I$7)))))</f>
        <v>High</v>
      </c>
      <c r="AB135" s="14">
        <f>(N135+M135)/'FX Rates'!$C$5</f>
        <v>1156848.8196594429</v>
      </c>
      <c r="AC135" s="15" t="str">
        <f>IF(X135="Not Covered", (H135/_xll.BDP(R135&amp;" FIGI",$AC$1)),"")</f>
        <v/>
      </c>
      <c r="AD135" s="16" t="str">
        <f>IF(X135="Not Covered", _xll.BDP(R135&amp;" FIGI",$AD$1),"")</f>
        <v/>
      </c>
      <c r="AE135" s="16" t="str">
        <f>IF(OR(T135="Corp",T135="Govt"),IF(_xll.BDP(R135&amp;" FIGI",$AE$1)="#N/A N/A","",_xll.BDP(R135&amp;" FIGI",$AE$1)),"")</f>
        <v/>
      </c>
      <c r="AF135" s="1" t="str">
        <f>IF(OR(T135="Corp",T135="Govt"),IF(_xll.BDP(R135&amp;" FIGI",$AF$1)="#N/A N/A","",_xll.BDP(R135&amp;" FIGI",$AF$1)),"")</f>
        <v/>
      </c>
      <c r="AG135" s="16" t="str">
        <f>IF(OR(T135="Corp",T135="Govt"),IF(_xll.BDP(R135&amp;" FIGI",$AG$1)="#N/A N/A","",_xll.BDP(R135&amp;" FIGI",$AG$1)),"")</f>
        <v>B+</v>
      </c>
      <c r="AH135" s="125">
        <f>IF(OR(S135="Cash",S135="M-Mkt"),21,IF(AE135="",0,VLOOKUP(AE135,'Rating Scale'!A:B,2,0)))</f>
        <v>0</v>
      </c>
      <c r="AI135" s="125">
        <f>IF(OR(S135="Cash",S135="M-Mkt"),21,IF(AF135="",0,VLOOKUP(AF135,'Rating Scale'!D:E,2,0)))</f>
        <v>0</v>
      </c>
      <c r="AJ135" s="125">
        <f>IF(OR(S135="Cash",S135="M-Mkt"),21,IF(AG135="",0,VLOOKUP(AG135,'Rating Scale'!G:H,2,0)))</f>
        <v>8</v>
      </c>
      <c r="AK135">
        <f t="shared" si="19"/>
        <v>8</v>
      </c>
      <c r="AL135" s="1" t="str">
        <f>IF(OR(U135="Cash",U135="Cash Adjustments"),_xll.BDP(G135&amp;" Curncy","Country"),IF(T135="Equity",_xll.BDP(R135&amp;" FIGI","CNTRY_ISSUE_ISO"),_xll.BDP(R135&amp;" FIGI",$AL$1)))</f>
        <v>CN</v>
      </c>
      <c r="AM135" s="126" t="str">
        <f>IF(OR(T135="Cash",T135="Cash Adjustments",T135="M-Mkt"), T135, IF(T135="Comdty",AS135, _xll.BDP(R135&amp;" FIGI", $AM$1)))</f>
        <v>Financial</v>
      </c>
      <c r="AN135" s="126" t="str">
        <f>IF(OR(T135="Cash",T135="Cash Adjustments",T135="M-Mkt"), T135,  IF(T135="Comdty",AS135,_xll.BDP(R135&amp;" FIGI", $AN$1)))</f>
        <v>Real Estate</v>
      </c>
      <c r="AO135" s="126" t="str">
        <f>IF(OR(T135="Cash",T135="Cash Adjustments",T135="M-Mkt"), T135,  IF(T135="Comdty",AS135,_xll.BDP(R135&amp;" FIGI", $AO$1)))</f>
        <v>Real Estate Oper/Develop</v>
      </c>
      <c r="AP135" s="13" t="str">
        <f>IF(OR(T135="Cash",T135="Cash Adjustments"), T135, IF(_xll.BDP(R135&amp;" FIGI", $AP$1)="#N/A Field Not Applicable","N",_xll.BDP(R135&amp;" FIGI", $AP$1)))</f>
        <v>N</v>
      </c>
      <c r="AQ135" s="1" t="str">
        <f>IF(OR(T135="Cash",T135="Cash Adjustments"), T135, IF(_xll.BDP(R135&amp;" FIGI", $AQ$1)="#N/A Field Not Applicable"," ",_xll.BDP(R135&amp;" FIGI", $AQ$1)))</f>
        <v xml:space="preserve"> </v>
      </c>
      <c r="AR135" s="1" t="str">
        <f>IF(OR(T135="Cash",T135="Cash Adjustments"), T135, IF(_xll.BDP(R135&amp;" FIGI", $AR$1)="#N/A Field Not Applicable"," ",_xll.BDP(R135&amp;" FIGI", $AR$1)))</f>
        <v>ACTV</v>
      </c>
      <c r="AS135" s="1" t="str">
        <f>VLOOKUP(T135,'SFC Classifcation'!$F$2:$H$7,3,0)</f>
        <v>Corporate</v>
      </c>
      <c r="AT135" s="22" t="str">
        <f t="shared" si="22"/>
        <v>Financial</v>
      </c>
      <c r="AU135" s="1" t="str">
        <f t="shared" si="23"/>
        <v>Non-Investment Grade</v>
      </c>
      <c r="AV135" s="1" t="str">
        <f>IF(OR(T135="Cash",T135="Cash Adjustments"),T135,VLOOKUP(AL135,'SFC Classifcation'!$A:$C,3,0))</f>
        <v>China</v>
      </c>
      <c r="AW135" s="22" t="str">
        <f t="shared" si="24"/>
        <v>High</v>
      </c>
      <c r="AX135" s="22" t="str">
        <f t="shared" si="26"/>
        <v>High</v>
      </c>
      <c r="AY135" s="45" t="str">
        <f>IF(OR(T135="Cash",T135="Cash Adjustments"), T135, _xll.BDP(R135&amp;" FIGI", $AY$1))</f>
        <v>Real Estate</v>
      </c>
      <c r="AZ135" s="45" t="str">
        <f>IF(OR(T135="Cash",T135="Cash Adjustments"), T135, _xll.BDP(R135&amp;" FIGI", $AZ$1))</f>
        <v>FINANCIAL</v>
      </c>
      <c r="BA135" s="45" t="str">
        <f>IF(OR(T135="Cash",T135="Cash Adjustments"), T135, _xll.BDP(R135&amp;" FIGI", $BA$1))</f>
        <v>#N/A Field Not Applicable</v>
      </c>
      <c r="BB135" s="45">
        <f>IF(OR(AS135="Government",AS135="Corporate"),(AK135*AB135/'SFC Report'!$C$20),"")</f>
        <v>1.6813734535085618E-2</v>
      </c>
      <c r="BC135" s="174" t="str">
        <f>IF(OR(T135="Cash",T135="Cash Adjustments", T135="FX Forward", T135="Repo", T135="Equity", T135="M-Mkt"), "", _xll.BDP(R135&amp;" FIGI", $BC$1))</f>
        <v>12/3/2020</v>
      </c>
      <c r="BD135" s="125">
        <f ca="1">IF(OR(T135="Cash",T135="Cash Adjustments",T135="FX Forward",T135="Repo", T135="Equity", T135="M-Mkt"),"",(BC135-'SFC Report'!$B$13)/365)</f>
        <v>0.59452054794520548</v>
      </c>
      <c r="BE135" s="82" t="str">
        <f t="shared" ca="1" si="18"/>
        <v>0 - 1 yr</v>
      </c>
      <c r="BF135" s="5">
        <f ca="1">IF(BC135="","",BD135*AB135/'SFC Report'!$C$20)</f>
        <v>1.2495138336005409E-3</v>
      </c>
      <c r="BG135" s="14" cm="1">
        <f t="array" ref="BG135">IF(OR(AS135="Corporate",AS135="Government"),_xll.BDP(G135&amp;" ISIN", $BG$1),"")</f>
        <v>0.4566040031019174</v>
      </c>
      <c r="BH135" s="140">
        <f>IF(OR(AS135="Corporate",AS135="Government"),BG135*BN135/'SFC Report'!$C$20,"")</f>
        <v>9.5965231197663124E-4</v>
      </c>
      <c r="BI135" s="140">
        <f>IF(OR(AS135="Corporate",AS135="Government"),_xll.BDP(G135&amp;" ISIN", $BI$1),"")</f>
        <v>12.519716912073525</v>
      </c>
      <c r="BJ135" s="140">
        <f>IF(OR(AS135="Corporate",AS135="Government"),BI135*AB135/'SFC Report'!$C$20,"")</f>
        <v>2.6312899576753264E-2</v>
      </c>
      <c r="BK135" s="153" t="str">
        <f>IF(OR(T135="Cash",T135="Cash Adjustments"),"-",_xll.BDP(R135&amp;" FIGI",$BK$1))</f>
        <v>XS1908223545</v>
      </c>
      <c r="BL135" s="11" t="str">
        <f>IF(OR(AS135="Cash", AS135="Cash Adjustments"),"-",IF(ISNA(VLOOKUP(BK135,'BBG - VaR Data (Sample, Indus )'!C:N,5,0)),"-",VLOOKUP(BK135,'BBG - VaR Data (Sample, Indus )'!C:N,5,0)))</f>
        <v>-</v>
      </c>
      <c r="BM135" s="11">
        <f>IF(OR(AS135="Cash", AS135="Cash Adjustments"),"-",IF(ISNA(VLOOKUP(BK135,'BBG - Scenarios (Sample View)'!C:Z,14,0)),"-",VLOOKUP(BK135,'BBG - Scenarios (Sample View)'!C:Z,14,0)))</f>
        <v>-1.6</v>
      </c>
      <c r="BN135" s="14">
        <f t="shared" si="27"/>
        <v>1156848.8196594429</v>
      </c>
      <c r="BO135" s="1">
        <f>BN135/SUM($BN$2:$BN$154)</f>
        <v>2.2693311827132181E-3</v>
      </c>
      <c r="BP135" t="str">
        <f>IF(BC135&lt;&gt;0,MaturityBucket(BG135),"")</f>
        <v>0 - 1 yr</v>
      </c>
      <c r="BQ135" s="11" t="str">
        <f>IF(OR(T135="Cash",T135="Cash Adjustments"),T135,VLOOKUP(AL135,'SFC Classifcation'!$A:$C,2,0))</f>
        <v>China</v>
      </c>
      <c r="BR135" s="1" t="e">
        <f>IF(S135="Bond",BH135/'SFC Report'!$B$7,"")</f>
        <v>#VALUE!</v>
      </c>
      <c r="BS135" t="str">
        <f>IF(OR(T135="Cash",T135="Cash Adjustments"),"-",_xll.BDP(R135&amp;" FIGI",$BS$1))</f>
        <v>#N/A N/A</v>
      </c>
      <c r="BT135" t="str">
        <f>IF(OR(T135="Cash",T135="Cash Adjustments"),"-",_xll.BDP(R135&amp;" FIGI",$BT$1))</f>
        <v>#N/A N/A</v>
      </c>
      <c r="BU135" t="str">
        <f>IF(OR(T135="Cash",T135="Cash Adjustments"),"-",_xll.BDP(R135&amp;" FIGI",$BU$1))</f>
        <v>10/16/2019</v>
      </c>
    </row>
    <row r="136" spans="1:73">
      <c r="A136" s="254" t="s">
        <v>15</v>
      </c>
      <c r="B136" s="254" t="s">
        <v>25</v>
      </c>
      <c r="C136" s="254" t="s">
        <v>46</v>
      </c>
      <c r="D136" s="254" t="s">
        <v>22</v>
      </c>
      <c r="E136" s="254"/>
      <c r="F136" s="254" t="s">
        <v>1158</v>
      </c>
      <c r="G136" s="254" t="s">
        <v>1159</v>
      </c>
      <c r="H136" s="270">
        <v>410000</v>
      </c>
      <c r="I136" s="270">
        <v>92.298000000000002</v>
      </c>
      <c r="J136" s="270">
        <v>415125</v>
      </c>
      <c r="K136" s="270">
        <v>3224358.9</v>
      </c>
      <c r="L136" s="270">
        <v>-291514.27</v>
      </c>
      <c r="M136" s="270">
        <v>16686.72</v>
      </c>
      <c r="N136" s="270">
        <v>2932844.63</v>
      </c>
      <c r="O136" s="255">
        <v>5.9999999999999995E-4</v>
      </c>
      <c r="P136" s="1"/>
      <c r="Q136" s="1" t="str">
        <f t="shared" si="21"/>
        <v>Investments</v>
      </c>
      <c r="R136" s="1" t="str">
        <f>_xll.BDP(G136&amp;" ISIN",$R$1)</f>
        <v>BBG00NTXM180</v>
      </c>
      <c r="S136" s="1" t="str">
        <f>IF(Q136="Cash",Q136,IF(OR(Q136="Receivable Investments",Q136="Payable Investments"),"Cash Adjustments",_xll.BDP(R136&amp;" FIGI",$S$1)))</f>
        <v>BOND</v>
      </c>
      <c r="T136" s="1" t="str">
        <f>IF(Q136="Cash",Q136,IF(OR(Q136="Receivable Investments",Q136="Payable Investments"),"Cash Adjustments",VLOOKUP(R136,LQA!E:S,3,0)))</f>
        <v>Corp</v>
      </c>
      <c r="U136" s="1" t="str">
        <f>IF(Q136="Cash",Q136,IF(OR(Q136="Receivable Investments",Q136="Payable Investments"),"Cash Adjustments",_xll.BDP(R136&amp;" FIGI",$U$1)))</f>
        <v>#N/A Field Not Applicable</v>
      </c>
      <c r="V136" s="10">
        <f>IF(OR(Q136="Cash",Q136="Receivable Investments",Q136="Payable Investments"),0,IF(Q136="Investments",VLOOKUP(R136,LQA!E:Q,12,0),"Not Covered"))</f>
        <v>0.3</v>
      </c>
      <c r="W136" s="76">
        <f>IF(OR(Q136="Cash",Q136="Receivable Investments",Q136="Payable Investments"),0,IF(Q136="Investments",VLOOKUP(R136,LQA!E:Q,9,0),"Not Covered"))</f>
        <v>1.0972000000000001E-2</v>
      </c>
      <c r="X136" s="13" t="str">
        <f>IF(OR(H136=0,T136="Comdty"),"High",IF(V136&lt;='Liquidity Bucket'!$A$4,'Liquidity Bucket'!$I$4,IF(V136&lt;='Liquidity Bucket'!$A$5,'Liquidity Bucket'!$I$5,IF(V136&lt;='Liquidity Bucket'!$A$6,'Liquidity Bucket'!$I$6,IF(V136='Liquidity Bucket'!$A$8,'Liquidity Bucket'!$I$8,'Liquidity Bucket'!$I$7)))))</f>
        <v>High</v>
      </c>
      <c r="Y136" s="153">
        <f>IF(OR(Q136="Cash",Q136="Receivable Investments",Q136="Payable Investments"),0,IF(Q136="Investments",VLOOKUP(R136,'LQA Stress'!E:Q,12,0),"Not Covered"))</f>
        <v>1.5</v>
      </c>
      <c r="Z136" s="75">
        <f>IF(OR(Q136="Cash",Q136="Receivable Investments",Q136="Payable Investments"),0,IF(Q136="Investments",VLOOKUP(R136,'LQA Stress'!E:Q,9,0),"Not Covered"))</f>
        <v>2.8990999999999999E-2</v>
      </c>
      <c r="AA136" s="13" t="str">
        <f>IF(T136="Comdty","High",IF(Y136&lt;='Liquidity Bucket'!$A$4,'Liquidity Bucket'!$I$4,IF(Y136&lt;='Liquidity Bucket'!$A$5,'Liquidity Bucket'!$I$5,IF(Y136&lt;='Liquidity Bucket'!$A$6,'Liquidity Bucket'!$I$6,IF(Y136='Liquidity Bucket'!$A$8,'Liquidity Bucket'!$I$8,'Liquidity Bucket'!$I$7)))))</f>
        <v>High</v>
      </c>
      <c r="AB136" s="14">
        <f>(N136+M136)/'FX Rates'!$C$5</f>
        <v>380486.50025799795</v>
      </c>
      <c r="AC136" s="15" t="str">
        <f>IF(X136="Not Covered", (H136/_xll.BDP(R136&amp;" FIGI",$AC$1)),"")</f>
        <v/>
      </c>
      <c r="AD136" s="16" t="str">
        <f>IF(X136="Not Covered", _xll.BDP(R136&amp;" FIGI",$AD$1),"")</f>
        <v/>
      </c>
      <c r="AE136" s="16" t="str">
        <f>IF(OR(T136="Corp",T136="Govt"),IF(_xll.BDP(R136&amp;" FIGI",$AE$1)="#N/A N/A","",_xll.BDP(R136&amp;" FIGI",$AE$1)),"")</f>
        <v/>
      </c>
      <c r="AF136" s="1" t="str">
        <f>IF(OR(T136="Corp",T136="Govt"),IF(_xll.BDP(R136&amp;" FIGI",$AF$1)="#N/A N/A","",_xll.BDP(R136&amp;" FIGI",$AF$1)),"")</f>
        <v>B3</v>
      </c>
      <c r="AG136" s="16" t="str">
        <f>IF(OR(T136="Corp",T136="Govt"),IF(_xll.BDP(R136&amp;" FIGI",$AG$1)="#N/A N/A","",_xll.BDP(R136&amp;" FIGI",$AG$1)),"")</f>
        <v>B+</v>
      </c>
      <c r="AH136" s="125">
        <f>IF(OR(S136="Cash",S136="M-Mkt"),21,IF(AE136="",0,VLOOKUP(AE136,'Rating Scale'!A:B,2,0)))</f>
        <v>0</v>
      </c>
      <c r="AI136" s="125">
        <f>IF(OR(S136="Cash",S136="M-Mkt"),21,IF(AF136="",0,VLOOKUP(AF136,'Rating Scale'!D:E,2,0)))</f>
        <v>6</v>
      </c>
      <c r="AJ136" s="125">
        <f>IF(OR(S136="Cash",S136="M-Mkt"),21,IF(AG136="",0,VLOOKUP(AG136,'Rating Scale'!G:H,2,0)))</f>
        <v>8</v>
      </c>
      <c r="AK136">
        <f t="shared" si="19"/>
        <v>6</v>
      </c>
      <c r="AL136" s="1" t="str">
        <f>IF(OR(U136="Cash",U136="Cash Adjustments"),_xll.BDP(G136&amp;" Curncy","Country"),IF(T136="Equity",_xll.BDP(R136&amp;" FIGI","CNTRY_ISSUE_ISO"),_xll.BDP(R136&amp;" FIGI",$AL$1)))</f>
        <v>CN</v>
      </c>
      <c r="AM136" s="126" t="str">
        <f>IF(OR(T136="Cash",T136="Cash Adjustments",T136="M-Mkt"), T136, IF(T136="Comdty",AS136, _xll.BDP(R136&amp;" FIGI", $AM$1)))</f>
        <v>Financial</v>
      </c>
      <c r="AN136" s="126" t="str">
        <f>IF(OR(T136="Cash",T136="Cash Adjustments",T136="M-Mkt"), T136,  IF(T136="Comdty",AS136,_xll.BDP(R136&amp;" FIGI", $AN$1)))</f>
        <v>Real Estate</v>
      </c>
      <c r="AO136" s="126" t="str">
        <f>IF(OR(T136="Cash",T136="Cash Adjustments",T136="M-Mkt"), T136,  IF(T136="Comdty",AS136,_xll.BDP(R136&amp;" FIGI", $AO$1)))</f>
        <v>Real Estate Oper/Develop</v>
      </c>
      <c r="AP136" s="13" t="str">
        <f>IF(OR(T136="Cash",T136="Cash Adjustments"), T136, IF(_xll.BDP(R136&amp;" FIGI", $AP$1)="#N/A Field Not Applicable","N",_xll.BDP(R136&amp;" FIGI", $AP$1)))</f>
        <v>N</v>
      </c>
      <c r="AQ136" s="1" t="str">
        <f>IF(OR(T136="Cash",T136="Cash Adjustments"), T136, IF(_xll.BDP(R136&amp;" FIGI", $AQ$1)="#N/A Field Not Applicable"," ",_xll.BDP(R136&amp;" FIGI", $AQ$1)))</f>
        <v xml:space="preserve"> </v>
      </c>
      <c r="AR136" s="1" t="str">
        <f>IF(OR(T136="Cash",T136="Cash Adjustments"), T136, IF(_xll.BDP(R136&amp;" FIGI", $AR$1)="#N/A Field Not Applicable"," ",_xll.BDP(R136&amp;" FIGI", $AR$1)))</f>
        <v>ACTV</v>
      </c>
      <c r="AS136" s="1" t="str">
        <f>VLOOKUP(T136,'SFC Classifcation'!$F$2:$H$7,3,0)</f>
        <v>Corporate</v>
      </c>
      <c r="AT136" s="22" t="str">
        <f t="shared" si="22"/>
        <v>Financial</v>
      </c>
      <c r="AU136" s="1" t="str">
        <f t="shared" si="23"/>
        <v>Non-Investment Grade</v>
      </c>
      <c r="AV136" s="1" t="str">
        <f>IF(OR(T136="Cash",T136="Cash Adjustments"),T136,VLOOKUP(AL136,'SFC Classifcation'!$A:$C,3,0))</f>
        <v>China</v>
      </c>
      <c r="AW136" s="22" t="str">
        <f t="shared" si="24"/>
        <v>High</v>
      </c>
      <c r="AX136" s="22" t="str">
        <f t="shared" si="26"/>
        <v>High</v>
      </c>
      <c r="AY136" s="45" t="str">
        <f>IF(OR(T136="Cash",T136="Cash Adjustments"), T136, _xll.BDP(R136&amp;" FIGI", $AY$1))</f>
        <v>Real Estate</v>
      </c>
      <c r="AZ136" s="45" t="str">
        <f>IF(OR(T136="Cash",T136="Cash Adjustments"), T136, _xll.BDP(R136&amp;" FIGI", $AZ$1))</f>
        <v>FINANCIAL</v>
      </c>
      <c r="BA136" s="45" t="str">
        <f>IF(OR(T136="Cash",T136="Cash Adjustments"), T136, _xll.BDP(R136&amp;" FIGI", $BA$1))</f>
        <v>#N/A Field Not Applicable</v>
      </c>
      <c r="BB136" s="45">
        <f>IF(OR(AS136="Government",AS136="Corporate"),(AK136*AB136/'SFC Report'!$C$20),"")</f>
        <v>4.1475162316834003E-3</v>
      </c>
      <c r="BC136" s="174" t="str">
        <f>IF(OR(T136="Cash",T136="Cash Adjustments", T136="FX Forward", T136="Repo", T136="Equity", T136="M-Mkt"), "", _xll.BDP(R136&amp;" FIGI", $BC$1))</f>
        <v>4/11/2022</v>
      </c>
      <c r="BD136" s="125">
        <f ca="1">IF(OR(T136="Cash",T136="Cash Adjustments",T136="FX Forward",T136="Repo", T136="Equity", T136="M-Mkt"),"",(BC136-'SFC Report'!$B$13)/365)</f>
        <v>1.9479452054794522</v>
      </c>
      <c r="BE136" s="82" t="str">
        <f t="shared" ca="1" si="18"/>
        <v>1 - 2 yrs</v>
      </c>
      <c r="BF136" s="5">
        <f ca="1">IF(BC136="","",BD136*AB136/'SFC Report'!$C$20)</f>
        <v>1.3465223930259809E-3</v>
      </c>
      <c r="BG136" s="14" cm="1">
        <f t="array" ref="BG136">IF(OR(AS136="Corporate",AS136="Government"),_xll.BDP(G136&amp;" ISIN", $BG$1),"")</f>
        <v>1.6484255349764605</v>
      </c>
      <c r="BH136" s="140">
        <f>IF(OR(AS136="Corporate",AS136="Government"),BG136*BN136/'SFC Report'!$C$20,"")</f>
        <v>1.1394786105060439E-3</v>
      </c>
      <c r="BI136" s="140">
        <f>IF(OR(AS136="Corporate",AS136="Government"),_xll.BDP(G136&amp;" ISIN", $BI$1),"")</f>
        <v>10.371349497856119</v>
      </c>
      <c r="BJ136" s="140">
        <f>IF(OR(AS136="Corporate",AS136="Government"),BI136*AB136/'SFC Report'!$C$20,"")</f>
        <v>7.1692233978032901E-3</v>
      </c>
      <c r="BK136" s="153" t="str">
        <f>IF(OR(T136="Cash",T136="Cash Adjustments"),"-",_xll.BDP(R136&amp;" FIGI",$BK$1))</f>
        <v>XS1976473618</v>
      </c>
      <c r="BL136" s="11" t="str">
        <f>IF(OR(AS136="Cash", AS136="Cash Adjustments"),"-",IF(ISNA(VLOOKUP(BK136,'BBG - VaR Data (Sample, Indus )'!C:N,5,0)),"-",VLOOKUP(BK136,'BBG - VaR Data (Sample, Indus )'!C:N,5,0)))</f>
        <v>-</v>
      </c>
      <c r="BM136" s="11">
        <f>IF(OR(AS136="Cash", AS136="Cash Adjustments"),"-",IF(ISNA(VLOOKUP(BK136,'BBG - Scenarios (Sample View)'!C:Z,14,0)),"-",VLOOKUP(BK136,'BBG - Scenarios (Sample View)'!C:Z,14,0)))</f>
        <v>-5.39</v>
      </c>
      <c r="BN136" s="14">
        <f t="shared" si="27"/>
        <v>380486.50025799795</v>
      </c>
      <c r="BO136" s="1">
        <f t="shared" ref="BO136:BO148" si="28">BN136/SUM($BN$2:$BN$154)</f>
        <v>7.4638091422445422E-4</v>
      </c>
      <c r="BP136" t="str">
        <f>IF(BC136&lt;&gt;0,MaturityBucket(BG136),"")</f>
        <v>1 - 2 yrs</v>
      </c>
      <c r="BQ136" s="11" t="str">
        <f>IF(OR(T136="Cash",T136="Cash Adjustments"),T136,VLOOKUP(AL136,'SFC Classifcation'!$A:$C,2,0))</f>
        <v>China</v>
      </c>
      <c r="BR136" s="1" t="e">
        <f>IF(S136="Bond",BH136/'SFC Report'!$B$7,"")</f>
        <v>#VALUE!</v>
      </c>
      <c r="BS136" t="str">
        <f>IF(OR(T136="Cash",T136="Cash Adjustments"),"-",_xll.BDP(R136&amp;" FIGI",$BS$1))</f>
        <v>#N/A N/A</v>
      </c>
      <c r="BT136" t="str">
        <f>IF(OR(T136="Cash",T136="Cash Adjustments"),"-",_xll.BDP(R136&amp;" FIGI",$BT$1))</f>
        <v>11/7/2019</v>
      </c>
      <c r="BU136" t="str">
        <f>IF(OR(T136="Cash",T136="Cash Adjustments"),"-",_xll.BDP(R136&amp;" FIGI",$BU$1))</f>
        <v>10/16/2019</v>
      </c>
    </row>
    <row r="137" spans="1:73">
      <c r="A137" s="254" t="s">
        <v>15</v>
      </c>
      <c r="B137" s="254" t="s">
        <v>25</v>
      </c>
      <c r="C137" s="254" t="s">
        <v>46</v>
      </c>
      <c r="D137" s="254" t="s">
        <v>22</v>
      </c>
      <c r="E137" s="254"/>
      <c r="F137" s="254" t="s">
        <v>1221</v>
      </c>
      <c r="G137" s="254" t="s">
        <v>1222</v>
      </c>
      <c r="H137" s="270">
        <v>5000000</v>
      </c>
      <c r="I137" s="270">
        <v>96.134</v>
      </c>
      <c r="J137" s="270">
        <v>5000000</v>
      </c>
      <c r="K137" s="270">
        <v>38838000</v>
      </c>
      <c r="L137" s="270">
        <v>-1585113.66</v>
      </c>
      <c r="M137" s="270">
        <v>222075.51999999999</v>
      </c>
      <c r="N137" s="270">
        <v>37252886.340000004</v>
      </c>
      <c r="O137" s="255">
        <v>8.2000000000000007E-3</v>
      </c>
      <c r="P137" s="1"/>
      <c r="Q137" s="1" t="str">
        <f t="shared" si="21"/>
        <v>Investments</v>
      </c>
      <c r="R137" s="1" t="str">
        <f>_xll.BDP(G137&amp;" ISIN",$R$1)</f>
        <v>BBG00RPXTTD1</v>
      </c>
      <c r="S137" s="1" t="str">
        <f>IF(Q137="Cash",Q137,IF(OR(Q137="Receivable Investments",Q137="Payable Investments"),"Cash Adjustments",_xll.BDP(R137&amp;" FIGI",$S$1)))</f>
        <v>BOND</v>
      </c>
      <c r="T137" s="1" t="str">
        <f>IF(Q137="Cash",Q137,IF(OR(Q137="Receivable Investments",Q137="Payable Investments"),"Cash Adjustments",VLOOKUP(R137,LQA!E:S,3,0)))</f>
        <v>Corp</v>
      </c>
      <c r="U137" s="1" t="str">
        <f>IF(Q137="Cash",Q137,IF(OR(Q137="Receivable Investments",Q137="Payable Investments"),"Cash Adjustments",_xll.BDP(R137&amp;" FIGI",$U$1)))</f>
        <v>#N/A Field Not Applicable</v>
      </c>
      <c r="V137" s="10">
        <f>IF(OR(Q137="Cash",Q137="Receivable Investments",Q137="Payable Investments"),0,IF(Q137="Investments",VLOOKUP(R137,LQA!E:Q,12,0),"Not Covered"))</f>
        <v>0.5</v>
      </c>
      <c r="W137" s="76">
        <f>IF(OR(Q137="Cash",Q137="Receivable Investments",Q137="Payable Investments"),0,IF(Q137="Investments",VLOOKUP(R137,LQA!E:Q,9,0),"Not Covered"))</f>
        <v>1.2873000000000001E-2</v>
      </c>
      <c r="X137" s="13" t="str">
        <f>IF(OR(H137=0,T137="Comdty"),"High",IF(V137&lt;='Liquidity Bucket'!$A$4,'Liquidity Bucket'!$I$4,IF(V137&lt;='Liquidity Bucket'!$A$5,'Liquidity Bucket'!$I$5,IF(V137&lt;='Liquidity Bucket'!$A$6,'Liquidity Bucket'!$I$6,IF(V137='Liquidity Bucket'!$A$8,'Liquidity Bucket'!$I$8,'Liquidity Bucket'!$I$7)))))</f>
        <v>High</v>
      </c>
      <c r="Y137" s="153">
        <f>IF(OR(Q137="Cash",Q137="Receivable Investments",Q137="Payable Investments"),0,IF(Q137="Investments",VLOOKUP(R137,'LQA Stress'!E:Q,12,0),"Not Covered"))</f>
        <v>1.4</v>
      </c>
      <c r="Z137" s="75">
        <f>IF(OR(Q137="Cash",Q137="Receivable Investments",Q137="Payable Investments"),0,IF(Q137="Investments",VLOOKUP(R137,'LQA Stress'!E:Q,9,0),"Not Covered"))</f>
        <v>3.4674000000000003E-2</v>
      </c>
      <c r="AA137" s="13" t="str">
        <f>IF(T137="Comdty","High",IF(Y137&lt;='Liquidity Bucket'!$A$4,'Liquidity Bucket'!$I$4,IF(Y137&lt;='Liquidity Bucket'!$A$5,'Liquidity Bucket'!$I$5,IF(Y137&lt;='Liquidity Bucket'!$A$6,'Liquidity Bucket'!$I$6,IF(Y137='Liquidity Bucket'!$A$8,'Liquidity Bucket'!$I$8,'Liquidity Bucket'!$I$7)))))</f>
        <v>High</v>
      </c>
      <c r="AB137" s="14">
        <f>(N137+M137)/'FX Rates'!$C$5</f>
        <v>4834231.4060887527</v>
      </c>
      <c r="AC137" s="15" t="str">
        <f>IF(X137="Not Covered", (H137/_xll.BDP(R137&amp;" FIGI",$AC$1)),"")</f>
        <v/>
      </c>
      <c r="AD137" s="16" t="str">
        <f>IF(X137="Not Covered", _xll.BDP(R137&amp;" FIGI",$AD$1),"")</f>
        <v/>
      </c>
      <c r="AE137" s="16" t="str">
        <f>IF(OR(T137="Corp",T137="Govt"),IF(_xll.BDP(R137&amp;" FIGI",$AE$1)="#N/A N/A","",_xll.BDP(R137&amp;" FIGI",$AE$1)),"")</f>
        <v/>
      </c>
      <c r="AF137" s="1" t="str">
        <f>IF(OR(T137="Corp",T137="Govt"),IF(_xll.BDP(R137&amp;" FIGI",$AF$1)="#N/A N/A","",_xll.BDP(R137&amp;" FIGI",$AF$1)),"")</f>
        <v>Baa3</v>
      </c>
      <c r="AG137" s="16" t="str">
        <f>IF(OR(T137="Corp",T137="Govt"),IF(_xll.BDP(R137&amp;" FIGI",$AG$1)="#N/A N/A","",_xll.BDP(R137&amp;" FIGI",$AG$1)),"")</f>
        <v>BBB-</v>
      </c>
      <c r="AH137" s="125">
        <f>IF(OR(S137="Cash",S137="M-Mkt"),21,IF(AE137="",0,VLOOKUP(AE137,'Rating Scale'!A:B,2,0)))</f>
        <v>0</v>
      </c>
      <c r="AI137" s="125">
        <f>IF(OR(S137="Cash",S137="M-Mkt"),21,IF(AF137="",0,VLOOKUP(AF137,'Rating Scale'!D:E,2,0)))</f>
        <v>12</v>
      </c>
      <c r="AJ137" s="125">
        <f>IF(OR(S137="Cash",S137="M-Mkt"),21,IF(AG137="",0,VLOOKUP(AG137,'Rating Scale'!G:H,2,0)))</f>
        <v>12</v>
      </c>
      <c r="AK137">
        <f t="shared" si="19"/>
        <v>12</v>
      </c>
      <c r="AL137" s="1" t="str">
        <f>IF(OR(U137="Cash",U137="Cash Adjustments"),_xll.BDP(G137&amp;" Curncy","Country"),IF(T137="Equity",_xll.BDP(R137&amp;" FIGI","CNTRY_ISSUE_ISO"),_xll.BDP(R137&amp;" FIGI",$AL$1)))</f>
        <v>SA</v>
      </c>
      <c r="AM137" s="126" t="str">
        <f>IF(OR(T137="Cash",T137="Cash Adjustments",T137="M-Mkt"), T137, IF(T137="Comdty",AS137, _xll.BDP(R137&amp;" FIGI", $AM$1)))</f>
        <v>Financial</v>
      </c>
      <c r="AN137" s="126" t="str">
        <f>IF(OR(T137="Cash",T137="Cash Adjustments",T137="M-Mkt"), T137,  IF(T137="Comdty",AS137,_xll.BDP(R137&amp;" FIGI", $AN$1)))</f>
        <v>Banks</v>
      </c>
      <c r="AO137" s="126" t="str">
        <f>IF(OR(T137="Cash",T137="Cash Adjustments",T137="M-Mkt"), T137,  IF(T137="Comdty",AS137,_xll.BDP(R137&amp;" FIGI", $AO$1)))</f>
        <v>Commer Banks Non-US</v>
      </c>
      <c r="AP137" s="13" t="str">
        <f>IF(OR(T137="Cash",T137="Cash Adjustments"), T137, IF(_xll.BDP(R137&amp;" FIGI", $AP$1)="#N/A Field Not Applicable","N",_xll.BDP(R137&amp;" FIGI", $AP$1)))</f>
        <v>N</v>
      </c>
      <c r="AQ137" s="1" t="str">
        <f>IF(OR(T137="Cash",T137="Cash Adjustments"), T137, IF(_xll.BDP(R137&amp;" FIGI", $AQ$1)="#N/A Field Not Applicable"," ",_xll.BDP(R137&amp;" FIGI", $AQ$1)))</f>
        <v xml:space="preserve"> </v>
      </c>
      <c r="AR137" s="1" t="str">
        <f>IF(OR(T137="Cash",T137="Cash Adjustments"), T137, IF(_xll.BDP(R137&amp;" FIGI", $AR$1)="#N/A Field Not Applicable"," ",_xll.BDP(R137&amp;" FIGI", $AR$1)))</f>
        <v>ACTV</v>
      </c>
      <c r="AS137" s="1" t="str">
        <f>VLOOKUP(T137,'SFC Classifcation'!$F$2:$H$7,3,0)</f>
        <v>Corporate</v>
      </c>
      <c r="AT137" s="22" t="str">
        <f t="shared" si="22"/>
        <v>Financial</v>
      </c>
      <c r="AU137" s="1" t="str">
        <f t="shared" si="23"/>
        <v>Investment Grade</v>
      </c>
      <c r="AV137" s="1" t="str">
        <f>IF(OR(T137="Cash",T137="Cash Adjustments"),T137,VLOOKUP(AL137,'SFC Classifcation'!$A:$C,3,0))</f>
        <v>Saudi Arabia</v>
      </c>
      <c r="AW137" s="22" t="str">
        <f t="shared" si="24"/>
        <v>High</v>
      </c>
      <c r="AX137" s="22" t="str">
        <f t="shared" si="26"/>
        <v>High</v>
      </c>
      <c r="AY137" s="45" t="str">
        <f>IF(OR(T137="Cash",T137="Cash Adjustments"), T137, _xll.BDP(R137&amp;" FIGI", $AY$1))</f>
        <v>Financials</v>
      </c>
      <c r="AZ137" s="45" t="str">
        <f>IF(OR(T137="Cash",T137="Cash Adjustments"), T137, _xll.BDP(R137&amp;" FIGI", $AZ$1))</f>
        <v>BANK</v>
      </c>
      <c r="BA137" s="45" t="str">
        <f>IF(OR(T137="Cash",T137="Cash Adjustments"), T137, _xll.BDP(R137&amp;" FIGI", $BA$1))</f>
        <v>#N/A Field Not Applicable</v>
      </c>
      <c r="BB137" s="45">
        <f>IF(OR(AS137="Government",AS137="Corporate"),(AK137*AB137/'SFC Report'!$C$20),"")</f>
        <v>0.10539166677856562</v>
      </c>
      <c r="BC137" s="174" t="str">
        <f>IF(OR(T137="Cash",T137="Cash Adjustments", T137="FX Forward", T137="Repo", T137="Equity", T137="M-Mkt"), "", _xll.BDP(R137&amp;" FIGI", $BC$1))</f>
        <v>2/25/2030</v>
      </c>
      <c r="BD137" s="125">
        <f ca="1">IF(OR(T137="Cash",T137="Cash Adjustments",T137="FX Forward",T137="Repo", T137="Equity", T137="M-Mkt"),"",(BC137-'SFC Report'!$B$13)/365)</f>
        <v>9.830136986301369</v>
      </c>
      <c r="BE137" s="82" t="str">
        <f t="shared" ca="1" si="18"/>
        <v>7 - 10 yrs</v>
      </c>
      <c r="BF137" s="5">
        <f ca="1">IF(BC137="","",BD137*AB137/'SFC Report'!$C$20)</f>
        <v>8.6334543470660594E-2</v>
      </c>
      <c r="BG137" s="14" cm="1">
        <f t="array" ref="BG137">IF(OR(AS137="Corporate",AS137="Government"),_xll.BDP(G137&amp;" ISIN", $BG$1),"")</f>
        <v>4.3277453275396613</v>
      </c>
      <c r="BH137" s="140">
        <f>IF(OR(AS137="Corporate",AS137="Government"),BG137*BN137/'SFC Report'!$C$20,"")</f>
        <v>3.8009024455212863E-2</v>
      </c>
      <c r="BI137" s="140">
        <f>IF(OR(AS137="Corporate",AS137="Government"),_xll.BDP(G137&amp;" ISIN", $BI$1),"")</f>
        <v>2.8518273101324376</v>
      </c>
      <c r="BJ137" s="140">
        <f>IF(OR(AS137="Corporate",AS137="Government"),BI137*AB137/'SFC Report'!$C$20,"")</f>
        <v>2.5046569464957581E-2</v>
      </c>
      <c r="BK137" s="153" t="str">
        <f>IF(OR(T137="Cash",T137="Cash Adjustments"),"-",_xll.BDP(R137&amp;" FIGI",$BK$1))</f>
        <v>XS2120069047</v>
      </c>
      <c r="BL137" s="11" t="str">
        <f>IF(OR(AS137="Cash", AS137="Cash Adjustments"),"-",IF(ISNA(VLOOKUP(BK137,'BBG - VaR Data (Sample, Indus )'!C:N,5,0)),"-",VLOOKUP(BK137,'BBG - VaR Data (Sample, Indus )'!C:N,5,0)))</f>
        <v>-</v>
      </c>
      <c r="BM137" s="11">
        <f>IF(OR(AS137="Cash", AS137="Cash Adjustments"),"-",IF(ISNA(VLOOKUP(BK137,'BBG - Scenarios (Sample View)'!C:Z,14,0)),"-",VLOOKUP(BK137,'BBG - Scenarios (Sample View)'!C:Z,14,0)))</f>
        <v>-3.95</v>
      </c>
      <c r="BN137" s="14">
        <f t="shared" si="27"/>
        <v>4834231.4060887527</v>
      </c>
      <c r="BO137" s="1">
        <f t="shared" si="28"/>
        <v>9.483064587054944E-3</v>
      </c>
      <c r="BP137" t="str">
        <f>IF(BC137&lt;&gt;0,MaturityBucket(BG137),"")</f>
        <v>3 - 5 yrs</v>
      </c>
      <c r="BQ137" s="11" t="str">
        <f>IF(OR(T137="Cash",T137="Cash Adjustments"),T137,VLOOKUP(AL137,'SFC Classifcation'!$A:$C,2,0))</f>
        <v>Saudi Arabia</v>
      </c>
      <c r="BR137" s="1" t="e">
        <f>IF(S137="Bond",BH137/'SFC Report'!$B$7,"")</f>
        <v>#VALUE!</v>
      </c>
      <c r="BS137" t="str">
        <f>IF(OR(T137="Cash",T137="Cash Adjustments"),"-",_xll.BDP(R137&amp;" FIGI",$BS$1))</f>
        <v>#N/A N/A</v>
      </c>
      <c r="BT137" t="str">
        <f>IF(OR(T137="Cash",T137="Cash Adjustments"),"-",_xll.BDP(R137&amp;" FIGI",$BT$1))</f>
        <v>3/6/2020</v>
      </c>
      <c r="BU137" t="str">
        <f>IF(OR(T137="Cash",T137="Cash Adjustments"),"-",_xll.BDP(R137&amp;" FIGI",$BU$1))</f>
        <v>2/24/2020</v>
      </c>
    </row>
    <row r="138" spans="1:73">
      <c r="A138" s="254" t="s">
        <v>15</v>
      </c>
      <c r="B138" s="254" t="s">
        <v>25</v>
      </c>
      <c r="C138" s="254" t="s">
        <v>46</v>
      </c>
      <c r="D138" s="254" t="s">
        <v>22</v>
      </c>
      <c r="E138" s="254"/>
      <c r="F138" s="254" t="s">
        <v>1339</v>
      </c>
      <c r="G138" s="254" t="s">
        <v>1340</v>
      </c>
      <c r="H138" s="270">
        <v>1400000</v>
      </c>
      <c r="I138" s="270">
        <v>95.792000000000002</v>
      </c>
      <c r="J138" s="270">
        <v>1448300</v>
      </c>
      <c r="K138" s="270">
        <v>11256911.75</v>
      </c>
      <c r="L138" s="270">
        <v>-863211.53</v>
      </c>
      <c r="M138" s="270">
        <v>60580.73</v>
      </c>
      <c r="N138" s="270">
        <v>10393700.220000001</v>
      </c>
      <c r="O138" s="255">
        <v>2.3E-3</v>
      </c>
      <c r="P138" s="1"/>
      <c r="Q138" s="1" t="str">
        <f t="shared" si="21"/>
        <v>Investments</v>
      </c>
      <c r="R138" s="1" t="str">
        <f>_xll.BDP(G138&amp;" ISIN",$R$1)</f>
        <v>BBG00QDN9PZ4</v>
      </c>
      <c r="S138" s="1" t="str">
        <f>IF(Q138="Cash",Q138,IF(OR(Q138="Receivable Investments",Q138="Payable Investments"),"Cash Adjustments",_xll.BDP(R138&amp;" FIGI",$S$1)))</f>
        <v>BOND</v>
      </c>
      <c r="T138" s="1" t="str">
        <f>IF(Q138="Cash",Q138,IF(OR(Q138="Receivable Investments",Q138="Payable Investments"),"Cash Adjustments",VLOOKUP(R138,LQA!E:S,3,0)))</f>
        <v>Corp</v>
      </c>
      <c r="U138" s="1" t="str">
        <f>IF(Q138="Cash",Q138,IF(OR(Q138="Receivable Investments",Q138="Payable Investments"),"Cash Adjustments",_xll.BDP(R138&amp;" FIGI",$U$1)))</f>
        <v>#N/A Field Not Applicable</v>
      </c>
      <c r="V138" s="10">
        <f>IF(OR(Q138="Cash",Q138="Receivable Investments",Q138="Payable Investments"),0,IF(Q138="Investments",VLOOKUP(R138,LQA!E:Q,12,0),"Not Covered"))</f>
        <v>0.3</v>
      </c>
      <c r="W138" s="76">
        <f>IF(OR(Q138="Cash",Q138="Receivable Investments",Q138="Payable Investments"),0,IF(Q138="Investments",VLOOKUP(R138,LQA!E:Q,9,0),"Not Covered"))</f>
        <v>1.0328E-2</v>
      </c>
      <c r="X138" s="13" t="str">
        <f>IF(OR(H138=0,T138="Comdty"),"High",IF(V138&lt;='Liquidity Bucket'!$A$4,'Liquidity Bucket'!$I$4,IF(V138&lt;='Liquidity Bucket'!$A$5,'Liquidity Bucket'!$I$5,IF(V138&lt;='Liquidity Bucket'!$A$6,'Liquidity Bucket'!$I$6,IF(V138='Liquidity Bucket'!$A$8,'Liquidity Bucket'!$I$8,'Liquidity Bucket'!$I$7)))))</f>
        <v>High</v>
      </c>
      <c r="Y138" s="153">
        <f>IF(OR(Q138="Cash",Q138="Receivable Investments",Q138="Payable Investments"),0,IF(Q138="Investments",VLOOKUP(R138,'LQA Stress'!E:Q,12,0),"Not Covered"))</f>
        <v>1.7</v>
      </c>
      <c r="Z138" s="75">
        <f>IF(OR(Q138="Cash",Q138="Receivable Investments",Q138="Payable Investments"),0,IF(Q138="Investments",VLOOKUP(R138,'LQA Stress'!E:Q,9,0),"Not Covered"))</f>
        <v>2.7175999999999999E-2</v>
      </c>
      <c r="AA138" s="13" t="str">
        <f>IF(T138="Comdty","High",IF(Y138&lt;='Liquidity Bucket'!$A$4,'Liquidity Bucket'!$I$4,IF(Y138&lt;='Liquidity Bucket'!$A$5,'Liquidity Bucket'!$I$5,IF(Y138&lt;='Liquidity Bucket'!$A$6,'Liquidity Bucket'!$I$6,IF(Y138='Liquidity Bucket'!$A$8,'Liquidity Bucket'!$I$8,'Liquidity Bucket'!$I$7)))))</f>
        <v>High</v>
      </c>
      <c r="AB138" s="14">
        <f>(N138+M138)/'FX Rates'!$C$5</f>
        <v>1348591.4538183697</v>
      </c>
      <c r="AC138" s="15" t="str">
        <f>IF(X138="Not Covered", (H138/_xll.BDP(R138&amp;" FIGI",$AC$1)),"")</f>
        <v/>
      </c>
      <c r="AD138" s="16" t="str">
        <f>IF(X138="Not Covered", _xll.BDP(R138&amp;" FIGI",$AD$1),"")</f>
        <v/>
      </c>
      <c r="AE138" s="16" t="str">
        <f>IF(OR(T138="Corp",T138="Govt"),IF(_xll.BDP(R138&amp;" FIGI",$AE$1)="#N/A N/A","",_xll.BDP(R138&amp;" FIGI",$AE$1)),"")</f>
        <v>BB-</v>
      </c>
      <c r="AF138" s="1" t="str">
        <f>IF(OR(T138="Corp",T138="Govt"),IF(_xll.BDP(R138&amp;" FIGI",$AF$1)="#N/A N/A","",_xll.BDP(R138&amp;" FIGI",$AF$1)),"")</f>
        <v>Ba3</v>
      </c>
      <c r="AG138" s="16" t="str">
        <f>IF(OR(T138="Corp",T138="Govt"),IF(_xll.BDP(R138&amp;" FIGI",$AG$1)="#N/A N/A","",_xll.BDP(R138&amp;" FIGI",$AG$1)),"")</f>
        <v/>
      </c>
      <c r="AH138" s="125">
        <f>IF(OR(S138="Cash",S138="M-Mkt"),21,IF(AE138="",0,VLOOKUP(AE138,'Rating Scale'!A:B,2,0)))</f>
        <v>9</v>
      </c>
      <c r="AI138" s="125">
        <f>IF(OR(S138="Cash",S138="M-Mkt"),21,IF(AF138="",0,VLOOKUP(AF138,'Rating Scale'!D:E,2,0)))</f>
        <v>9</v>
      </c>
      <c r="AJ138" s="125">
        <f>IF(OR(S138="Cash",S138="M-Mkt"),21,IF(AG138="",0,VLOOKUP(AG138,'Rating Scale'!G:H,2,0)))</f>
        <v>0</v>
      </c>
      <c r="AK138">
        <f t="shared" si="19"/>
        <v>9</v>
      </c>
      <c r="AL138" s="1" t="str">
        <f>IF(OR(U138="Cash",U138="Cash Adjustments"),_xll.BDP(G138&amp;" Curncy","Country"),IF(T138="Equity",_xll.BDP(R138&amp;" FIGI","CNTRY_ISSUE_ISO"),_xll.BDP(R138&amp;" FIGI",$AL$1)))</f>
        <v>CN</v>
      </c>
      <c r="AM138" s="126" t="str">
        <f>IF(OR(T138="Cash",T138="Cash Adjustments",T138="M-Mkt"), T138, IF(T138="Comdty",AS138, _xll.BDP(R138&amp;" FIGI", $AM$1)))</f>
        <v>Financial</v>
      </c>
      <c r="AN138" s="126" t="str">
        <f>IF(OR(T138="Cash",T138="Cash Adjustments",T138="M-Mkt"), T138,  IF(T138="Comdty",AS138,_xll.BDP(R138&amp;" FIGI", $AN$1)))</f>
        <v>Real Estate</v>
      </c>
      <c r="AO138" s="126" t="str">
        <f>IF(OR(T138="Cash",T138="Cash Adjustments",T138="M-Mkt"), T138,  IF(T138="Comdty",AS138,_xll.BDP(R138&amp;" FIGI", $AO$1)))</f>
        <v>Real Estate Oper/Develop</v>
      </c>
      <c r="AP138" s="13" t="str">
        <f>IF(OR(T138="Cash",T138="Cash Adjustments"), T138, IF(_xll.BDP(R138&amp;" FIGI", $AP$1)="#N/A Field Not Applicable","N",_xll.BDP(R138&amp;" FIGI", $AP$1)))</f>
        <v>N</v>
      </c>
      <c r="AQ138" s="1" t="str">
        <f>IF(OR(T138="Cash",T138="Cash Adjustments"), T138, IF(_xll.BDP(R138&amp;" FIGI", $AQ$1)="#N/A Field Not Applicable"," ",_xll.BDP(R138&amp;" FIGI", $AQ$1)))</f>
        <v xml:space="preserve"> </v>
      </c>
      <c r="AR138" s="1" t="str">
        <f>IF(OR(T138="Cash",T138="Cash Adjustments"), T138, IF(_xll.BDP(R138&amp;" FIGI", $AR$1)="#N/A Field Not Applicable"," ",_xll.BDP(R138&amp;" FIGI", $AR$1)))</f>
        <v>ACTV</v>
      </c>
      <c r="AS138" s="1" t="str">
        <f>VLOOKUP(T138,'SFC Classifcation'!$F$2:$H$7,3,0)</f>
        <v>Corporate</v>
      </c>
      <c r="AT138" s="22" t="str">
        <f t="shared" si="22"/>
        <v>Financial</v>
      </c>
      <c r="AU138" s="1" t="str">
        <f t="shared" si="23"/>
        <v>Non-Investment Grade</v>
      </c>
      <c r="AV138" s="1" t="str">
        <f>IF(OR(T138="Cash",T138="Cash Adjustments"),T138,VLOOKUP(AL138,'SFC Classifcation'!$A:$C,3,0))</f>
        <v>China</v>
      </c>
      <c r="AW138" s="22" t="str">
        <f t="shared" si="24"/>
        <v>High</v>
      </c>
      <c r="AX138" s="22" t="str">
        <f t="shared" si="26"/>
        <v>High</v>
      </c>
      <c r="AY138" s="45" t="str">
        <f>IF(OR(T138="Cash",T138="Cash Adjustments"), T138, _xll.BDP(R138&amp;" FIGI", $AY$1))</f>
        <v>#N/A Field Not Applicable</v>
      </c>
      <c r="AZ138" s="45" t="str">
        <f>IF(OR(T138="Cash",T138="Cash Adjustments"), T138, _xll.BDP(R138&amp;" FIGI", $AZ$1))</f>
        <v>SPECIAL PURPOSE</v>
      </c>
      <c r="BA138" s="45" t="str">
        <f>IF(OR(T138="Cash",T138="Cash Adjustments"), T138, _xll.BDP(R138&amp;" FIGI", $BA$1))</f>
        <v>#N/A Field Not Applicable</v>
      </c>
      <c r="BB138" s="45">
        <f>IF(OR(AS138="Government",AS138="Corporate"),(AK138*AB138/'SFC Report'!$C$20),"")</f>
        <v>2.2050604715917108E-2</v>
      </c>
      <c r="BC138" s="174" t="str">
        <f>IF(OR(T138="Cash",T138="Cash Adjustments", T138="FX Forward", T138="Repo", T138="Equity", T138="M-Mkt"), "", _xll.BDP(R138&amp;" FIGI", $BC$1))</f>
        <v>9/30/2024</v>
      </c>
      <c r="BD138" s="125">
        <f ca="1">IF(OR(T138="Cash",T138="Cash Adjustments",T138="FX Forward",T138="Repo", T138="Equity", T138="M-Mkt"),"",(BC138-'SFC Report'!$B$13)/365)</f>
        <v>4.4219178082191783</v>
      </c>
      <c r="BE138" s="82" t="str">
        <f t="shared" ca="1" si="18"/>
        <v>3 - 5 yrs</v>
      </c>
      <c r="BF138" s="5">
        <f ca="1">IF(BC138="","",BD138*AB138/'SFC Report'!$C$20)</f>
        <v>1.0833995741701739E-2</v>
      </c>
      <c r="BG138" s="14" cm="1">
        <f t="array" ref="BG138">IF(OR(AS138="Corporate",AS138="Government"),_xll.BDP(G138&amp;" ISIN", $BG$1),"")</f>
        <v>3.6684847541017511</v>
      </c>
      <c r="BH138" s="140">
        <f>IF(OR(AS138="Corporate",AS138="Government"),BG138*BN138/'SFC Report'!$C$20,"")</f>
        <v>8.9880341354517876E-3</v>
      </c>
      <c r="BI138" s="140">
        <f>IF(OR(AS138="Corporate",AS138="Government"),_xll.BDP(G138&amp;" ISIN", $BI$1),"")</f>
        <v>6.9893229030316091</v>
      </c>
      <c r="BJ138" s="140">
        <f>IF(OR(AS138="Corporate",AS138="Government"),BI138*AB138/'SFC Report'!$C$20,"")</f>
        <v>1.7124310729628472E-2</v>
      </c>
      <c r="BK138" s="153" t="str">
        <f>IF(OR(T138="Cash",T138="Cash Adjustments"),"-",_xll.BDP(R138&amp;" FIGI",$BK$1))</f>
        <v>XS2057076387</v>
      </c>
      <c r="BL138" s="11" t="str">
        <f>IF(OR(AS138="Cash", AS138="Cash Adjustments"),"-",IF(ISNA(VLOOKUP(BK138,'BBG - VaR Data (Sample, Indus )'!C:N,5,0)),"-",VLOOKUP(BK138,'BBG - VaR Data (Sample, Indus )'!C:N,5,0)))</f>
        <v>-</v>
      </c>
      <c r="BM138" s="11">
        <f>IF(OR(AS138="Cash", AS138="Cash Adjustments"),"-",IF(ISNA(VLOOKUP(BK138,'BBG - Scenarios (Sample View)'!C:Z,14,0)),"-",VLOOKUP(BK138,'BBG - Scenarios (Sample View)'!C:Z,14,0)))</f>
        <v>-4.1500000000000004</v>
      </c>
      <c r="BN138" s="14">
        <f t="shared" si="27"/>
        <v>1348591.4538183697</v>
      </c>
      <c r="BO138" s="1">
        <f t="shared" si="28"/>
        <v>2.6454629048171655E-3</v>
      </c>
      <c r="BP138" t="str">
        <f>IF(BC138&lt;&gt;0,MaturityBucket(BG138),"")</f>
        <v>3 - 5 yrs</v>
      </c>
      <c r="BQ138" s="11" t="str">
        <f>IF(OR(T138="Cash",T138="Cash Adjustments"),T138,VLOOKUP(AL138,'SFC Classifcation'!$A:$C,2,0))</f>
        <v>China</v>
      </c>
      <c r="BR138" s="1" t="e">
        <f>IF(S138="Bond",BH138/'SFC Report'!$B$7,"")</f>
        <v>#VALUE!</v>
      </c>
      <c r="BS138" t="str">
        <f>IF(OR(T138="Cash",T138="Cash Adjustments"),"-",_xll.BDP(R138&amp;" FIGI",$BS$1))</f>
        <v>9/25/2019</v>
      </c>
      <c r="BT138" t="str">
        <f>IF(OR(T138="Cash",T138="Cash Adjustments"),"-",_xll.BDP(R138&amp;" FIGI",$BT$1))</f>
        <v>9/25/2019</v>
      </c>
      <c r="BU138" t="str">
        <f>IF(OR(T138="Cash",T138="Cash Adjustments"),"-",_xll.BDP(R138&amp;" FIGI",$BU$1))</f>
        <v>#N/A N/A</v>
      </c>
    </row>
    <row r="139" spans="1:73">
      <c r="A139" s="254" t="s">
        <v>15</v>
      </c>
      <c r="B139" s="254" t="s">
        <v>25</v>
      </c>
      <c r="C139" s="254" t="s">
        <v>46</v>
      </c>
      <c r="D139" s="254" t="s">
        <v>22</v>
      </c>
      <c r="E139" s="254"/>
      <c r="F139" s="254" t="s">
        <v>96</v>
      </c>
      <c r="G139" s="254" t="s">
        <v>97</v>
      </c>
      <c r="H139" s="270">
        <v>6000000</v>
      </c>
      <c r="I139" s="270">
        <v>103.426</v>
      </c>
      <c r="J139" s="270">
        <v>6165609.4400000004</v>
      </c>
      <c r="K139" s="270">
        <v>48393696.890000001</v>
      </c>
      <c r="L139" s="270">
        <v>-299365.71000000002</v>
      </c>
      <c r="M139" s="270">
        <v>800208.15</v>
      </c>
      <c r="N139" s="270">
        <v>48094331.18</v>
      </c>
      <c r="O139" s="255">
        <v>1.06E-2</v>
      </c>
      <c r="P139" s="1"/>
      <c r="Q139" s="1" t="str">
        <f t="shared" si="21"/>
        <v>Investments</v>
      </c>
      <c r="R139" s="1" t="str">
        <f>_xll.BDP(G139&amp;" ISIN",$R$1)</f>
        <v>BBG00NG9J699</v>
      </c>
      <c r="S139" s="1" t="str">
        <f>IF(Q139="Cash",Q139,IF(OR(Q139="Receivable Investments",Q139="Payable Investments"),"Cash Adjustments",_xll.BDP(R139&amp;" FIGI",$S$1)))</f>
        <v>BOND</v>
      </c>
      <c r="T139" s="1" t="str">
        <f>IF(Q139="Cash",Q139,IF(OR(Q139="Receivable Investments",Q139="Payable Investments"),"Cash Adjustments",VLOOKUP(R139,LQA!E:S,3,0)))</f>
        <v>Corp</v>
      </c>
      <c r="U139" s="1" t="str">
        <f>IF(Q139="Cash",Q139,IF(OR(Q139="Receivable Investments",Q139="Payable Investments"),"Cash Adjustments",_xll.BDP(R139&amp;" FIGI",$U$1)))</f>
        <v>#N/A Field Not Applicable</v>
      </c>
      <c r="V139" s="10">
        <f>IF(OR(Q139="Cash",Q139="Receivable Investments",Q139="Payable Investments"),0,IF(Q139="Investments",VLOOKUP(R139,LQA!E:Q,12,0),"Not Covered"))</f>
        <v>0.3</v>
      </c>
      <c r="W139" s="76">
        <f>IF(OR(Q139="Cash",Q139="Receivable Investments",Q139="Payable Investments"),0,IF(Q139="Investments",VLOOKUP(R139,LQA!E:Q,9,0),"Not Covered"))</f>
        <v>1.0381E-2</v>
      </c>
      <c r="X139" s="13" t="str">
        <f>IF(OR(H139=0,T139="Comdty"),"High",IF(V139&lt;='Liquidity Bucket'!$A$4,'Liquidity Bucket'!$I$4,IF(V139&lt;='Liquidity Bucket'!$A$5,'Liquidity Bucket'!$I$5,IF(V139&lt;='Liquidity Bucket'!$A$6,'Liquidity Bucket'!$I$6,IF(V139='Liquidity Bucket'!$A$8,'Liquidity Bucket'!$I$8,'Liquidity Bucket'!$I$7)))))</f>
        <v>High</v>
      </c>
      <c r="Y139" s="153">
        <f>IF(OR(Q139="Cash",Q139="Receivable Investments",Q139="Payable Investments"),0,IF(Q139="Investments",VLOOKUP(R139,'LQA Stress'!E:Q,12,0),"Not Covered"))</f>
        <v>3</v>
      </c>
      <c r="Z139" s="75">
        <f>IF(OR(Q139="Cash",Q139="Receivable Investments",Q139="Payable Investments"),0,IF(Q139="Investments",VLOOKUP(R139,'LQA Stress'!E:Q,9,0),"Not Covered"))</f>
        <v>2.7272999999999999E-2</v>
      </c>
      <c r="AA139" s="13" t="str">
        <f>IF(T139="Comdty","High",IF(Y139&lt;='Liquidity Bucket'!$A$4,'Liquidity Bucket'!$I$4,IF(Y139&lt;='Liquidity Bucket'!$A$5,'Liquidity Bucket'!$I$5,IF(Y139&lt;='Liquidity Bucket'!$A$6,'Liquidity Bucket'!$I$6,IF(Y139='Liquidity Bucket'!$A$8,'Liquidity Bucket'!$I$8,'Liquidity Bucket'!$I$7)))))</f>
        <v>High</v>
      </c>
      <c r="AB139" s="14">
        <f>(N139+M139)/'FX Rates'!$C$5</f>
        <v>6307345.1148090819</v>
      </c>
      <c r="AC139" s="15" t="str">
        <f>IF(X139="Not Covered", (H139/_xll.BDP(R139&amp;" FIGI",$AC$1)),"")</f>
        <v/>
      </c>
      <c r="AD139" s="16" t="str">
        <f>IF(X139="Not Covered", _xll.BDP(R139&amp;" FIGI",$AD$1),"")</f>
        <v/>
      </c>
      <c r="AE139" s="16" t="str">
        <f>IF(OR(T139="Corp",T139="Govt"),IF(_xll.BDP(R139&amp;" FIGI",$AE$1)="#N/A N/A","",_xll.BDP(R139&amp;" FIGI",$AE$1)),"")</f>
        <v/>
      </c>
      <c r="AF139" s="1" t="str">
        <f>IF(OR(T139="Corp",T139="Govt"),IF(_xll.BDP(R139&amp;" FIGI",$AF$1)="#N/A N/A","",_xll.BDP(R139&amp;" FIGI",$AF$1)),"")</f>
        <v/>
      </c>
      <c r="AG139" s="16" t="str">
        <f>IF(OR(T139="Corp",T139="Govt"),IF(_xll.BDP(R139&amp;" FIGI",$AG$1)="#N/A N/A","",_xll.BDP(R139&amp;" FIGI",$AG$1)),"")</f>
        <v>BB-</v>
      </c>
      <c r="AH139" s="125">
        <f>IF(OR(S139="Cash",S139="M-Mkt"),21,IF(AE139="",0,VLOOKUP(AE139,'Rating Scale'!A:B,2,0)))</f>
        <v>0</v>
      </c>
      <c r="AI139" s="125">
        <f>IF(OR(S139="Cash",S139="M-Mkt"),21,IF(AF139="",0,VLOOKUP(AF139,'Rating Scale'!D:E,2,0)))</f>
        <v>0</v>
      </c>
      <c r="AJ139" s="125">
        <f>IF(OR(S139="Cash",S139="M-Mkt"),21,IF(AG139="",0,VLOOKUP(AG139,'Rating Scale'!G:H,2,0)))</f>
        <v>9</v>
      </c>
      <c r="AK139">
        <f t="shared" si="19"/>
        <v>9</v>
      </c>
      <c r="AL139" s="1" t="str">
        <f>IF(OR(U139="Cash",U139="Cash Adjustments"),_xll.BDP(G139&amp;" Curncy","Country"),IF(T139="Equity",_xll.BDP(R139&amp;" FIGI","CNTRY_ISSUE_ISO"),_xll.BDP(R139&amp;" FIGI",$AL$1)))</f>
        <v>CN</v>
      </c>
      <c r="AM139" s="126" t="str">
        <f>IF(OR(T139="Cash",T139="Cash Adjustments",T139="M-Mkt"), T139, IF(T139="Comdty",AS139, _xll.BDP(R139&amp;" FIGI", $AM$1)))</f>
        <v>Financial</v>
      </c>
      <c r="AN139" s="126" t="str">
        <f>IF(OR(T139="Cash",T139="Cash Adjustments",T139="M-Mkt"), T139,  IF(T139="Comdty",AS139,_xll.BDP(R139&amp;" FIGI", $AN$1)))</f>
        <v>Real Estate</v>
      </c>
      <c r="AO139" s="126" t="str">
        <f>IF(OR(T139="Cash",T139="Cash Adjustments",T139="M-Mkt"), T139,  IF(T139="Comdty",AS139,_xll.BDP(R139&amp;" FIGI", $AO$1)))</f>
        <v>Real Estate Oper/Develop</v>
      </c>
      <c r="AP139" s="13" t="str">
        <f>IF(OR(T139="Cash",T139="Cash Adjustments"), T139, IF(_xll.BDP(R139&amp;" FIGI", $AP$1)="#N/A Field Not Applicable","N",_xll.BDP(R139&amp;" FIGI", $AP$1)))</f>
        <v>N</v>
      </c>
      <c r="AQ139" s="1" t="str">
        <f>IF(OR(T139="Cash",T139="Cash Adjustments"), T139, IF(_xll.BDP(R139&amp;" FIGI", $AQ$1)="#N/A Field Not Applicable"," ",_xll.BDP(R139&amp;" FIGI", $AQ$1)))</f>
        <v xml:space="preserve"> </v>
      </c>
      <c r="AR139" s="1" t="str">
        <f>IF(OR(T139="Cash",T139="Cash Adjustments"), T139, IF(_xll.BDP(R139&amp;" FIGI", $AR$1)="#N/A Field Not Applicable"," ",_xll.BDP(R139&amp;" FIGI", $AR$1)))</f>
        <v>ACTV</v>
      </c>
      <c r="AS139" s="1" t="str">
        <f>VLOOKUP(T139,'SFC Classifcation'!$F$2:$H$7,3,0)</f>
        <v>Corporate</v>
      </c>
      <c r="AT139" s="22" t="str">
        <f t="shared" si="22"/>
        <v>Financial</v>
      </c>
      <c r="AU139" s="1" t="str">
        <f t="shared" si="23"/>
        <v>Non-Investment Grade</v>
      </c>
      <c r="AV139" s="1" t="str">
        <f>IF(OR(T139="Cash",T139="Cash Adjustments"),T139,VLOOKUP(AL139,'SFC Classifcation'!$A:$C,3,0))</f>
        <v>China</v>
      </c>
      <c r="AW139" s="22" t="str">
        <f t="shared" si="24"/>
        <v>High</v>
      </c>
      <c r="AX139" s="22" t="str">
        <f t="shared" si="26"/>
        <v>High</v>
      </c>
      <c r="AY139" s="45" t="str">
        <f>IF(OR(T139="Cash",T139="Cash Adjustments"), T139, _xll.BDP(R139&amp;" FIGI", $AY$1))</f>
        <v>Real Estate</v>
      </c>
      <c r="AZ139" s="45" t="str">
        <f>IF(OR(T139="Cash",T139="Cash Adjustments"), T139, _xll.BDP(R139&amp;" FIGI", $AZ$1))</f>
        <v>FINANCIAL</v>
      </c>
      <c r="BA139" s="45" t="str">
        <f>IF(OR(T139="Cash",T139="Cash Adjustments"), T139, _xll.BDP(R139&amp;" FIGI", $BA$1))</f>
        <v>#N/A Field Not Applicable</v>
      </c>
      <c r="BB139" s="45">
        <f>IF(OR(AS139="Government",AS139="Corporate"),(AK139*AB139/'SFC Report'!$C$20),"")</f>
        <v>0.10313039841661155</v>
      </c>
      <c r="BC139" s="174" t="str">
        <f>IF(OR(T139="Cash",T139="Cash Adjustments", T139="FX Forward", T139="Repo", T139="Equity", T139="M-Mkt"), "", _xll.BDP(R139&amp;" FIGI", $BC$1))</f>
        <v>3/1/2022</v>
      </c>
      <c r="BD139" s="125">
        <f ca="1">IF(OR(T139="Cash",T139="Cash Adjustments",T139="FX Forward",T139="Repo", T139="Equity", T139="M-Mkt"),"",(BC139-'SFC Report'!$B$13)/365)</f>
        <v>1.8356164383561644</v>
      </c>
      <c r="BE139" s="82" t="str">
        <f t="shared" ca="1" si="18"/>
        <v>1 - 2 yrs</v>
      </c>
      <c r="BF139" s="5">
        <f ca="1">IF(BC139="","",BD139*AB139/'SFC Report'!$C$20)</f>
        <v>2.1034206069750302E-2</v>
      </c>
      <c r="BG139" s="14" cm="1">
        <f t="array" ref="BG139">IF(OR(AS139="Corporate",AS139="Government"),_xll.BDP(G139&amp;" ISIN", $BG$1),"")</f>
        <v>1.5664400604717166</v>
      </c>
      <c r="BH139" s="140">
        <f>IF(OR(AS139="Corporate",AS139="Government"),BG139*BN139/'SFC Report'!$C$20,"")</f>
        <v>1.7949731948021026E-2</v>
      </c>
      <c r="BI139" s="140">
        <f>IF(OR(AS139="Corporate",AS139="Government"),_xll.BDP(G139&amp;" ISIN", $BI$1),"")</f>
        <v>7.0063634344418038</v>
      </c>
      <c r="BJ139" s="140">
        <f>IF(OR(AS139="Corporate",AS139="Government"),BI139*AB139/'SFC Report'!$C$20,"")</f>
        <v>8.028545027172912E-2</v>
      </c>
      <c r="BK139" s="153" t="str">
        <f>IF(OR(T139="Cash",T139="Cash Adjustments"),"-",_xll.BDP(R139&amp;" FIGI",$BK$1))</f>
        <v>XS1957481440</v>
      </c>
      <c r="BL139" s="11" t="str">
        <f>IF(OR(AS139="Cash", AS139="Cash Adjustments"),"-",IF(ISNA(VLOOKUP(BK139,'BBG - VaR Data (Sample, Indus )'!C:N,5,0)),"-",VLOOKUP(BK139,'BBG - VaR Data (Sample, Indus )'!C:N,5,0)))</f>
        <v>-</v>
      </c>
      <c r="BM139" s="11">
        <f>IF(OR(AS139="Cash", AS139="Cash Adjustments"),"-",IF(ISNA(VLOOKUP(BK139,'BBG - Scenarios (Sample View)'!C:Z,14,0)),"-",VLOOKUP(BK139,'BBG - Scenarios (Sample View)'!C:Z,14,0)))</f>
        <v>-3.17</v>
      </c>
      <c r="BN139" s="14">
        <f t="shared" si="27"/>
        <v>6307345.1148090819</v>
      </c>
      <c r="BO139" s="1">
        <f t="shared" si="28"/>
        <v>1.2372796432799038E-2</v>
      </c>
      <c r="BP139" t="str">
        <f>IF(BC139&lt;&gt;0,MaturityBucket(BG139),"")</f>
        <v>1 - 2 yrs</v>
      </c>
      <c r="BQ139" s="11" t="str">
        <f>IF(OR(T139="Cash",T139="Cash Adjustments"),T139,VLOOKUP(AL139,'SFC Classifcation'!$A:$C,2,0))</f>
        <v>China</v>
      </c>
      <c r="BR139" s="1" t="e">
        <f>IF(S139="Bond",BH139/'SFC Report'!$B$7,"")</f>
        <v>#VALUE!</v>
      </c>
      <c r="BS139" t="str">
        <f>IF(OR(T139="Cash",T139="Cash Adjustments"),"-",_xll.BDP(R139&amp;" FIGI",$BS$1))</f>
        <v>#N/A N/A</v>
      </c>
      <c r="BT139" t="str">
        <f>IF(OR(T139="Cash",T139="Cash Adjustments"),"-",_xll.BDP(R139&amp;" FIGI",$BT$1))</f>
        <v>#N/A N/A</v>
      </c>
      <c r="BU139" t="str">
        <f>IF(OR(T139="Cash",T139="Cash Adjustments"),"-",_xll.BDP(R139&amp;" FIGI",$BU$1))</f>
        <v>8/18/2019</v>
      </c>
    </row>
    <row r="140" spans="1:73">
      <c r="A140" s="254" t="s">
        <v>15</v>
      </c>
      <c r="B140" s="254" t="s">
        <v>25</v>
      </c>
      <c r="C140" s="254" t="s">
        <v>46</v>
      </c>
      <c r="D140" s="254" t="s">
        <v>22</v>
      </c>
      <c r="E140" s="254"/>
      <c r="F140" s="254" t="s">
        <v>526</v>
      </c>
      <c r="G140" s="254" t="s">
        <v>527</v>
      </c>
      <c r="H140" s="270">
        <v>4000000</v>
      </c>
      <c r="I140" s="270">
        <v>103.88</v>
      </c>
      <c r="J140" s="270">
        <v>4237681.24</v>
      </c>
      <c r="K140" s="270">
        <v>33254139.190000001</v>
      </c>
      <c r="L140" s="270">
        <v>-1050508.1499999999</v>
      </c>
      <c r="M140" s="270">
        <v>658767.02</v>
      </c>
      <c r="N140" s="270">
        <v>32203631.039999999</v>
      </c>
      <c r="O140" s="255">
        <v>7.1000000000000004E-3</v>
      </c>
      <c r="P140" s="1"/>
      <c r="Q140" s="1" t="str">
        <f t="shared" si="21"/>
        <v>Investments</v>
      </c>
      <c r="R140" s="1" t="str">
        <f>_xll.BDP(G140&amp;" ISIN",$R$1)</f>
        <v>BBG00NDFM319</v>
      </c>
      <c r="S140" s="1" t="str">
        <f>IF(Q140="Cash",Q140,IF(OR(Q140="Receivable Investments",Q140="Payable Investments"),"Cash Adjustments",_xll.BDP(R140&amp;" FIGI",$S$1)))</f>
        <v>BOND</v>
      </c>
      <c r="T140" s="1" t="str">
        <f>IF(Q140="Cash",Q140,IF(OR(Q140="Receivable Investments",Q140="Payable Investments"),"Cash Adjustments",VLOOKUP(R140,LQA!E:S,3,0)))</f>
        <v>Corp</v>
      </c>
      <c r="U140" s="1" t="str">
        <f>IF(Q140="Cash",Q140,IF(OR(Q140="Receivable Investments",Q140="Payable Investments"),"Cash Adjustments",_xll.BDP(R140&amp;" FIGI",$U$1)))</f>
        <v>#N/A Field Not Applicable</v>
      </c>
      <c r="V140" s="10">
        <f>IF(OR(Q140="Cash",Q140="Receivable Investments",Q140="Payable Investments"),0,IF(Q140="Investments",VLOOKUP(R140,LQA!E:Q,12,0),"Not Covered"))</f>
        <v>0.2</v>
      </c>
      <c r="W140" s="76">
        <f>IF(OR(Q140="Cash",Q140="Receivable Investments",Q140="Payable Investments"),0,IF(Q140="Investments",VLOOKUP(R140,LQA!E:Q,9,0),"Not Covered"))</f>
        <v>8.2880000000000002E-3</v>
      </c>
      <c r="X140" s="13" t="str">
        <f>IF(OR(H140=0,T140="Comdty"),"High",IF(V140&lt;='Liquidity Bucket'!$A$4,'Liquidity Bucket'!$I$4,IF(V140&lt;='Liquidity Bucket'!$A$5,'Liquidity Bucket'!$I$5,IF(V140&lt;='Liquidity Bucket'!$A$6,'Liquidity Bucket'!$I$6,IF(V140='Liquidity Bucket'!$A$8,'Liquidity Bucket'!$I$8,'Liquidity Bucket'!$I$7)))))</f>
        <v>High</v>
      </c>
      <c r="Y140" s="153">
        <f>IF(OR(Q140="Cash",Q140="Receivable Investments",Q140="Payable Investments"),0,IF(Q140="Investments",VLOOKUP(R140,'LQA Stress'!E:Q,12,0),"Not Covered"))</f>
        <v>0.8</v>
      </c>
      <c r="Z140" s="75">
        <f>IF(OR(Q140="Cash",Q140="Receivable Investments",Q140="Payable Investments"),0,IF(Q140="Investments",VLOOKUP(R140,'LQA Stress'!E:Q,9,0),"Not Covered"))</f>
        <v>2.2221000000000001E-2</v>
      </c>
      <c r="AA140" s="13" t="str">
        <f>IF(T140="Comdty","High",IF(Y140&lt;='Liquidity Bucket'!$A$4,'Liquidity Bucket'!$I$4,IF(Y140&lt;='Liquidity Bucket'!$A$5,'Liquidity Bucket'!$I$5,IF(Y140&lt;='Liquidity Bucket'!$A$6,'Liquidity Bucket'!$I$6,IF(Y140='Liquidity Bucket'!$A$8,'Liquidity Bucket'!$I$8,'Liquidity Bucket'!$I$7)))))</f>
        <v>High</v>
      </c>
      <c r="AB140" s="14">
        <f>(N140+M140)/'FX Rates'!$C$5</f>
        <v>4239215.4360165121</v>
      </c>
      <c r="AC140" s="15" t="str">
        <f>IF(X140="Not Covered", (H140/_xll.BDP(R140&amp;" FIGI",$AC$1)),"")</f>
        <v/>
      </c>
      <c r="AD140" s="16" t="str">
        <f>IF(X140="Not Covered", _xll.BDP(R140&amp;" FIGI",$AD$1),"")</f>
        <v/>
      </c>
      <c r="AE140" s="16" t="str">
        <f>IF(OR(T140="Corp",T140="Govt"),IF(_xll.BDP(R140&amp;" FIGI",$AE$1)="#N/A N/A","",_xll.BDP(R140&amp;" FIGI",$AE$1)),"")</f>
        <v/>
      </c>
      <c r="AF140" s="1" t="str">
        <f>IF(OR(T140="Corp",T140="Govt"),IF(_xll.BDP(R140&amp;" FIGI",$AF$1)="#N/A N/A","",_xll.BDP(R140&amp;" FIGI",$AF$1)),"")</f>
        <v/>
      </c>
      <c r="AG140" s="16" t="str">
        <f>IF(OR(T140="Corp",T140="Govt"),IF(_xll.BDP(R140&amp;" FIGI",$AG$1)="#N/A N/A","",_xll.BDP(R140&amp;" FIGI",$AG$1)),"")</f>
        <v>BB-</v>
      </c>
      <c r="AH140" s="125">
        <f>IF(OR(S140="Cash",S140="M-Mkt"),21,IF(AE140="",0,VLOOKUP(AE140,'Rating Scale'!A:B,2,0)))</f>
        <v>0</v>
      </c>
      <c r="AI140" s="125">
        <f>IF(OR(S140="Cash",S140="M-Mkt"),21,IF(AF140="",0,VLOOKUP(AF140,'Rating Scale'!D:E,2,0)))</f>
        <v>0</v>
      </c>
      <c r="AJ140" s="125">
        <f>IF(OR(S140="Cash",S140="M-Mkt"),21,IF(AG140="",0,VLOOKUP(AG140,'Rating Scale'!G:H,2,0)))</f>
        <v>9</v>
      </c>
      <c r="AK140">
        <f t="shared" si="19"/>
        <v>9</v>
      </c>
      <c r="AL140" s="1" t="str">
        <f>IF(OR(U140="Cash",U140="Cash Adjustments"),_xll.BDP(G140&amp;" Curncy","Country"),IF(T140="Equity",_xll.BDP(R140&amp;" FIGI","CNTRY_ISSUE_ISO"),_xll.BDP(R140&amp;" FIGI",$AL$1)))</f>
        <v>CN</v>
      </c>
      <c r="AM140" s="126" t="str">
        <f>IF(OR(T140="Cash",T140="Cash Adjustments",T140="M-Mkt"), T140, IF(T140="Comdty",AS140, _xll.BDP(R140&amp;" FIGI", $AM$1)))</f>
        <v>Financial</v>
      </c>
      <c r="AN140" s="126" t="str">
        <f>IF(OR(T140="Cash",T140="Cash Adjustments",T140="M-Mkt"), T140,  IF(T140="Comdty",AS140,_xll.BDP(R140&amp;" FIGI", $AN$1)))</f>
        <v>Real Estate</v>
      </c>
      <c r="AO140" s="126" t="str">
        <f>IF(OR(T140="Cash",T140="Cash Adjustments",T140="M-Mkt"), T140,  IF(T140="Comdty",AS140,_xll.BDP(R140&amp;" FIGI", $AO$1)))</f>
        <v>Real Estate Oper/Develop</v>
      </c>
      <c r="AP140" s="13" t="str">
        <f>IF(OR(T140="Cash",T140="Cash Adjustments"), T140, IF(_xll.BDP(R140&amp;" FIGI", $AP$1)="#N/A Field Not Applicable","N",_xll.BDP(R140&amp;" FIGI", $AP$1)))</f>
        <v>N</v>
      </c>
      <c r="AQ140" s="1" t="str">
        <f>IF(OR(T140="Cash",T140="Cash Adjustments"), T140, IF(_xll.BDP(R140&amp;" FIGI", $AQ$1)="#N/A Field Not Applicable"," ",_xll.BDP(R140&amp;" FIGI", $AQ$1)))</f>
        <v xml:space="preserve"> </v>
      </c>
      <c r="AR140" s="1" t="str">
        <f>IF(OR(T140="Cash",T140="Cash Adjustments"), T140, IF(_xll.BDP(R140&amp;" FIGI", $AR$1)="#N/A Field Not Applicable"," ",_xll.BDP(R140&amp;" FIGI", $AR$1)))</f>
        <v>ACTV</v>
      </c>
      <c r="AS140" s="1" t="str">
        <f>VLOOKUP(T140,'SFC Classifcation'!$F$2:$H$7,3,0)</f>
        <v>Corporate</v>
      </c>
      <c r="AT140" s="22" t="str">
        <f t="shared" si="22"/>
        <v>Financial</v>
      </c>
      <c r="AU140" s="1" t="str">
        <f t="shared" si="23"/>
        <v>Non-Investment Grade</v>
      </c>
      <c r="AV140" s="1" t="str">
        <f>IF(OR(T140="Cash",T140="Cash Adjustments"),T140,VLOOKUP(AL140,'SFC Classifcation'!$A:$C,3,0))</f>
        <v>China</v>
      </c>
      <c r="AW140" s="22" t="str">
        <f t="shared" si="24"/>
        <v>High</v>
      </c>
      <c r="AX140" s="22" t="str">
        <f t="shared" si="26"/>
        <v>High</v>
      </c>
      <c r="AY140" s="45" t="str">
        <f>IF(OR(T140="Cash",T140="Cash Adjustments"), T140, _xll.BDP(R140&amp;" FIGI", $AY$1))</f>
        <v>Real Estate</v>
      </c>
      <c r="AZ140" s="45" t="str">
        <f>IF(OR(T140="Cash",T140="Cash Adjustments"), T140, _xll.BDP(R140&amp;" FIGI", $AZ$1))</f>
        <v>FINANCIAL</v>
      </c>
      <c r="BA140" s="45" t="str">
        <f>IF(OR(T140="Cash",T140="Cash Adjustments"), T140, _xll.BDP(R140&amp;" FIGI", $BA$1))</f>
        <v>#N/A Field Not Applicable</v>
      </c>
      <c r="BB140" s="45">
        <f>IF(OR(AS140="Government",AS140="Corporate"),(AK140*AB140/'SFC Report'!$C$20),"")</f>
        <v>6.9314738441019333E-2</v>
      </c>
      <c r="BC140" s="174" t="str">
        <f>IF(OR(T140="Cash",T140="Cash Adjustments", T140="FX Forward", T140="Repo", T140="Equity", T140="M-Mkt"), "", _xll.BDP(R140&amp;" FIGI", $BC$1))</f>
        <v>8/22/2021</v>
      </c>
      <c r="BD140" s="125">
        <f ca="1">IF(OR(T140="Cash",T140="Cash Adjustments",T140="FX Forward",T140="Repo", T140="Equity", T140="M-Mkt"),"",(BC140-'SFC Report'!$B$13)/365)</f>
        <v>1.3123287671232877</v>
      </c>
      <c r="BE140" s="82" t="str">
        <f t="shared" ca="1" si="18"/>
        <v>1 - 2 yrs</v>
      </c>
      <c r="BF140" s="5">
        <f ca="1">IF(BC140="","",BD140*AB140/'SFC Report'!$C$20)</f>
        <v>1.0107080582419563E-2</v>
      </c>
      <c r="BG140" s="14" cm="1">
        <f t="array" ref="BG140">IF(OR(AS140="Corporate",AS140="Government"),_xll.BDP(G140&amp;" ISIN", $BG$1),"")</f>
        <v>1.1224250125679436</v>
      </c>
      <c r="BH140" s="140">
        <f>IF(OR(AS140="Corporate",AS140="Government"),BG140*BN140/'SFC Report'!$C$20,"")</f>
        <v>8.6445106850894272E-3</v>
      </c>
      <c r="BI140" s="140">
        <f>IF(OR(AS140="Corporate",AS140="Government"),_xll.BDP(G140&amp;" ISIN", $BI$1),"")</f>
        <v>6.7289806554199867</v>
      </c>
      <c r="BJ140" s="140">
        <f>IF(OR(AS140="Corporate",AS140="Government"),BI140*AB140/'SFC Report'!$C$20,"")</f>
        <v>5.1824170456123919E-2</v>
      </c>
      <c r="BK140" s="153" t="str">
        <f>IF(OR(T140="Cash",T140="Cash Adjustments"),"-",_xll.BDP(R140&amp;" FIGI",$BK$1))</f>
        <v>XS1950819729</v>
      </c>
      <c r="BL140" s="11" t="str">
        <f>IF(OR(AS140="Cash", AS140="Cash Adjustments"),"-",IF(ISNA(VLOOKUP(BK140,'BBG - VaR Data (Sample, Indus )'!C:N,5,0)),"-",VLOOKUP(BK140,'BBG - VaR Data (Sample, Indus )'!C:N,5,0)))</f>
        <v>-</v>
      </c>
      <c r="BM140" s="11">
        <f>IF(OR(AS140="Cash", AS140="Cash Adjustments"),"-",IF(ISNA(VLOOKUP(BK140,'BBG - Scenarios (Sample View)'!C:Z,14,0)),"-",VLOOKUP(BK140,'BBG - Scenarios (Sample View)'!C:Z,14,0)))</f>
        <v>-2.23</v>
      </c>
      <c r="BN140" s="14">
        <f t="shared" si="27"/>
        <v>4239215.4360165121</v>
      </c>
      <c r="BO140" s="1">
        <f t="shared" si="28"/>
        <v>8.3158521802559355E-3</v>
      </c>
      <c r="BP140" t="str">
        <f>IF(BC140&lt;&gt;0,MaturityBucket(BG140),"")</f>
        <v>1 - 2 yrs</v>
      </c>
      <c r="BQ140" s="11" t="str">
        <f>IF(OR(T140="Cash",T140="Cash Adjustments"),T140,VLOOKUP(AL140,'SFC Classifcation'!$A:$C,2,0))</f>
        <v>China</v>
      </c>
      <c r="BR140" s="1" t="e">
        <f>IF(S140="Bond",BH140/'SFC Report'!$B$7,"")</f>
        <v>#VALUE!</v>
      </c>
      <c r="BS140" t="str">
        <f>IF(OR(T140="Cash",T140="Cash Adjustments"),"-",_xll.BDP(R140&amp;" FIGI",$BS$1))</f>
        <v>#N/A N/A</v>
      </c>
      <c r="BT140" t="str">
        <f>IF(OR(T140="Cash",T140="Cash Adjustments"),"-",_xll.BDP(R140&amp;" FIGI",$BT$1))</f>
        <v>#N/A N/A</v>
      </c>
      <c r="BU140" t="str">
        <f>IF(OR(T140="Cash",T140="Cash Adjustments"),"-",_xll.BDP(R140&amp;" FIGI",$BU$1))</f>
        <v>8/18/2019</v>
      </c>
    </row>
    <row r="141" spans="1:73">
      <c r="A141" s="254" t="s">
        <v>15</v>
      </c>
      <c r="B141" s="254" t="s">
        <v>25</v>
      </c>
      <c r="C141" s="254" t="s">
        <v>46</v>
      </c>
      <c r="D141" s="254" t="s">
        <v>22</v>
      </c>
      <c r="E141" s="254"/>
      <c r="F141" s="254" t="s">
        <v>1223</v>
      </c>
      <c r="G141" s="254" t="s">
        <v>1224</v>
      </c>
      <c r="H141" s="270">
        <v>3100000</v>
      </c>
      <c r="I141" s="270">
        <v>100.241</v>
      </c>
      <c r="J141" s="270">
        <v>3269250</v>
      </c>
      <c r="K141" s="270">
        <v>25442212.329999998</v>
      </c>
      <c r="L141" s="270">
        <v>-1358690.59</v>
      </c>
      <c r="M141" s="270">
        <v>29197.8</v>
      </c>
      <c r="N141" s="270">
        <v>24083521.739999998</v>
      </c>
      <c r="O141" s="255">
        <v>5.3E-3</v>
      </c>
      <c r="P141" s="1"/>
      <c r="Q141" s="1" t="str">
        <f t="shared" si="21"/>
        <v>Investments</v>
      </c>
      <c r="R141" s="1" t="str">
        <f>_xll.BDP(G141&amp;" ISIN",$R$1)</f>
        <v>BBG00NWVJPB7</v>
      </c>
      <c r="S141" s="1" t="str">
        <f>IF(Q141="Cash",Q141,IF(OR(Q141="Receivable Investments",Q141="Payable Investments"),"Cash Adjustments",_xll.BDP(R141&amp;" FIGI",$S$1)))</f>
        <v>BOND</v>
      </c>
      <c r="T141" s="1" t="str">
        <f>IF(Q141="Cash",Q141,IF(OR(Q141="Receivable Investments",Q141="Payable Investments"),"Cash Adjustments",VLOOKUP(R141,LQA!E:S,3,0)))</f>
        <v>Corp</v>
      </c>
      <c r="U141" s="1" t="str">
        <f>IF(Q141="Cash",Q141,IF(OR(Q141="Receivable Investments",Q141="Payable Investments"),"Cash Adjustments",_xll.BDP(R141&amp;" FIGI",$U$1)))</f>
        <v>#N/A Field Not Applicable</v>
      </c>
      <c r="V141" s="10">
        <f>IF(OR(Q141="Cash",Q141="Receivable Investments",Q141="Payable Investments"),0,IF(Q141="Investments",VLOOKUP(R141,LQA!E:Q,12,0),"Not Covered"))</f>
        <v>0.3</v>
      </c>
      <c r="W141" s="76">
        <f>IF(OR(Q141="Cash",Q141="Receivable Investments",Q141="Payable Investments"),0,IF(Q141="Investments",VLOOKUP(R141,LQA!E:Q,9,0),"Not Covered"))</f>
        <v>9.3360000000000005E-3</v>
      </c>
      <c r="X141" s="13" t="str">
        <f>IF(OR(H141=0,T141="Comdty"),"High",IF(V141&lt;='Liquidity Bucket'!$A$4,'Liquidity Bucket'!$I$4,IF(V141&lt;='Liquidity Bucket'!$A$5,'Liquidity Bucket'!$I$5,IF(V141&lt;='Liquidity Bucket'!$A$6,'Liquidity Bucket'!$I$6,IF(V141='Liquidity Bucket'!$A$8,'Liquidity Bucket'!$I$8,'Liquidity Bucket'!$I$7)))))</f>
        <v>High</v>
      </c>
      <c r="Y141" s="153">
        <f>IF(OR(Q141="Cash",Q141="Receivable Investments",Q141="Payable Investments"),0,IF(Q141="Investments",VLOOKUP(R141,'LQA Stress'!E:Q,12,0),"Not Covered"))</f>
        <v>1.6</v>
      </c>
      <c r="Z141" s="75">
        <f>IF(OR(Q141="Cash",Q141="Receivable Investments",Q141="Payable Investments"),0,IF(Q141="Investments",VLOOKUP(R141,'LQA Stress'!E:Q,9,0),"Not Covered"))</f>
        <v>2.4621000000000001E-2</v>
      </c>
      <c r="AA141" s="13" t="str">
        <f>IF(T141="Comdty","High",IF(Y141&lt;='Liquidity Bucket'!$A$4,'Liquidity Bucket'!$I$4,IF(Y141&lt;='Liquidity Bucket'!$A$5,'Liquidity Bucket'!$I$5,IF(Y141&lt;='Liquidity Bucket'!$A$6,'Liquidity Bucket'!$I$6,IF(Y141='Liquidity Bucket'!$A$8,'Liquidity Bucket'!$I$8,'Liquidity Bucket'!$I$7)))))</f>
        <v>High</v>
      </c>
      <c r="AB141" s="14">
        <f>(N141+M141)/'FX Rates'!$C$5</f>
        <v>3110515.9365325077</v>
      </c>
      <c r="AC141" s="15" t="str">
        <f>IF(X141="Not Covered", (H141/_xll.BDP(R141&amp;" FIGI",$AC$1)),"")</f>
        <v/>
      </c>
      <c r="AD141" s="16" t="str">
        <f>IF(X141="Not Covered", _xll.BDP(R141&amp;" FIGI",$AD$1),"")</f>
        <v/>
      </c>
      <c r="AE141" s="16" t="str">
        <f>IF(OR(T141="Corp",T141="Govt"),IF(_xll.BDP(R141&amp;" FIGI",$AE$1)="#N/A N/A","",_xll.BDP(R141&amp;" FIGI",$AE$1)),"")</f>
        <v/>
      </c>
      <c r="AF141" s="1" t="str">
        <f>IF(OR(T141="Corp",T141="Govt"),IF(_xll.BDP(R141&amp;" FIGI",$AF$1)="#N/A N/A","",_xll.BDP(R141&amp;" FIGI",$AF$1)),"")</f>
        <v>B2</v>
      </c>
      <c r="AG141" s="16" t="str">
        <f>IF(OR(T141="Corp",T141="Govt"),IF(_xll.BDP(R141&amp;" FIGI",$AG$1)="#N/A N/A","",_xll.BDP(R141&amp;" FIGI",$AG$1)),"")</f>
        <v>BB-</v>
      </c>
      <c r="AH141" s="125">
        <f>IF(OR(S141="Cash",S141="M-Mkt"),21,IF(AE141="",0,VLOOKUP(AE141,'Rating Scale'!A:B,2,0)))</f>
        <v>0</v>
      </c>
      <c r="AI141" s="125">
        <f>IF(OR(S141="Cash",S141="M-Mkt"),21,IF(AF141="",0,VLOOKUP(AF141,'Rating Scale'!D:E,2,0)))</f>
        <v>7</v>
      </c>
      <c r="AJ141" s="125">
        <f>IF(OR(S141="Cash",S141="M-Mkt"),21,IF(AG141="",0,VLOOKUP(AG141,'Rating Scale'!G:H,2,0)))</f>
        <v>9</v>
      </c>
      <c r="AK141">
        <f t="shared" si="19"/>
        <v>7</v>
      </c>
      <c r="AL141" s="1" t="str">
        <f>IF(OR(U141="Cash",U141="Cash Adjustments"),_xll.BDP(G141&amp;" Curncy","Country"),IF(T141="Equity",_xll.BDP(R141&amp;" FIGI","CNTRY_ISSUE_ISO"),_xll.BDP(R141&amp;" FIGI",$AL$1)))</f>
        <v>CN</v>
      </c>
      <c r="AM141" s="126" t="str">
        <f>IF(OR(T141="Cash",T141="Cash Adjustments",T141="M-Mkt"), T141, IF(T141="Comdty",AS141, _xll.BDP(R141&amp;" FIGI", $AM$1)))</f>
        <v>Financial</v>
      </c>
      <c r="AN141" s="126" t="str">
        <f>IF(OR(T141="Cash",T141="Cash Adjustments",T141="M-Mkt"), T141,  IF(T141="Comdty",AS141,_xll.BDP(R141&amp;" FIGI", $AN$1)))</f>
        <v>Real Estate</v>
      </c>
      <c r="AO141" s="126" t="str">
        <f>IF(OR(T141="Cash",T141="Cash Adjustments",T141="M-Mkt"), T141,  IF(T141="Comdty",AS141,_xll.BDP(R141&amp;" FIGI", $AO$1)))</f>
        <v>Real Estate Oper/Develop</v>
      </c>
      <c r="AP141" s="13" t="str">
        <f>IF(OR(T141="Cash",T141="Cash Adjustments"), T141, IF(_xll.BDP(R141&amp;" FIGI", $AP$1)="#N/A Field Not Applicable","N",_xll.BDP(R141&amp;" FIGI", $AP$1)))</f>
        <v>N</v>
      </c>
      <c r="AQ141" s="1" t="str">
        <f>IF(OR(T141="Cash",T141="Cash Adjustments"), T141, IF(_xll.BDP(R141&amp;" FIGI", $AQ$1)="#N/A Field Not Applicable"," ",_xll.BDP(R141&amp;" FIGI", $AQ$1)))</f>
        <v xml:space="preserve"> </v>
      </c>
      <c r="AR141" s="1" t="str">
        <f>IF(OR(T141="Cash",T141="Cash Adjustments"), T141, IF(_xll.BDP(R141&amp;" FIGI", $AR$1)="#N/A Field Not Applicable"," ",_xll.BDP(R141&amp;" FIGI", $AR$1)))</f>
        <v>ACTV</v>
      </c>
      <c r="AS141" s="1" t="str">
        <f>VLOOKUP(T141,'SFC Classifcation'!$F$2:$H$7,3,0)</f>
        <v>Corporate</v>
      </c>
      <c r="AT141" s="22" t="str">
        <f t="shared" si="22"/>
        <v>Financial</v>
      </c>
      <c r="AU141" s="1" t="str">
        <f t="shared" si="23"/>
        <v>Non-Investment Grade</v>
      </c>
      <c r="AV141" s="1" t="str">
        <f>IF(OR(T141="Cash",T141="Cash Adjustments"),T141,VLOOKUP(AL141,'SFC Classifcation'!$A:$C,3,0))</f>
        <v>China</v>
      </c>
      <c r="AW141" s="22" t="str">
        <f t="shared" si="24"/>
        <v>High</v>
      </c>
      <c r="AX141" s="22" t="str">
        <f t="shared" si="26"/>
        <v>High</v>
      </c>
      <c r="AY141" s="45" t="str">
        <f>IF(OR(T141="Cash",T141="Cash Adjustments"), T141, _xll.BDP(R141&amp;" FIGI", $AY$1))</f>
        <v>Real Estate</v>
      </c>
      <c r="AZ141" s="45" t="str">
        <f>IF(OR(T141="Cash",T141="Cash Adjustments"), T141, _xll.BDP(R141&amp;" FIGI", $AZ$1))</f>
        <v>FINANCIAL</v>
      </c>
      <c r="BA141" s="45" t="str">
        <f>IF(OR(T141="Cash",T141="Cash Adjustments"), T141, _xll.BDP(R141&amp;" FIGI", $BA$1))</f>
        <v>#N/A Field Not Applicable</v>
      </c>
      <c r="BB141" s="45">
        <f>IF(OR(AS141="Government",AS141="Corporate"),(AK141*AB141/'SFC Report'!$C$20),"")</f>
        <v>3.955742945260645E-2</v>
      </c>
      <c r="BC141" s="174" t="str">
        <f>IF(OR(T141="Cash",T141="Cash Adjustments", T141="FX Forward", T141="Repo", T141="Equity", T141="M-Mkt"), "", _xll.BDP(R141&amp;" FIGI", $BC$1))</f>
        <v>10/25/2022</v>
      </c>
      <c r="BD141" s="125">
        <f ca="1">IF(OR(T141="Cash",T141="Cash Adjustments",T141="FX Forward",T141="Repo", T141="Equity", T141="M-Mkt"),"",(BC141-'SFC Report'!$B$13)/365)</f>
        <v>2.4876712328767123</v>
      </c>
      <c r="BE141" s="82" t="str">
        <f t="shared" ca="1" si="18"/>
        <v>2 - 3 yrs</v>
      </c>
      <c r="BF141" s="5">
        <f ca="1">IF(BC141="","",BD141*AB141/'SFC Report'!$C$20)</f>
        <v>1.4057982756542724E-2</v>
      </c>
      <c r="BG141" s="14" cm="1">
        <f t="array" ref="BG141">IF(OR(AS141="Corporate",AS141="Government"),_xll.BDP(G141&amp;" ISIN", $BG$1),"")</f>
        <v>2.136951440225705</v>
      </c>
      <c r="BH141" s="140">
        <f>IF(OR(AS141="Corporate",AS141="Government"),BG141*BN141/'SFC Report'!$C$20,"")</f>
        <v>1.2076043691482012E-2</v>
      </c>
      <c r="BI141" s="140">
        <f>IF(OR(AS141="Corporate",AS141="Government"),_xll.BDP(G141&amp;" ISIN", $BI$1),"")</f>
        <v>7.2126897200466633</v>
      </c>
      <c r="BJ141" s="140">
        <f>IF(OR(AS141="Corporate",AS141="Government"),BI141*AB141/'SFC Report'!$C$20,"")</f>
        <v>4.0759352109183668E-2</v>
      </c>
      <c r="BK141" s="153" t="str">
        <f>IF(OR(T141="Cash",T141="Cash Adjustments"),"-",_xll.BDP(R141&amp;" FIGI",$BK$1))</f>
        <v>XS1976760782</v>
      </c>
      <c r="BL141" s="11" t="str">
        <f>IF(OR(AS141="Cash", AS141="Cash Adjustments"),"-",IF(ISNA(VLOOKUP(BK141,'BBG - VaR Data (Sample, Indus )'!C:N,5,0)),"-",VLOOKUP(BK141,'BBG - VaR Data (Sample, Indus )'!C:N,5,0)))</f>
        <v>-</v>
      </c>
      <c r="BM141" s="11">
        <f>IF(OR(AS141="Cash", AS141="Cash Adjustments"),"-",IF(ISNA(VLOOKUP(BK141,'BBG - Scenarios (Sample View)'!C:Z,14,0)),"-",VLOOKUP(BK141,'BBG - Scenarios (Sample View)'!C:Z,14,0)))</f>
        <v>-3.98</v>
      </c>
      <c r="BN141" s="14">
        <f t="shared" si="27"/>
        <v>3110515.9365325077</v>
      </c>
      <c r="BO141" s="1">
        <f t="shared" si="28"/>
        <v>6.101740079725906E-3</v>
      </c>
      <c r="BP141" t="str">
        <f>IF(BC141&lt;&gt;0,MaturityBucket(BG141),"")</f>
        <v>2 - 3 yrs</v>
      </c>
      <c r="BQ141" s="11" t="str">
        <f>IF(OR(T141="Cash",T141="Cash Adjustments"),T141,VLOOKUP(AL141,'SFC Classifcation'!$A:$C,2,0))</f>
        <v>China</v>
      </c>
      <c r="BR141" s="1" t="e">
        <f>IF(S141="Bond",BH141/'SFC Report'!$B$7,"")</f>
        <v>#VALUE!</v>
      </c>
      <c r="BS141" t="str">
        <f>IF(OR(T141="Cash",T141="Cash Adjustments"),"-",_xll.BDP(R141&amp;" FIGI",$BS$1))</f>
        <v>#N/A N/A</v>
      </c>
      <c r="BT141" t="str">
        <f>IF(OR(T141="Cash",T141="Cash Adjustments"),"-",_xll.BDP(R141&amp;" FIGI",$BT$1))</f>
        <v>4/17/2019</v>
      </c>
      <c r="BU141" t="str">
        <f>IF(OR(T141="Cash",T141="Cash Adjustments"),"-",_xll.BDP(R141&amp;" FIGI",$BU$1))</f>
        <v>8/18/2019</v>
      </c>
    </row>
    <row r="142" spans="1:73">
      <c r="A142" s="254" t="s">
        <v>15</v>
      </c>
      <c r="B142" s="254" t="s">
        <v>25</v>
      </c>
      <c r="C142" s="254" t="s">
        <v>46</v>
      </c>
      <c r="D142" s="254" t="s">
        <v>22</v>
      </c>
      <c r="E142" s="254"/>
      <c r="F142" s="254" t="s">
        <v>98</v>
      </c>
      <c r="G142" s="254" t="s">
        <v>99</v>
      </c>
      <c r="H142" s="270">
        <v>1500000</v>
      </c>
      <c r="I142" s="270">
        <v>109.646</v>
      </c>
      <c r="J142" s="270">
        <v>1495507.5</v>
      </c>
      <c r="K142" s="270">
        <v>11723282.57</v>
      </c>
      <c r="L142" s="270">
        <v>1023393.87</v>
      </c>
      <c r="M142" s="270">
        <v>166306.38</v>
      </c>
      <c r="N142" s="270">
        <v>12746676.439999999</v>
      </c>
      <c r="O142" s="255">
        <v>2.8E-3</v>
      </c>
      <c r="P142" s="1"/>
      <c r="Q142" s="1" t="str">
        <f t="shared" si="21"/>
        <v>Investments</v>
      </c>
      <c r="R142" s="1" t="str">
        <f>_xll.BDP(G142&amp;" ISIN",$R$1)</f>
        <v>BBG00N14WRV0</v>
      </c>
      <c r="S142" s="1" t="str">
        <f>IF(Q142="Cash",Q142,IF(OR(Q142="Receivable Investments",Q142="Payable Investments"),"Cash Adjustments",_xll.BDP(R142&amp;" FIGI",$S$1)))</f>
        <v>BOND</v>
      </c>
      <c r="T142" s="1" t="str">
        <f>IF(Q142="Cash",Q142,IF(OR(Q142="Receivable Investments",Q142="Payable Investments"),"Cash Adjustments",VLOOKUP(R142,LQA!E:S,3,0)))</f>
        <v>Corp</v>
      </c>
      <c r="U142" s="1" t="str">
        <f>IF(Q142="Cash",Q142,IF(OR(Q142="Receivable Investments",Q142="Payable Investments"),"Cash Adjustments",_xll.BDP(R142&amp;" FIGI",$U$1)))</f>
        <v>#N/A Field Not Applicable</v>
      </c>
      <c r="V142" s="10">
        <f>IF(OR(Q142="Cash",Q142="Receivable Investments",Q142="Payable Investments"),0,IF(Q142="Investments",VLOOKUP(R142,LQA!E:Q,12,0),"Not Covered"))</f>
        <v>1.5</v>
      </c>
      <c r="W142" s="76">
        <f>IF(OR(Q142="Cash",Q142="Receivable Investments",Q142="Payable Investments"),0,IF(Q142="Investments",VLOOKUP(R142,LQA!E:Q,9,0),"Not Covered"))</f>
        <v>1.6431999999999999E-2</v>
      </c>
      <c r="X142" s="13" t="str">
        <f>IF(OR(H142=0,T142="Comdty"),"High",IF(V142&lt;='Liquidity Bucket'!$A$4,'Liquidity Bucket'!$I$4,IF(V142&lt;='Liquidity Bucket'!$A$5,'Liquidity Bucket'!$I$5,IF(V142&lt;='Liquidity Bucket'!$A$6,'Liquidity Bucket'!$I$6,IF(V142='Liquidity Bucket'!$A$8,'Liquidity Bucket'!$I$8,'Liquidity Bucket'!$I$7)))))</f>
        <v>High</v>
      </c>
      <c r="Y142" s="153">
        <f>IF(OR(Q142="Cash",Q142="Receivable Investments",Q142="Payable Investments"),0,IF(Q142="Investments",VLOOKUP(R142,'LQA Stress'!E:Q,12,0),"Not Covered"))</f>
        <v>1.9</v>
      </c>
      <c r="Z142" s="75">
        <f>IF(OR(Q142="Cash",Q142="Receivable Investments",Q142="Payable Investments"),0,IF(Q142="Investments",VLOOKUP(R142,'LQA Stress'!E:Q,9,0),"Not Covered"))</f>
        <v>4.3033000000000002E-2</v>
      </c>
      <c r="AA142" s="13" t="str">
        <f>IF(T142="Comdty","High",IF(Y142&lt;='Liquidity Bucket'!$A$4,'Liquidity Bucket'!$I$4,IF(Y142&lt;='Liquidity Bucket'!$A$5,'Liquidity Bucket'!$I$5,IF(Y142&lt;='Liquidity Bucket'!$A$6,'Liquidity Bucket'!$I$6,IF(Y142='Liquidity Bucket'!$A$8,'Liquidity Bucket'!$I$8,'Liquidity Bucket'!$I$7)))))</f>
        <v>High</v>
      </c>
      <c r="AB142" s="14">
        <f>(N142+M142)/'FX Rates'!$C$5</f>
        <v>1665761.4576883386</v>
      </c>
      <c r="AC142" s="15" t="str">
        <f>IF(X142="Not Covered", (H142/_xll.BDP(R142&amp;" FIGI",$AC$1)),"")</f>
        <v/>
      </c>
      <c r="AD142" s="16" t="str">
        <f>IF(X142="Not Covered", _xll.BDP(R142&amp;" FIGI",$AD$1),"")</f>
        <v/>
      </c>
      <c r="AE142" s="16" t="str">
        <f>IF(OR(T142="Corp",T142="Govt"),IF(_xll.BDP(R142&amp;" FIGI",$AE$1)="#N/A N/A","",_xll.BDP(R142&amp;" FIGI",$AE$1)),"")</f>
        <v/>
      </c>
      <c r="AF142" s="1" t="str">
        <f>IF(OR(T142="Corp",T142="Govt"),IF(_xll.BDP(R142&amp;" FIGI",$AF$1)="#N/A N/A","",_xll.BDP(R142&amp;" FIGI",$AF$1)),"")</f>
        <v>A3</v>
      </c>
      <c r="AG142" s="16" t="str">
        <f>IF(OR(T142="Corp",T142="Govt"),IF(_xll.BDP(R142&amp;" FIGI",$AG$1)="#N/A N/A","",_xll.BDP(R142&amp;" FIGI",$AG$1)),"")</f>
        <v>BBB+</v>
      </c>
      <c r="AH142" s="125">
        <f>IF(OR(S142="Cash",S142="M-Mkt"),21,IF(AE142="",0,VLOOKUP(AE142,'Rating Scale'!A:B,2,0)))</f>
        <v>0</v>
      </c>
      <c r="AI142" s="125">
        <f>IF(OR(S142="Cash",S142="M-Mkt"),21,IF(AF142="",0,VLOOKUP(AF142,'Rating Scale'!D:E,2,0)))</f>
        <v>15</v>
      </c>
      <c r="AJ142" s="125">
        <f>IF(OR(S142="Cash",S142="M-Mkt"),21,IF(AG142="",0,VLOOKUP(AG142,'Rating Scale'!G:H,2,0)))</f>
        <v>14</v>
      </c>
      <c r="AK142">
        <f t="shared" si="19"/>
        <v>14</v>
      </c>
      <c r="AL142" s="1" t="str">
        <f>IF(OR(U142="Cash",U142="Cash Adjustments"),_xll.BDP(G142&amp;" Curncy","Country"),IF(T142="Equity",_xll.BDP(R142&amp;" FIGI","CNTRY_ISSUE_ISO"),_xll.BDP(R142&amp;" FIGI",$AL$1)))</f>
        <v>HK</v>
      </c>
      <c r="AM142" s="126" t="str">
        <f>IF(OR(T142="Cash",T142="Cash Adjustments",T142="M-Mkt"), T142, IF(T142="Comdty",AS142, _xll.BDP(R142&amp;" FIGI", $AM$1)))</f>
        <v>Financial</v>
      </c>
      <c r="AN142" s="126" t="str">
        <f>IF(OR(T142="Cash",T142="Cash Adjustments",T142="M-Mkt"), T142,  IF(T142="Comdty",AS142,_xll.BDP(R142&amp;" FIGI", $AN$1)))</f>
        <v>Banks</v>
      </c>
      <c r="AO142" s="126" t="str">
        <f>IF(OR(T142="Cash",T142="Cash Adjustments",T142="M-Mkt"), T142,  IF(T142="Comdty",AS142,_xll.BDP(R142&amp;" FIGI", $AO$1)))</f>
        <v>Commer Banks Non-US</v>
      </c>
      <c r="AP142" s="13" t="str">
        <f>IF(OR(T142="Cash",T142="Cash Adjustments"), T142, IF(_xll.BDP(R142&amp;" FIGI", $AP$1)="#N/A Field Not Applicable","N",_xll.BDP(R142&amp;" FIGI", $AP$1)))</f>
        <v>N</v>
      </c>
      <c r="AQ142" s="1" t="str">
        <f>IF(OR(T142="Cash",T142="Cash Adjustments"), T142, IF(_xll.BDP(R142&amp;" FIGI", $AQ$1)="#N/A Field Not Applicable"," ",_xll.BDP(R142&amp;" FIGI", $AQ$1)))</f>
        <v xml:space="preserve"> </v>
      </c>
      <c r="AR142" s="1" t="str">
        <f>IF(OR(T142="Cash",T142="Cash Adjustments"), T142, IF(_xll.BDP(R142&amp;" FIGI", $AR$1)="#N/A Field Not Applicable"," ",_xll.BDP(R142&amp;" FIGI", $AR$1)))</f>
        <v>ACTV</v>
      </c>
      <c r="AS142" s="1" t="str">
        <f>VLOOKUP(T142,'SFC Classifcation'!$F$2:$H$7,3,0)</f>
        <v>Corporate</v>
      </c>
      <c r="AT142" s="22" t="str">
        <f t="shared" si="22"/>
        <v>Financial</v>
      </c>
      <c r="AU142" s="1" t="str">
        <f t="shared" si="23"/>
        <v>Investment Grade</v>
      </c>
      <c r="AV142" s="1" t="str">
        <f>IF(OR(T142="Cash",T142="Cash Adjustments"),T142,VLOOKUP(AL142,'SFC Classifcation'!$A:$C,3,0))</f>
        <v>Hong Kong</v>
      </c>
      <c r="AW142" s="22" t="str">
        <f t="shared" si="24"/>
        <v>High</v>
      </c>
      <c r="AX142" s="22" t="str">
        <f t="shared" si="26"/>
        <v>High</v>
      </c>
      <c r="AY142" s="45" t="str">
        <f>IF(OR(T142="Cash",T142="Cash Adjustments"), T142, _xll.BDP(R142&amp;" FIGI", $AY$1))</f>
        <v>#N/A Field Not Applicable</v>
      </c>
      <c r="AZ142" s="45" t="str">
        <f>IF(OR(T142="Cash",T142="Cash Adjustments"), T142, _xll.BDP(R142&amp;" FIGI", $AZ$1))</f>
        <v>BANK</v>
      </c>
      <c r="BA142" s="45" t="str">
        <f>IF(OR(T142="Cash",T142="Cash Adjustments"), T142, _xll.BDP(R142&amp;" FIGI", $BA$1))</f>
        <v>#N/A Field Not Applicable</v>
      </c>
      <c r="BB142" s="45">
        <f>IF(OR(AS142="Government",AS142="Corporate"),(AK142*AB142/'SFC Report'!$C$20),"")</f>
        <v>4.2368046132457871E-2</v>
      </c>
      <c r="BC142" s="174" t="str">
        <f>IF(OR(T142="Cash",T142="Cash Adjustments", T142="FX Forward", T142="Repo", T142="Equity", T142="M-Mkt"), "", _xll.BDP(R142&amp;" FIGI", $BC$1))</f>
        <v>1/17/2029</v>
      </c>
      <c r="BD142" s="125">
        <f ca="1">IF(OR(T142="Cash",T142="Cash Adjustments",T142="FX Forward",T142="Repo", T142="Equity", T142="M-Mkt"),"",(BC142-'SFC Report'!$B$13)/365)</f>
        <v>8.7232876712328764</v>
      </c>
      <c r="BE142" s="82" t="str">
        <f t="shared" ca="1" si="18"/>
        <v>7 - 10 yrs</v>
      </c>
      <c r="BF142" s="5">
        <f ca="1">IF(BC142="","",BD142*AB142/'SFC Report'!$C$20)</f>
        <v>2.6399189605821109E-2</v>
      </c>
      <c r="BG142" s="14" cm="1">
        <f t="array" ref="BG142">IF(OR(AS142="Corporate",AS142="Government"),_xll.BDP(G142&amp;" ISIN", $BG$1),"")</f>
        <v>3.2620859007528886</v>
      </c>
      <c r="BH142" s="140">
        <f>IF(OR(AS142="Corporate",AS142="Government"),BG142*BN142/'SFC Report'!$C$20,"")</f>
        <v>9.8720147093670566E-3</v>
      </c>
      <c r="BI142" s="140">
        <f>IF(OR(AS142="Corporate",AS142="Government"),_xll.BDP(G142&amp;" ISIN", $BI$1),"")</f>
        <v>3.2404887800113267</v>
      </c>
      <c r="BJ142" s="140">
        <f>IF(OR(AS142="Corporate",AS142="Government"),BI142*AB142/'SFC Report'!$C$20,"")</f>
        <v>9.8066555802308591E-3</v>
      </c>
      <c r="BK142" s="153" t="str">
        <f>IF(OR(T142="Cash",T142="Cash Adjustments"),"-",_xll.BDP(R142&amp;" FIGI",$BK$1))</f>
        <v>XS1892105823</v>
      </c>
      <c r="BL142" s="11" t="str">
        <f>IF(OR(AS142="Cash", AS142="Cash Adjustments"),"-",IF(ISNA(VLOOKUP(BK142,'BBG - VaR Data (Sample, Indus )'!C:N,5,0)),"-",VLOOKUP(BK142,'BBG - VaR Data (Sample, Indus )'!C:N,5,0)))</f>
        <v>-</v>
      </c>
      <c r="BM142" s="11">
        <f>IF(OR(AS142="Cash", AS142="Cash Adjustments"),"-",IF(ISNA(VLOOKUP(BK142,'BBG - Scenarios (Sample View)'!C:Z,14,0)),"-",VLOOKUP(BK142,'BBG - Scenarios (Sample View)'!C:Z,14,0)))</f>
        <v>-1.59</v>
      </c>
      <c r="BN142" s="14">
        <f>AB142</f>
        <v>1665761.4576883386</v>
      </c>
      <c r="BO142" s="1">
        <f t="shared" si="28"/>
        <v>3.2676390852927435E-3</v>
      </c>
      <c r="BP142" t="str">
        <f>IF(BC142&lt;&gt;0,MaturityBucket(BG142),"")</f>
        <v>3 - 5 yrs</v>
      </c>
      <c r="BQ142" s="11" t="str">
        <f>IF(OR(T142="Cash",T142="Cash Adjustments"),T142,VLOOKUP(AL142,'SFC Classifcation'!$A:$C,2,0))</f>
        <v>Hong Kong</v>
      </c>
      <c r="BR142" s="1" t="e">
        <f>IF(S142="Bond",BH142/'SFC Report'!$B$7,"")</f>
        <v>#VALUE!</v>
      </c>
      <c r="BS142" t="str">
        <f>IF(OR(T142="Cash",T142="Cash Adjustments"),"-",_xll.BDP(R142&amp;" FIGI",$BS$1))</f>
        <v>#N/A N/A</v>
      </c>
      <c r="BT142" t="str">
        <f>IF(OR(T142="Cash",T142="Cash Adjustments"),"-",_xll.BDP(R142&amp;" FIGI",$BT$1))</f>
        <v>11/1/2018</v>
      </c>
      <c r="BU142" t="str">
        <f>IF(OR(T142="Cash",T142="Cash Adjustments"),"-",_xll.BDP(R142&amp;" FIGI",$BU$1))</f>
        <v>1/13/2019</v>
      </c>
    </row>
    <row r="143" spans="1:73">
      <c r="A143" s="254" t="s">
        <v>15</v>
      </c>
      <c r="B143" s="254" t="s">
        <v>25</v>
      </c>
      <c r="C143" s="254" t="s">
        <v>46</v>
      </c>
      <c r="D143" s="254" t="s">
        <v>22</v>
      </c>
      <c r="E143" s="254"/>
      <c r="F143" s="254" t="s">
        <v>100</v>
      </c>
      <c r="G143" s="254" t="s">
        <v>101</v>
      </c>
      <c r="H143" s="270">
        <v>1500000</v>
      </c>
      <c r="I143" s="270">
        <v>103.566</v>
      </c>
      <c r="J143" s="270">
        <v>1500750</v>
      </c>
      <c r="K143" s="270">
        <v>11778403.57</v>
      </c>
      <c r="L143" s="270">
        <v>261454.63</v>
      </c>
      <c r="M143" s="270">
        <v>136476.18</v>
      </c>
      <c r="N143" s="270">
        <v>12039858.199999999</v>
      </c>
      <c r="O143" s="255">
        <v>2.5999999999999999E-3</v>
      </c>
      <c r="P143" s="1"/>
      <c r="Q143" s="1" t="str">
        <f t="shared" si="21"/>
        <v>Investments</v>
      </c>
      <c r="R143" s="1" t="str">
        <f>_xll.BDP(G143&amp;" ISIN",$R$1)</f>
        <v>BBG00NB7HXS0</v>
      </c>
      <c r="S143" s="1" t="str">
        <f>IF(Q143="Cash",Q143,IF(OR(Q143="Receivable Investments",Q143="Payable Investments"),"Cash Adjustments",_xll.BDP(R143&amp;" FIGI",$S$1)))</f>
        <v>BOND</v>
      </c>
      <c r="T143" s="1" t="str">
        <f>IF(Q143="Cash",Q143,IF(OR(Q143="Receivable Investments",Q143="Payable Investments"),"Cash Adjustments",VLOOKUP(R143,LQA!E:S,3,0)))</f>
        <v>Corp</v>
      </c>
      <c r="U143" s="1" t="str">
        <f>IF(Q143="Cash",Q143,IF(OR(Q143="Receivable Investments",Q143="Payable Investments"),"Cash Adjustments",_xll.BDP(R143&amp;" FIGI",$U$1)))</f>
        <v>#N/A Field Not Applicable</v>
      </c>
      <c r="V143" s="10">
        <f>IF(OR(Q143="Cash",Q143="Receivable Investments",Q143="Payable Investments"),0,IF(Q143="Investments",VLOOKUP(R143,LQA!E:Q,12,0),"Not Covered"))</f>
        <v>0.3</v>
      </c>
      <c r="W143" s="76">
        <f>IF(OR(Q143="Cash",Q143="Receivable Investments",Q143="Payable Investments"),0,IF(Q143="Investments",VLOOKUP(R143,LQA!E:Q,9,0),"Not Covered"))</f>
        <v>7.4409999999999997E-3</v>
      </c>
      <c r="X143" s="13" t="str">
        <f>IF(OR(H143=0,T143="Comdty"),"High",IF(V143&lt;='Liquidity Bucket'!$A$4,'Liquidity Bucket'!$I$4,IF(V143&lt;='Liquidity Bucket'!$A$5,'Liquidity Bucket'!$I$5,IF(V143&lt;='Liquidity Bucket'!$A$6,'Liquidity Bucket'!$I$6,IF(V143='Liquidity Bucket'!$A$8,'Liquidity Bucket'!$I$8,'Liquidity Bucket'!$I$7)))))</f>
        <v>High</v>
      </c>
      <c r="Y143" s="153">
        <f>IF(OR(Q143="Cash",Q143="Receivable Investments",Q143="Payable Investments"),0,IF(Q143="Investments",VLOOKUP(R143,'LQA Stress'!E:Q,12,0),"Not Covered"))</f>
        <v>0.8</v>
      </c>
      <c r="Z143" s="75">
        <f>IF(OR(Q143="Cash",Q143="Receivable Investments",Q143="Payable Investments"),0,IF(Q143="Investments",VLOOKUP(R143,'LQA Stress'!E:Q,9,0),"Not Covered"))</f>
        <v>2.0393999999999999E-2</v>
      </c>
      <c r="AA143" s="13" t="str">
        <f>IF(T143="Comdty","High",IF(Y143&lt;='Liquidity Bucket'!$A$4,'Liquidity Bucket'!$I$4,IF(Y143&lt;='Liquidity Bucket'!$A$5,'Liquidity Bucket'!$I$5,IF(Y143&lt;='Liquidity Bucket'!$A$6,'Liquidity Bucket'!$I$6,IF(Y143='Liquidity Bucket'!$A$8,'Liquidity Bucket'!$I$8,'Liquidity Bucket'!$I$7)))))</f>
        <v>High</v>
      </c>
      <c r="AB143" s="14">
        <f>(N143+M143)/'FX Rates'!$C$5</f>
        <v>1570734.5691434469</v>
      </c>
      <c r="AC143" s="15" t="str">
        <f>IF(X143="Not Covered", (H143/_xll.BDP(R143&amp;" FIGI",$AC$1)),"")</f>
        <v/>
      </c>
      <c r="AD143" s="16" t="str">
        <f>IF(X143="Not Covered", _xll.BDP(R143&amp;" FIGI",$AD$1),"")</f>
        <v/>
      </c>
      <c r="AE143" s="16" t="str">
        <f>IF(OR(T143="Corp",T143="Govt"),IF(_xll.BDP(R143&amp;" FIGI",$AE$1)="#N/A N/A","",_xll.BDP(R143&amp;" FIGI",$AE$1)),"")</f>
        <v/>
      </c>
      <c r="AF143" s="1" t="str">
        <f>IF(OR(T143="Corp",T143="Govt"),IF(_xll.BDP(R143&amp;" FIGI",$AF$1)="#N/A N/A","",_xll.BDP(R143&amp;" FIGI",$AF$1)),"")</f>
        <v/>
      </c>
      <c r="AG143" s="16" t="str">
        <f>IF(OR(T143="Corp",T143="Govt"),IF(_xll.BDP(R143&amp;" FIGI",$AG$1)="#N/A N/A","",_xll.BDP(R143&amp;" FIGI",$AG$1)),"")</f>
        <v>BBB-</v>
      </c>
      <c r="AH143" s="125">
        <f>IF(OR(S143="Cash",S143="M-Mkt"),21,IF(AE143="",0,VLOOKUP(AE143,'Rating Scale'!A:B,2,0)))</f>
        <v>0</v>
      </c>
      <c r="AI143" s="125">
        <f>IF(OR(S143="Cash",S143="M-Mkt"),21,IF(AF143="",0,VLOOKUP(AF143,'Rating Scale'!D:E,2,0)))</f>
        <v>0</v>
      </c>
      <c r="AJ143" s="125">
        <f>IF(OR(S143="Cash",S143="M-Mkt"),21,IF(AG143="",0,VLOOKUP(AG143,'Rating Scale'!G:H,2,0)))</f>
        <v>12</v>
      </c>
      <c r="AK143">
        <f t="shared" si="19"/>
        <v>12</v>
      </c>
      <c r="AL143" s="1" t="str">
        <f>IF(OR(U143="Cash",U143="Cash Adjustments"),_xll.BDP(G143&amp;" Curncy","Country"),IF(T143="Equity",_xll.BDP(R143&amp;" FIGI","CNTRY_ISSUE_ISO"),_xll.BDP(R143&amp;" FIGI",$AL$1)))</f>
        <v>CN</v>
      </c>
      <c r="AM143" s="126" t="str">
        <f>IF(OR(T143="Cash",T143="Cash Adjustments",T143="M-Mkt"), T143, IF(T143="Comdty",AS143, _xll.BDP(R143&amp;" FIGI", $AM$1)))</f>
        <v>Financial</v>
      </c>
      <c r="AN143" s="126" t="str">
        <f>IF(OR(T143="Cash",T143="Cash Adjustments",T143="M-Mkt"), T143,  IF(T143="Comdty",AS143,_xll.BDP(R143&amp;" FIGI", $AN$1)))</f>
        <v>Real Estate</v>
      </c>
      <c r="AO143" s="126" t="str">
        <f>IF(OR(T143="Cash",T143="Cash Adjustments",T143="M-Mkt"), T143,  IF(T143="Comdty",AS143,_xll.BDP(R143&amp;" FIGI", $AO$1)))</f>
        <v>Real Estate Oper/Develop</v>
      </c>
      <c r="AP143" s="13" t="str">
        <f>IF(OR(T143="Cash",T143="Cash Adjustments"), T143, IF(_xll.BDP(R143&amp;" FIGI", $AP$1)="#N/A Field Not Applicable","N",_xll.BDP(R143&amp;" FIGI", $AP$1)))</f>
        <v>N</v>
      </c>
      <c r="AQ143" s="1" t="str">
        <f>IF(OR(T143="Cash",T143="Cash Adjustments"), T143, IF(_xll.BDP(R143&amp;" FIGI", $AQ$1)="#N/A Field Not Applicable"," ",_xll.BDP(R143&amp;" FIGI", $AQ$1)))</f>
        <v xml:space="preserve"> </v>
      </c>
      <c r="AR143" s="1" t="str">
        <f>IF(OR(T143="Cash",T143="Cash Adjustments"), T143, IF(_xll.BDP(R143&amp;" FIGI", $AR$1)="#N/A Field Not Applicable"," ",_xll.BDP(R143&amp;" FIGI", $AR$1)))</f>
        <v>ACTV</v>
      </c>
      <c r="AS143" s="1" t="str">
        <f>VLOOKUP(T143,'SFC Classifcation'!$F$2:$H$7,3,0)</f>
        <v>Corporate</v>
      </c>
      <c r="AT143" s="22" t="str">
        <f t="shared" si="22"/>
        <v>Financial</v>
      </c>
      <c r="AU143" s="1" t="str">
        <f t="shared" si="23"/>
        <v>Investment Grade</v>
      </c>
      <c r="AV143" s="1" t="str">
        <f>IF(OR(T143="Cash",T143="Cash Adjustments"),T143,VLOOKUP(AL143,'SFC Classifcation'!$A:$C,3,0))</f>
        <v>China</v>
      </c>
      <c r="AW143" s="22" t="str">
        <f t="shared" si="24"/>
        <v>High</v>
      </c>
      <c r="AX143" s="22" t="str">
        <f t="shared" si="26"/>
        <v>High</v>
      </c>
      <c r="AY143" s="45" t="str">
        <f>IF(OR(T143="Cash",T143="Cash Adjustments"), T143, _xll.BDP(R143&amp;" FIGI", $AY$1))</f>
        <v>Real Estate</v>
      </c>
      <c r="AZ143" s="45" t="str">
        <f>IF(OR(T143="Cash",T143="Cash Adjustments"), T143, _xll.BDP(R143&amp;" FIGI", $AZ$1))</f>
        <v>FINANCIAL</v>
      </c>
      <c r="BA143" s="45" t="str">
        <f>IF(OR(T143="Cash",T143="Cash Adjustments"), T143, _xll.BDP(R143&amp;" FIGI", $BA$1))</f>
        <v>#N/A Field Not Applicable</v>
      </c>
      <c r="BB143" s="45">
        <f>IF(OR(AS143="Government",AS143="Corporate"),(AK143*AB143/'SFC Report'!$C$20),"")</f>
        <v>3.4243775360078561E-2</v>
      </c>
      <c r="BC143" s="174" t="str">
        <f>IF(OR(T143="Cash",T143="Cash Adjustments", T143="FX Forward", T143="Repo", T143="Equity", T143="M-Mkt"), "", _xll.BDP(R143&amp;" FIGI", $BC$1))</f>
        <v>2/21/2024</v>
      </c>
      <c r="BD143" s="125">
        <f ca="1">IF(OR(T143="Cash",T143="Cash Adjustments",T143="FX Forward",T143="Repo", T143="Equity", T143="M-Mkt"),"",(BC143-'SFC Report'!$B$13)/365)</f>
        <v>3.8136986301369862</v>
      </c>
      <c r="BE143" s="82" t="str">
        <f t="shared" ca="1" si="18"/>
        <v>3 - 5 yrs</v>
      </c>
      <c r="BF143" s="5">
        <f ca="1">IF(BC143="","",BD143*AB143/'SFC Report'!$C$20)</f>
        <v>1.088295326512086E-2</v>
      </c>
      <c r="BG143" s="14" cm="1">
        <f t="array" ref="BG143">IF(OR(AS143="Corporate",AS143="Government"),_xll.BDP(G143&amp;" ISIN", $BG$1),"")</f>
        <v>1.6141866467805339</v>
      </c>
      <c r="BH143" s="140">
        <f>IF(OR(AS143="Corporate",AS143="Government"),BG143*BN143/'SFC Report'!$C$20,"")</f>
        <v>4.6063204101325908E-3</v>
      </c>
      <c r="BI143" s="140">
        <f>IF(OR(AS143="Corporate",AS143="Government"),_xll.BDP(G143&amp;" ISIN", $BI$1),"")</f>
        <v>4.698236844973918</v>
      </c>
      <c r="BJ143" s="140">
        <f>IF(OR(AS143="Corporate",AS143="Government"),BI143*AB143/'SFC Report'!$C$20,"")</f>
        <v>1.3407113925644259E-2</v>
      </c>
      <c r="BK143" s="153" t="str">
        <f>IF(OR(T143="Cash",T143="Cash Adjustments"),"-",_xll.BDP(R143&amp;" FIGI",$BK$1))</f>
        <v>XS1953029284</v>
      </c>
      <c r="BL143" s="11" t="str">
        <f>IF(OR(AS143="Cash", AS143="Cash Adjustments"),"-",IF(ISNA(VLOOKUP(BK143,'BBG - VaR Data (Sample, Indus )'!C:N,5,0)),"-",VLOOKUP(BK143,'BBG - VaR Data (Sample, Indus )'!C:N,5,0)))</f>
        <v>-</v>
      </c>
      <c r="BM143" s="11">
        <f>IF(OR(AS143="Cash", AS143="Cash Adjustments"),"-",IF(ISNA(VLOOKUP(BK143,'BBG - Scenarios (Sample View)'!C:Z,14,0)),"-",VLOOKUP(BK143,'BBG - Scenarios (Sample View)'!C:Z,14,0)))</f>
        <v>-2.69</v>
      </c>
      <c r="BN143" s="14">
        <f t="shared" si="27"/>
        <v>1570734.5691434469</v>
      </c>
      <c r="BO143" s="1">
        <f t="shared" si="28"/>
        <v>3.0812296965235012E-3</v>
      </c>
      <c r="BP143" t="str">
        <f>IF(BC143&lt;&gt;0,MaturityBucket(BG143),"")</f>
        <v>1 - 2 yrs</v>
      </c>
      <c r="BQ143" s="11" t="str">
        <f>IF(OR(T143="Cash",T143="Cash Adjustments"),T143,VLOOKUP(AL143,'SFC Classifcation'!$A:$C,2,0))</f>
        <v>China</v>
      </c>
      <c r="BR143" s="1" t="e">
        <f>IF(S143="Bond",BH143/'SFC Report'!$B$7,"")</f>
        <v>#VALUE!</v>
      </c>
      <c r="BS143" t="str">
        <f>IF(OR(T143="Cash",T143="Cash Adjustments"),"-",_xll.BDP(R143&amp;" FIGI",$BS$1))</f>
        <v>#N/A N/A</v>
      </c>
      <c r="BT143" t="str">
        <f>IF(OR(T143="Cash",T143="Cash Adjustments"),"-",_xll.BDP(R143&amp;" FIGI",$BT$1))</f>
        <v>#N/A N/A</v>
      </c>
      <c r="BU143" t="str">
        <f>IF(OR(T143="Cash",T143="Cash Adjustments"),"-",_xll.BDP(R143&amp;" FIGI",$BU$1))</f>
        <v>2/15/2019</v>
      </c>
    </row>
    <row r="144" spans="1:73">
      <c r="A144" s="254" t="s">
        <v>15</v>
      </c>
      <c r="B144" s="254" t="s">
        <v>25</v>
      </c>
      <c r="C144" s="254" t="s">
        <v>46</v>
      </c>
      <c r="D144" s="254" t="s">
        <v>22</v>
      </c>
      <c r="E144" s="254"/>
      <c r="F144" s="254" t="s">
        <v>102</v>
      </c>
      <c r="G144" s="254" t="s">
        <v>103</v>
      </c>
      <c r="H144" s="270">
        <v>5000000</v>
      </c>
      <c r="I144" s="270">
        <v>103.27500000000001</v>
      </c>
      <c r="J144" s="270">
        <v>4979900</v>
      </c>
      <c r="K144" s="270">
        <v>38970386.649999999</v>
      </c>
      <c r="L144" s="270">
        <v>1049708.6000000001</v>
      </c>
      <c r="M144" s="270">
        <v>486944</v>
      </c>
      <c r="N144" s="270">
        <v>40020095.25</v>
      </c>
      <c r="O144" s="255">
        <v>8.8000000000000005E-3</v>
      </c>
      <c r="P144" s="1"/>
      <c r="Q144" s="1" t="str">
        <f t="shared" si="21"/>
        <v>Investments</v>
      </c>
      <c r="R144" s="1" t="str">
        <f>_xll.BDP(G144&amp;" ISIN",$R$1)</f>
        <v>BBG00LNF6KZ5</v>
      </c>
      <c r="S144" s="1" t="str">
        <f>IF(Q144="Cash",Q144,IF(OR(Q144="Receivable Investments",Q144="Payable Investments"),"Cash Adjustments",_xll.BDP(R144&amp;" FIGI",$S$1)))</f>
        <v>BOND</v>
      </c>
      <c r="T144" s="1" t="str">
        <f>IF(Q144="Cash",Q144,IF(OR(Q144="Receivable Investments",Q144="Payable Investments"),"Cash Adjustments",VLOOKUP(R144,LQA!E:S,3,0)))</f>
        <v>Corp</v>
      </c>
      <c r="U144" s="1" t="str">
        <f>IF(Q144="Cash",Q144,IF(OR(Q144="Receivable Investments",Q144="Payable Investments"),"Cash Adjustments",_xll.BDP(R144&amp;" FIGI",$U$1)))</f>
        <v>#N/A Field Not Applicable</v>
      </c>
      <c r="V144" s="10">
        <f>IF(OR(Q144="Cash",Q144="Receivable Investments",Q144="Payable Investments"),0,IF(Q144="Investments",VLOOKUP(R144,LQA!E:Q,12,0),"Not Covered"))</f>
        <v>0.4</v>
      </c>
      <c r="W144" s="76">
        <f>IF(OR(Q144="Cash",Q144="Receivable Investments",Q144="Payable Investments"),0,IF(Q144="Investments",VLOOKUP(R144,LQA!E:Q,9,0),"Not Covered"))</f>
        <v>5.5789999999999998E-3</v>
      </c>
      <c r="X144" s="13" t="str">
        <f>IF(OR(H144=0,T144="Comdty"),"High",IF(V144&lt;='Liquidity Bucket'!$A$4,'Liquidity Bucket'!$I$4,IF(V144&lt;='Liquidity Bucket'!$A$5,'Liquidity Bucket'!$I$5,IF(V144&lt;='Liquidity Bucket'!$A$6,'Liquidity Bucket'!$I$6,IF(V144='Liquidity Bucket'!$A$8,'Liquidity Bucket'!$I$8,'Liquidity Bucket'!$I$7)))))</f>
        <v>High</v>
      </c>
      <c r="Y144" s="153">
        <f>IF(OR(Q144="Cash",Q144="Receivable Investments",Q144="Payable Investments"),0,IF(Q144="Investments",VLOOKUP(R144,'LQA Stress'!E:Q,12,0),"Not Covered"))</f>
        <v>1.8</v>
      </c>
      <c r="Z144" s="75">
        <f>IF(OR(Q144="Cash",Q144="Receivable Investments",Q144="Payable Investments"),0,IF(Q144="Investments",VLOOKUP(R144,'LQA Stress'!E:Q,9,0),"Not Covered"))</f>
        <v>1.3309E-2</v>
      </c>
      <c r="AA144" s="13" t="str">
        <f>IF(T144="Comdty","High",IF(Y144&lt;='Liquidity Bucket'!$A$4,'Liquidity Bucket'!$I$4,IF(Y144&lt;='Liquidity Bucket'!$A$5,'Liquidity Bucket'!$I$5,IF(Y144&lt;='Liquidity Bucket'!$A$6,'Liquidity Bucket'!$I$6,IF(Y144='Liquidity Bucket'!$A$8,'Liquidity Bucket'!$I$8,'Liquidity Bucket'!$I$7)))))</f>
        <v>High</v>
      </c>
      <c r="AB144" s="14">
        <f>(N144+M144)/'FX Rates'!$C$5</f>
        <v>5225366.2603199175</v>
      </c>
      <c r="AC144" s="15" t="str">
        <f>IF(X144="Not Covered", (H144/_xll.BDP(R144&amp;" FIGI",$AC$1)),"")</f>
        <v/>
      </c>
      <c r="AD144" s="16" t="str">
        <f>IF(X144="Not Covered", _xll.BDP(R144&amp;" FIGI",$AD$1),"")</f>
        <v/>
      </c>
      <c r="AE144" s="16" t="str">
        <f>IF(OR(T144="Corp",T144="Govt"),IF(_xll.BDP(R144&amp;" FIGI",$AE$1)="#N/A N/A","",_xll.BDP(R144&amp;" FIGI",$AE$1)),"")</f>
        <v/>
      </c>
      <c r="AF144" s="1" t="str">
        <f>IF(OR(T144="Corp",T144="Govt"),IF(_xll.BDP(R144&amp;" FIGI",$AF$1)="#N/A N/A","",_xll.BDP(R144&amp;" FIGI",$AF$1)),"")</f>
        <v>Baa3</v>
      </c>
      <c r="AG144" s="16" t="str">
        <f>IF(OR(T144="Corp",T144="Govt"),IF(_xll.BDP(R144&amp;" FIGI",$AG$1)="#N/A N/A","",_xll.BDP(R144&amp;" FIGI",$AG$1)),"")</f>
        <v/>
      </c>
      <c r="AH144" s="125">
        <f>IF(OR(S144="Cash",S144="M-Mkt"),21,IF(AE144="",0,VLOOKUP(AE144,'Rating Scale'!A:B,2,0)))</f>
        <v>0</v>
      </c>
      <c r="AI144" s="125">
        <f>IF(OR(S144="Cash",S144="M-Mkt"),21,IF(AF144="",0,VLOOKUP(AF144,'Rating Scale'!D:E,2,0)))</f>
        <v>12</v>
      </c>
      <c r="AJ144" s="125">
        <f>IF(OR(S144="Cash",S144="M-Mkt"),21,IF(AG144="",0,VLOOKUP(AG144,'Rating Scale'!G:H,2,0)))</f>
        <v>0</v>
      </c>
      <c r="AK144">
        <f t="shared" si="19"/>
        <v>12</v>
      </c>
      <c r="AL144" s="1" t="str">
        <f>IF(OR(U144="Cash",U144="Cash Adjustments"),_xll.BDP(G144&amp;" Curncy","Country"),IF(T144="Equity",_xll.BDP(R144&amp;" FIGI","CNTRY_ISSUE_ISO"),_xll.BDP(R144&amp;" FIGI",$AL$1)))</f>
        <v>KR</v>
      </c>
      <c r="AM144" s="126" t="str">
        <f>IF(OR(T144="Cash",T144="Cash Adjustments",T144="M-Mkt"), T144, IF(T144="Comdty",AS144, _xll.BDP(R144&amp;" FIGI", $AM$1)))</f>
        <v>Financial</v>
      </c>
      <c r="AN144" s="126" t="str">
        <f>IF(OR(T144="Cash",T144="Cash Adjustments",T144="M-Mkt"), T144,  IF(T144="Comdty",AS144,_xll.BDP(R144&amp;" FIGI", $AN$1)))</f>
        <v>Banks</v>
      </c>
      <c r="AO144" s="126" t="str">
        <f>IF(OR(T144="Cash",T144="Cash Adjustments",T144="M-Mkt"), T144,  IF(T144="Comdty",AS144,_xll.BDP(R144&amp;" FIGI", $AO$1)))</f>
        <v>Commer Banks Non-US</v>
      </c>
      <c r="AP144" s="13" t="str">
        <f>IF(OR(T144="Cash",T144="Cash Adjustments"), T144, IF(_xll.BDP(R144&amp;" FIGI", $AP$1)="#N/A Field Not Applicable","N",_xll.BDP(R144&amp;" FIGI", $AP$1)))</f>
        <v>N</v>
      </c>
      <c r="AQ144" s="1" t="str">
        <f>IF(OR(T144="Cash",T144="Cash Adjustments"), T144, IF(_xll.BDP(R144&amp;" FIGI", $AQ$1)="#N/A Field Not Applicable"," ",_xll.BDP(R144&amp;" FIGI", $AQ$1)))</f>
        <v xml:space="preserve"> </v>
      </c>
      <c r="AR144" s="1" t="str">
        <f>IF(OR(T144="Cash",T144="Cash Adjustments"), T144, IF(_xll.BDP(R144&amp;" FIGI", $AR$1)="#N/A Field Not Applicable"," ",_xll.BDP(R144&amp;" FIGI", $AR$1)))</f>
        <v>ACTV</v>
      </c>
      <c r="AS144" s="1" t="str">
        <f>VLOOKUP(T144,'SFC Classifcation'!$F$2:$H$7,3,0)</f>
        <v>Corporate</v>
      </c>
      <c r="AT144" s="22" t="str">
        <f t="shared" si="22"/>
        <v>Financial</v>
      </c>
      <c r="AU144" s="1" t="str">
        <f t="shared" si="23"/>
        <v>Investment Grade</v>
      </c>
      <c r="AV144" s="1" t="str">
        <f>IF(OR(T144="Cash",T144="Cash Adjustments"),T144,VLOOKUP(AL144,'SFC Classifcation'!$A:$C,3,0))</f>
        <v>Asia - others (3)</v>
      </c>
      <c r="AW144" s="22" t="str">
        <f t="shared" si="24"/>
        <v>High</v>
      </c>
      <c r="AX144" s="22" t="str">
        <f t="shared" si="26"/>
        <v>High</v>
      </c>
      <c r="AY144" s="45" t="str">
        <f>IF(OR(T144="Cash",T144="Cash Adjustments"), T144, _xll.BDP(R144&amp;" FIGI", $AY$1))</f>
        <v>Financials</v>
      </c>
      <c r="AZ144" s="45" t="str">
        <f>IF(OR(T144="Cash",T144="Cash Adjustments"), T144, _xll.BDP(R144&amp;" FIGI", $AZ$1))</f>
        <v>BANK</v>
      </c>
      <c r="BA144" s="45" t="str">
        <f>IF(OR(T144="Cash",T144="Cash Adjustments"), T144, _xll.BDP(R144&amp;" FIGI", $BA$1))</f>
        <v>#N/A Field Not Applicable</v>
      </c>
      <c r="BB144" s="45">
        <f>IF(OR(AS144="Government",AS144="Corporate"),(AK144*AB144/'SFC Report'!$C$20),"")</f>
        <v>0.11391884530185556</v>
      </c>
      <c r="BC144" s="174" t="str">
        <f>IF(OR(T144="Cash",T144="Cash Adjustments", T144="FX Forward", T144="Repo", T144="Equity", T144="M-Mkt"), "", _xll.BDP(R144&amp;" FIGI", $BC$1))</f>
        <v>2/13/2169</v>
      </c>
      <c r="BD144" s="125">
        <f ca="1">IF(OR(T144="Cash",T144="Cash Adjustments",T144="FX Forward",T144="Repo", T144="Equity", T144="M-Mkt"),"",(BC144-'SFC Report'!$B$13)/365)</f>
        <v>148.89041095890411</v>
      </c>
      <c r="BE144" s="82" t="str">
        <f t="shared" ca="1" si="18"/>
        <v>10 yrs or Above</v>
      </c>
      <c r="BF144" s="5">
        <f ca="1">IF(BC144="","",BD144*AB144/'SFC Report'!$C$20)</f>
        <v>1.4134519744130916</v>
      </c>
      <c r="BG144" s="14" cm="1">
        <f t="array" ref="BG144">IF(OR(AS144="Corporate",AS144="Government"),_xll.BDP(G144&amp;" ISIN", $BG$1),"")</f>
        <v>2.8728069382824515</v>
      </c>
      <c r="BH144" s="140">
        <f>IF(OR(AS144="Corporate",AS144="Government"),BG144*BN144/'SFC Report'!$C$20,"")</f>
        <v>2.7272237432024657E-2</v>
      </c>
      <c r="BI144" s="140">
        <f>IF(OR(AS144="Corporate",AS144="Government"),_xll.BDP(G144&amp;" ISIN", $BI$1),"")</f>
        <v>3.4841296074986823</v>
      </c>
      <c r="BJ144" s="140">
        <f>IF(OR(AS144="Corporate",AS144="Government"),BI144*AB144/'SFC Report'!$C$20,"")</f>
        <v>3.3075668480688096E-2</v>
      </c>
      <c r="BK144" s="153" t="str">
        <f>IF(OR(T144="Cash",T144="Cash Adjustments"),"-",_xll.BDP(R144&amp;" FIGI",$BK$1))</f>
        <v>XS1856024432</v>
      </c>
      <c r="BL144" s="11" t="str">
        <f>IF(OR(AS144="Cash", AS144="Cash Adjustments"),"-",IF(ISNA(VLOOKUP(BK144,'BBG - VaR Data (Sample, Indus )'!C:N,5,0)),"-",VLOOKUP(BK144,'BBG - VaR Data (Sample, Indus )'!C:N,5,0)))</f>
        <v>-</v>
      </c>
      <c r="BM144" s="11">
        <f>IF(OR(AS144="Cash", AS144="Cash Adjustments"),"-",IF(ISNA(VLOOKUP(BK144,'BBG - Scenarios (Sample View)'!C:Z,14,0)),"-",VLOOKUP(BK144,'BBG - Scenarios (Sample View)'!C:Z,14,0)))</f>
        <v>-3.17</v>
      </c>
      <c r="BN144" s="14">
        <f t="shared" si="27"/>
        <v>5225366.2603199175</v>
      </c>
      <c r="BO144" s="1">
        <f t="shared" si="28"/>
        <v>1.0250333832844613E-2</v>
      </c>
      <c r="BP144" t="str">
        <f>IF(BC144&lt;&gt;0,MaturityBucket(BG144),"")</f>
        <v>2 - 3 yrs</v>
      </c>
      <c r="BQ144" s="11" t="str">
        <f>IF(OR(T144="Cash",T144="Cash Adjustments"),T144,VLOOKUP(AL144,'SFC Classifcation'!$A:$C,2,0))</f>
        <v>Korea</v>
      </c>
      <c r="BR144" s="1" t="e">
        <f>IF(S144="Bond",BH144/'SFC Report'!$B$7,"")</f>
        <v>#VALUE!</v>
      </c>
      <c r="BS144" t="str">
        <f>IF(OR(T144="Cash",T144="Cash Adjustments"),"-",_xll.BDP(R144&amp;" FIGI",$BS$1))</f>
        <v>#N/A N/A</v>
      </c>
      <c r="BT144" t="str">
        <f>IF(OR(T144="Cash",T144="Cash Adjustments"),"-",_xll.BDP(R144&amp;" FIGI",$BT$1))</f>
        <v>8/8/2018</v>
      </c>
      <c r="BU144" t="str">
        <f>IF(OR(T144="Cash",T144="Cash Adjustments"),"-",_xll.BDP(R144&amp;" FIGI",$BU$1))</f>
        <v>#N/A N/A</v>
      </c>
    </row>
    <row r="145" spans="1:73">
      <c r="A145" s="254" t="s">
        <v>15</v>
      </c>
      <c r="B145" s="254" t="s">
        <v>25</v>
      </c>
      <c r="C145" s="254" t="s">
        <v>46</v>
      </c>
      <c r="D145" s="254" t="s">
        <v>22</v>
      </c>
      <c r="E145" s="254"/>
      <c r="F145" s="254" t="s">
        <v>905</v>
      </c>
      <c r="G145" s="254" t="s">
        <v>889</v>
      </c>
      <c r="H145" s="270">
        <v>3000000</v>
      </c>
      <c r="I145" s="270">
        <v>99.203000000000003</v>
      </c>
      <c r="J145" s="270">
        <v>3000000</v>
      </c>
      <c r="K145" s="270">
        <v>23431200</v>
      </c>
      <c r="L145" s="270">
        <v>-365907.29</v>
      </c>
      <c r="M145" s="270">
        <v>381051.5</v>
      </c>
      <c r="N145" s="270">
        <v>23065292.710000001</v>
      </c>
      <c r="O145" s="255">
        <v>5.1000000000000004E-3</v>
      </c>
      <c r="P145" s="1"/>
      <c r="Q145" s="1" t="str">
        <f t="shared" si="21"/>
        <v>Investments</v>
      </c>
      <c r="R145" s="1" t="str">
        <f>_xll.BDP(G145&amp;" ISIN",$R$1)</f>
        <v>BBG00PKD4F69</v>
      </c>
      <c r="S145" s="1" t="str">
        <f>IF(Q145="Cash",Q145,IF(OR(Q145="Receivable Investments",Q145="Payable Investments"),"Cash Adjustments",_xll.BDP(R145&amp;" FIGI",$S$1)))</f>
        <v>BOND</v>
      </c>
      <c r="T145" s="1" t="str">
        <f>IF(Q145="Cash",Q145,IF(OR(Q145="Receivable Investments",Q145="Payable Investments"),"Cash Adjustments",VLOOKUP(R145,LQA!E:S,3,0)))</f>
        <v>Corp</v>
      </c>
      <c r="U145" s="1" t="str">
        <f>IF(Q145="Cash",Q145,IF(OR(Q145="Receivable Investments",Q145="Payable Investments"),"Cash Adjustments",_xll.BDP(R145&amp;" FIGI",$U$1)))</f>
        <v>#N/A Field Not Applicable</v>
      </c>
      <c r="V145" s="10">
        <f>IF(OR(Q145="Cash",Q145="Receivable Investments",Q145="Payable Investments"),0,IF(Q145="Investments",VLOOKUP(R145,LQA!E:Q,12,0),"Not Covered"))</f>
        <v>0.7</v>
      </c>
      <c r="W145" s="76">
        <f>IF(OR(Q145="Cash",Q145="Receivable Investments",Q145="Payable Investments"),0,IF(Q145="Investments",VLOOKUP(R145,LQA!E:Q,9,0),"Not Covered"))</f>
        <v>5.5523999999999997E-2</v>
      </c>
      <c r="X145" s="13" t="str">
        <f>IF(OR(H145=0,T148="Comdty"),"High",IF(V145&lt;='Liquidity Bucket'!$A$4,'Liquidity Bucket'!$I$4,IF(V145&lt;='Liquidity Bucket'!$A$5,'Liquidity Bucket'!$I$5,IF(V145&lt;='Liquidity Bucket'!$A$6,'Liquidity Bucket'!$I$6,IF(V145='Liquidity Bucket'!$A$8,'Liquidity Bucket'!$I$8,'Liquidity Bucket'!$I$7)))))</f>
        <v>High</v>
      </c>
      <c r="Y145" s="153">
        <f>IF(OR(Q145="Cash",Q145="Receivable Investments",Q145="Payable Investments"),0,IF(Q145="Investments",VLOOKUP(R145,'LQA Stress'!E:Q,12,0),"Not Covered"))</f>
        <v>1.8</v>
      </c>
      <c r="Z145" s="75">
        <f>IF(OR(Q145="Cash",Q145="Receivable Investments",Q145="Payable Investments"),0,IF(Q145="Investments",VLOOKUP(R145,'LQA Stress'!E:Q,9,0),"Not Covered"))</f>
        <v>0.19508900000000001</v>
      </c>
      <c r="AA145" s="13" t="str">
        <f>IF(T148="Comdty","High",IF(Y145&lt;='Liquidity Bucket'!$A$4,'Liquidity Bucket'!$I$4,IF(Y145&lt;='Liquidity Bucket'!$A$5,'Liquidity Bucket'!$I$5,IF(Y145&lt;='Liquidity Bucket'!$A$6,'Liquidity Bucket'!$I$6,IF(Y145='Liquidity Bucket'!$A$8,'Liquidity Bucket'!$I$8,'Liquidity Bucket'!$I$7)))))</f>
        <v>High</v>
      </c>
      <c r="AB145" s="14">
        <f>(N145+M145)/'FX Rates'!$C$5</f>
        <v>3024554.206656347</v>
      </c>
      <c r="AC145" s="15" t="str">
        <f>IF(X145="Not Covered", (H145/_xll.BDP(R145&amp;" FIGI",$AC$1)),"")</f>
        <v/>
      </c>
      <c r="AD145" s="16" t="str">
        <f>IF(X145="Not Covered", _xll.BDP(R145&amp;" FIGI",$AD$1),"")</f>
        <v/>
      </c>
      <c r="AE145" s="16" t="str">
        <f>IF(OR(T145="Corp",T145="Govt"),IF(_xll.BDP(R145&amp;" FIGI",$AE$1)="#N/A N/A","",_xll.BDP(R145&amp;" FIGI",$AE$1)),"")</f>
        <v/>
      </c>
      <c r="AF145" s="1" t="str">
        <f>IF(OR(T145="Corp",T145="Govt"),IF(_xll.BDP(R145&amp;" FIGI",$AF$1)="#N/A N/A","",_xll.BDP(R145&amp;" FIGI",$AF$1)),"")</f>
        <v/>
      </c>
      <c r="AG145" s="16" t="str">
        <f>IF(OR(T145="Corp",T145="Govt"),IF(_xll.BDP(R145&amp;" FIGI",$AG$1)="#N/A N/A","",_xll.BDP(R145&amp;" FIGI",$AG$1)),"")</f>
        <v/>
      </c>
      <c r="AH145" s="125">
        <f>IF(OR(S145="Cash",S145="M-Mkt"),21,IF(AE145="",0,VLOOKUP(AE145,'Rating Scale'!A:B,2,0)))</f>
        <v>0</v>
      </c>
      <c r="AI145" s="125">
        <f>IF(OR(S145="Cash",S145="M-Mkt"),21,IF(AF145="",0,VLOOKUP(AF145,'Rating Scale'!D:E,2,0)))</f>
        <v>0</v>
      </c>
      <c r="AJ145" s="125">
        <f>IF(OR(S145="Cash",S145="M-Mkt"),21,IF(AG145="",0,VLOOKUP(AG145,'Rating Scale'!G:H,2,0)))</f>
        <v>0</v>
      </c>
      <c r="AK145">
        <f t="shared" si="19"/>
        <v>0</v>
      </c>
      <c r="AL145" s="1" t="str">
        <f>IF(OR(U145="Cash",U145="Cash Adjustments"),_xll.BDP(G145&amp;" Curncy","Country"),IF(T145="Equity",_xll.BDP(R145&amp;" FIGI","CNTRY_ISSUE_ISO"),_xll.BDP(R145&amp;" FIGI",$AL$1)))</f>
        <v>AE</v>
      </c>
      <c r="AM145" s="126" t="str">
        <f>IF(OR(T145="Cash",T145="Cash Adjustments",T145="M-Mkt"), T145, IF(T145="Comdty",AS145, _xll.BDP(R145&amp;" FIGI", $AM$1)))</f>
        <v>Financial</v>
      </c>
      <c r="AN145" s="126" t="str">
        <f>IF(OR(T145="Cash",T145="Cash Adjustments",T145="M-Mkt"), T145,  IF(T145="Comdty",AS145,_xll.BDP(R145&amp;" FIGI", $AN$1)))</f>
        <v>Banks</v>
      </c>
      <c r="AO145" s="126" t="str">
        <f>IF(OR(T145="Cash",T145="Cash Adjustments",T145="M-Mkt"), T145,  IF(T145="Comdty",AS145,_xll.BDP(R145&amp;" FIGI", $AO$1)))</f>
        <v>Commer Banks Non-US</v>
      </c>
      <c r="AP145" s="13" t="str">
        <f>IF(OR(T145="Cash",T145="Cash Adjustments"), T145, IF(_xll.BDP(R145&amp;" FIGI", $AP$1)="#N/A Field Not Applicable","N",_xll.BDP(R145&amp;" FIGI", $AP$1)))</f>
        <v>N</v>
      </c>
      <c r="AQ145" s="1" t="str">
        <f>IF(OR(T145="Cash",T145="Cash Adjustments"), T145, IF(_xll.BDP(R145&amp;" FIGI", $AQ$1)="#N/A Field Not Applicable"," ",_xll.BDP(R145&amp;" FIGI", $AQ$1)))</f>
        <v xml:space="preserve"> </v>
      </c>
      <c r="AR145" s="1" t="str">
        <f>IF(OR(T145="Cash",T145="Cash Adjustments"), T145, IF(_xll.BDP(R145&amp;" FIGI", $AR$1)="#N/A Field Not Applicable"," ",_xll.BDP(R145&amp;" FIGI", $AR$1)))</f>
        <v>ACTV</v>
      </c>
      <c r="AS145" s="1" t="str">
        <f>VLOOKUP(T145,'SFC Classifcation'!$F$2:$H$7,3,0)</f>
        <v>Corporate</v>
      </c>
      <c r="AT145" s="22" t="str">
        <f t="shared" si="22"/>
        <v>Financial</v>
      </c>
      <c r="AU145" s="1" t="str">
        <f t="shared" si="23"/>
        <v>Non-Investment Grade</v>
      </c>
      <c r="AV145" s="1" t="str">
        <f>IF(OR(T145="Cash",T145="Cash Adjustments"),T145,VLOOKUP(AL145,'SFC Classifcation'!$A:$C,3,0))</f>
        <v>United Arab Emirates</v>
      </c>
      <c r="AW145" s="22" t="str">
        <f t="shared" si="24"/>
        <v>High</v>
      </c>
      <c r="AX145" s="22" t="str">
        <f t="shared" si="26"/>
        <v>High</v>
      </c>
      <c r="AY145" s="45" t="str">
        <f>IF(OR(T145="Cash",T145="Cash Adjustments"), T145, _xll.BDP(R145&amp;" FIGI", $AY$1))</f>
        <v>#N/A Field Not Applicable</v>
      </c>
      <c r="AZ145" s="45" t="str">
        <f>IF(OR(T145="Cash",T145="Cash Adjustments"), T145, _xll.BDP(R145&amp;" FIGI", $AZ$1))</f>
        <v>SPECIAL PURPOSE</v>
      </c>
      <c r="BA145" s="45" t="str">
        <f>IF(OR(T145="Cash",T145="Cash Adjustments"), T145, _xll.BDP(R145&amp;" FIGI", $BA$1))</f>
        <v>#N/A Field Not Applicable</v>
      </c>
      <c r="BB145" s="45">
        <f>IF(OR(AS145="Government",AS145="Corporate"),(AK145*AB145/'SFC Report'!$C$20),"")</f>
        <v>0</v>
      </c>
      <c r="BC145" s="174" t="str">
        <f>IF(OR(T145="Cash",T145="Cash Adjustments", T145="FX Forward", T145="Repo", T145="Equity", T145="M-Mkt"), "", _xll.BDP(R145&amp;" FIGI", $BC$1))</f>
        <v>1/2/2169</v>
      </c>
      <c r="BD145" s="125">
        <f ca="1">IF(OR(T145="Cash",T145="Cash Adjustments",T145="FX Forward",T145="Repo", T145="Equity", T145="M-Mkt"),"",(BC145-'SFC Report'!$B$13)/365)</f>
        <v>148.77534246575343</v>
      </c>
      <c r="BE145" s="82" t="str">
        <f t="shared" ca="1" si="18"/>
        <v>10 yrs or Above</v>
      </c>
      <c r="BF145" s="5">
        <f ca="1">IF(BC145="","",BD145*AB145/'SFC Report'!$C$20)</f>
        <v>0.81750406813566945</v>
      </c>
      <c r="BG145" s="14" cm="1">
        <f t="array" ref="BG145">IF(OR(AS145="Corporate",AS145="Government"),_xll.BDP(G145&amp;" ISIN", $BG$1),"")</f>
        <v>4.3502161153425929</v>
      </c>
      <c r="BH145" s="140">
        <f>IF(OR(AS145="Corporate",AS145="Government"),BG145*BN145/'SFC Report'!$C$20,"")</f>
        <v>2.3903956883046983E-2</v>
      </c>
      <c r="BI145" s="140">
        <f>IF(OR(AS145="Corporate",AS145="Government"),_xll.BDP(G145&amp;" ISIN", $BI$1),"")</f>
        <v>3.9596902375807081</v>
      </c>
      <c r="BJ145" s="140">
        <f>IF(OR(AS145="Corporate",AS145="Government"),BI145*AB145/'SFC Report'!$C$20,"")</f>
        <v>2.1758060335330523E-2</v>
      </c>
      <c r="BK145" s="153" t="str">
        <f>IF(OR(T145="Cash",T145="Cash Adjustments"),"-",_xll.BDP(R145&amp;" FIGI",$BK$1))</f>
        <v>XS2010323009</v>
      </c>
      <c r="BL145" s="11" t="str">
        <f>IF(OR(AS145="Cash", AS145="Cash Adjustments"),"-",IF(ISNA(VLOOKUP(BK145,'BBG - VaR Data (Sample, Indus )'!C:N,5,0)),"-",VLOOKUP(BK145,'BBG - VaR Data (Sample, Indus )'!C:N,5,0)))</f>
        <v>-</v>
      </c>
      <c r="BM145" s="11">
        <f>IF(OR(AS145="Cash", AS145="Cash Adjustments"),"-",IF(ISNA(VLOOKUP(BK145,'BBG - Scenarios (Sample View)'!C:Z,14,0)),"-",VLOOKUP(BK145,'BBG - Scenarios (Sample View)'!C:Z,14,0)))</f>
        <v>-5.59</v>
      </c>
      <c r="BN145" s="14">
        <f t="shared" si="27"/>
        <v>3024554.206656347</v>
      </c>
      <c r="BO145" s="1">
        <f t="shared" si="28"/>
        <v>5.9331133492380199E-3</v>
      </c>
      <c r="BP145" t="str">
        <f>IF(BC145&lt;&gt;0,MaturityBucket(BG145),"")</f>
        <v>3 - 5 yrs</v>
      </c>
      <c r="BQ145" s="11" t="str">
        <f>IF(OR(T145="Cash",T145="Cash Adjustments"),T145,VLOOKUP(AL145,'SFC Classifcation'!$A:$C,2,0))</f>
        <v>United Arab Emirates</v>
      </c>
      <c r="BR145" s="1" t="e">
        <f>IF(S145="Bond",BH145/'SFC Report'!$B$7,"")</f>
        <v>#VALUE!</v>
      </c>
      <c r="BS145" t="str">
        <f>IF(OR(T145="Cash",T145="Cash Adjustments"),"-",_xll.BDP(R145&amp;" FIGI",$BS$1))</f>
        <v>#N/A N/A</v>
      </c>
      <c r="BT145" t="str">
        <f>IF(OR(T145="Cash",T145="Cash Adjustments"),"-",_xll.BDP(R145&amp;" FIGI",$BT$1))</f>
        <v>#N/A N/A</v>
      </c>
      <c r="BU145" t="str">
        <f>IF(OR(T145="Cash",T145="Cash Adjustments"),"-",_xll.BDP(R145&amp;" FIGI",$BU$1))</f>
        <v>#N/A N/A</v>
      </c>
    </row>
    <row r="146" spans="1:73">
      <c r="A146" s="254" t="s">
        <v>15</v>
      </c>
      <c r="B146" s="254" t="s">
        <v>25</v>
      </c>
      <c r="C146" s="254" t="s">
        <v>46</v>
      </c>
      <c r="D146" s="254" t="s">
        <v>22</v>
      </c>
      <c r="E146" s="254"/>
      <c r="F146" s="254" t="s">
        <v>1341</v>
      </c>
      <c r="G146" s="254" t="s">
        <v>1342</v>
      </c>
      <c r="H146" s="270">
        <v>2000000</v>
      </c>
      <c r="I146" s="270">
        <v>57.018000000000001</v>
      </c>
      <c r="J146" s="270">
        <v>1690000</v>
      </c>
      <c r="K146" s="270">
        <v>13127360</v>
      </c>
      <c r="L146" s="270">
        <v>-4289341.92</v>
      </c>
      <c r="M146" s="270">
        <v>104024.9</v>
      </c>
      <c r="N146" s="270">
        <v>8838018.0800000001</v>
      </c>
      <c r="O146" s="255">
        <v>1.9E-3</v>
      </c>
      <c r="Q146" s="1" t="str">
        <f t="shared" si="21"/>
        <v>Investments</v>
      </c>
      <c r="R146" s="1" t="str">
        <f>_xll.BDP(G146&amp;" ISIN",$R$1)</f>
        <v>BBG00PK1ZYS6</v>
      </c>
      <c r="S146" s="1" t="str">
        <f>IF(Q146="Cash",Q146,IF(OR(Q146="Receivable Investments",Q146="Payable Investments"),"Cash Adjustments",_xll.BDP(R146&amp;" FIGI",$S$1)))</f>
        <v>BOND</v>
      </c>
      <c r="T146" s="1" t="str">
        <f>IF(Q146="Cash",Q146,IF(OR(Q146="Receivable Investments",Q146="Payable Investments"),"Cash Adjustments",VLOOKUP(R146,LQA!E:S,3,0)))</f>
        <v>Govt</v>
      </c>
      <c r="U146" s="1" t="str">
        <f>IF(Q146="Cash",Q146,IF(OR(Q146="Receivable Investments",Q146="Payable Investments"),"Cash Adjustments",_xll.BDP(R146&amp;" FIGI",$U$1)))</f>
        <v>#N/A Field Not Applicable</v>
      </c>
      <c r="V146" s="10">
        <f>IF(OR(Q146="Cash",Q146="Receivable Investments",Q146="Payable Investments"),0,IF(Q146="Investments",VLOOKUP(R146,LQA!E:Q,12,0),"Not Covered"))</f>
        <v>0.3</v>
      </c>
      <c r="W146" s="76">
        <f>IF(OR(Q146="Cash",Q146="Receivable Investments",Q146="Payable Investments"),0,IF(Q146="Investments",VLOOKUP(R146,LQA!E:Q,9,0),"Not Covered"))</f>
        <v>2.7685000000000001E-2</v>
      </c>
      <c r="X146" s="13" t="str">
        <f>IF(OR(H146=0,T149="Comdty"),"High",IF(V146&lt;='Liquidity Bucket'!$A$4,'Liquidity Bucket'!$I$4,IF(V146&lt;='Liquidity Bucket'!$A$5,'Liquidity Bucket'!$I$5,IF(V146&lt;='Liquidity Bucket'!$A$6,'Liquidity Bucket'!$I$6,IF(V146='Liquidity Bucket'!$A$8,'Liquidity Bucket'!$I$8,'Liquidity Bucket'!$I$7)))))</f>
        <v>High</v>
      </c>
      <c r="Y146" s="153">
        <f>IF(OR(Q146="Cash",Q146="Receivable Investments",Q146="Payable Investments"),0,IF(Q146="Investments",VLOOKUP(R146,'LQA Stress'!E:Q,12,0),"Not Covered"))</f>
        <v>1</v>
      </c>
      <c r="Z146" s="75">
        <f>IF(OR(Q146="Cash",Q146="Receivable Investments",Q146="Payable Investments"),0,IF(Q146="Investments",VLOOKUP(R146,'LQA Stress'!E:Q,9,0),"Not Covered"))</f>
        <v>7.6335E-2</v>
      </c>
      <c r="AA146" s="13" t="str">
        <f>IF(T149="Comdty","High",IF(Y146&lt;='Liquidity Bucket'!$A$4,'Liquidity Bucket'!$I$4,IF(Y146&lt;='Liquidity Bucket'!$A$5,'Liquidity Bucket'!$I$5,IF(Y146&lt;='Liquidity Bucket'!$A$6,'Liquidity Bucket'!$I$6,IF(Y146='Liquidity Bucket'!$A$8,'Liquidity Bucket'!$I$8,'Liquidity Bucket'!$I$7)))))</f>
        <v>High</v>
      </c>
      <c r="AB146" s="14">
        <f>(N146+M146)/'FX Rates'!$C$5</f>
        <v>1153514.3163054697</v>
      </c>
      <c r="AC146" s="15" t="str">
        <f>IF(X146="Not Covered", (H146/_xll.BDP(R146&amp;" FIGI",$AC$1)),"")</f>
        <v/>
      </c>
      <c r="AD146" s="16" t="str">
        <f>IF(X146="Not Covered", _xll.BDP(R146&amp;" FIGI",$AD$1),"")</f>
        <v/>
      </c>
      <c r="AE146" s="16" t="str">
        <f>IF(OR(T146="Corp",T146="Govt"),IF(_xll.BDP(R146&amp;" FIGI",$AE$1)="#N/A N/A","",_xll.BDP(R146&amp;" FIGI",$AE$1)),"")</f>
        <v>B-</v>
      </c>
      <c r="AF146" s="1" t="str">
        <f>IF(OR(T146="Corp",T146="Govt"),IF(_xll.BDP(R146&amp;" FIGI",$AF$1)="#N/A N/A","",_xll.BDP(R146&amp;" FIGI",$AF$1)),"")</f>
        <v>B2 *-</v>
      </c>
      <c r="AG146" s="16" t="str">
        <f>IF(OR(T146="Corp",T146="Govt"),IF(_xll.BDP(R146&amp;" FIGI",$AG$1)="#N/A N/A","",_xll.BDP(R146&amp;" FIGI",$AG$1)),"")</f>
        <v>B-</v>
      </c>
      <c r="AH146" s="125">
        <f>IF(OR(S146="Cash",S146="M-Mkt"),21,IF(AE146="",0,VLOOKUP(AE146,'Rating Scale'!A:B,2,0)))</f>
        <v>6</v>
      </c>
      <c r="AI146" s="125">
        <f>IF(OR(S146="Cash",S146="M-Mkt"),21,IF(AF146="",0,VLOOKUP(AF146,'Rating Scale'!D:E,2,0)))</f>
        <v>7</v>
      </c>
      <c r="AJ146" s="125">
        <f>IF(OR(S146="Cash",S146="M-Mkt"),21,IF(AG146="",0,VLOOKUP(AG146,'Rating Scale'!G:H,2,0)))</f>
        <v>6</v>
      </c>
      <c r="AK146">
        <f t="shared" si="19"/>
        <v>6</v>
      </c>
      <c r="AL146" s="1" t="str">
        <f>IF(OR(U146="Cash",U146="Cash Adjustments"),_xll.BDP(G146&amp;" Curncy","Country"),IF(T146="Equity",_xll.BDP(R146&amp;" FIGI","CNTRY_ISSUE_ISO"),_xll.BDP(R146&amp;" FIGI",$AL$1)))</f>
        <v>LK</v>
      </c>
      <c r="AM146" s="126" t="str">
        <f>IF(OR(T146="Cash",T146="Cash Adjustments",T146="M-Mkt"), T146, IF(T146="Comdty",AS146, _xll.BDP(R146&amp;" FIGI", $AM$1)))</f>
        <v>Government</v>
      </c>
      <c r="AN146" s="126" t="str">
        <f>IF(OR(T146="Cash",T146="Cash Adjustments",T146="M-Mkt"), T146,  IF(T146="Comdty",AS146,_xll.BDP(R146&amp;" FIGI", $AN$1)))</f>
        <v>Sovereign</v>
      </c>
      <c r="AO146" s="126" t="str">
        <f>IF(OR(T146="Cash",T146="Cash Adjustments",T146="M-Mkt"), T146,  IF(T146="Comdty",AS146,_xll.BDP(R146&amp;" FIGI", $AO$1)))</f>
        <v>Sovereign</v>
      </c>
      <c r="AP146" s="13" t="str">
        <f>IF(OR(T146="Cash",T146="Cash Adjustments"), T146, IF(_xll.BDP(R146&amp;" FIGI", $AP$1)="#N/A Field Not Applicable","N",_xll.BDP(R146&amp;" FIGI", $AP$1)))</f>
        <v>N</v>
      </c>
      <c r="AQ146" s="1" t="str">
        <f>IF(OR(T146="Cash",T146="Cash Adjustments"), T146, IF(_xll.BDP(R146&amp;" FIGI", $AQ$1)="#N/A Field Not Applicable"," ",_xll.BDP(R146&amp;" FIGI", $AQ$1)))</f>
        <v xml:space="preserve"> </v>
      </c>
      <c r="AR146" s="1" t="str">
        <f>IF(OR(T146="Cash",T146="Cash Adjustments"), T146, IF(_xll.BDP(R146&amp;" FIGI", $AR$1)="#N/A Field Not Applicable"," ",_xll.BDP(R146&amp;" FIGI", $AR$1)))</f>
        <v>ACTV</v>
      </c>
      <c r="AS146" s="1" t="str">
        <f>VLOOKUP(T146,'SFC Classifcation'!$F$2:$H$7,3,0)</f>
        <v>Government</v>
      </c>
      <c r="AT146" s="22" t="str">
        <f t="shared" si="22"/>
        <v>Non-Financial</v>
      </c>
      <c r="AU146" s="1" t="str">
        <f t="shared" si="23"/>
        <v>Non-Investment Grade</v>
      </c>
      <c r="AV146" s="1" t="str">
        <f>IF(OR(T146="Cash",T146="Cash Adjustments"),T146,VLOOKUP(AL146,'SFC Classifcation'!$A:$C,3,0))</f>
        <v>Asia - others (3)</v>
      </c>
      <c r="AW146" s="22" t="str">
        <f t="shared" si="24"/>
        <v>High</v>
      </c>
      <c r="AX146" s="22" t="str">
        <f t="shared" si="26"/>
        <v>High</v>
      </c>
      <c r="AY146" s="45" t="str">
        <f>IF(OR(T146="Cash",T146="Cash Adjustments"), T146, _xll.BDP(R146&amp;" FIGI", $AY$1))</f>
        <v>#N/A Field Not Applicable</v>
      </c>
      <c r="AZ146" s="45" t="str">
        <f>IF(OR(T146="Cash",T146="Cash Adjustments"), T146, _xll.BDP(R146&amp;" FIGI", $AZ$1))</f>
        <v>GOVT NATIONAL</v>
      </c>
      <c r="BA146" s="45" t="str">
        <f>IF(OR(T146="Cash",T146="Cash Adjustments"), T146, _xll.BDP(R146&amp;" FIGI", $BA$1))</f>
        <v>#N/A Field Not Applicable</v>
      </c>
      <c r="BB146" s="45">
        <f>IF(OR(AS146="Government",AS146="Corporate"),(AK146*AB146/'SFC Report'!$C$20),"")</f>
        <v>1.257395294474853E-2</v>
      </c>
      <c r="BC146" s="174" t="str">
        <f>IF(OR(T146="Cash",T146="Cash Adjustments", T146="FX Forward", T146="Repo", T146="Equity", T146="M-Mkt"), "", _xll.BDP(R146&amp;" FIGI", $BC$1))</f>
        <v>3/28/2030</v>
      </c>
      <c r="BD146" s="125">
        <f ca="1">IF(OR(T146="Cash",T146="Cash Adjustments",T146="FX Forward",T146="Repo", T146="Equity", T146="M-Mkt"),"",(BC146-'SFC Report'!$B$13)/365)</f>
        <v>9.9150684931506845</v>
      </c>
      <c r="BE146" s="82" t="str">
        <f t="shared" ca="1" si="18"/>
        <v>7 - 10 yrs</v>
      </c>
      <c r="BF146" s="5">
        <f ca="1">IF(BC146="","",BD146*AB146/'SFC Report'!$C$20)</f>
        <v>2.0778600779472571E-2</v>
      </c>
      <c r="BG146" s="14" cm="1">
        <f t="array" ref="BG146">IF(OR(AS146="Corporate",AS146="Government"),_xll.BDP(G146&amp;" ISIN", $BG$1),"")</f>
        <v>5.55561106302694</v>
      </c>
      <c r="BH146" s="140">
        <f>IF(OR(AS146="Corporate",AS146="Government"),BG146*BN146/'SFC Report'!$C$20,"")</f>
        <v>1.1642665347637518E-2</v>
      </c>
      <c r="BI146" s="140">
        <f>IF(OR(AS146="Corporate",AS146="Government"),_xll.BDP(G146&amp;" ISIN", $BI$1),"")</f>
        <v>16.320850172964828</v>
      </c>
      <c r="BJ146" s="140">
        <f>IF(OR(AS146="Corporate",AS146="Government"),BI146*AB146/'SFC Report'!$C$20,"")</f>
        <v>3.420293368219178E-2</v>
      </c>
      <c r="BK146" s="153" t="str">
        <f>IF(OR(T146="Cash",T146="Cash Adjustments"),"-",_xll.BDP(R146&amp;" FIGI",$BK$1))</f>
        <v>USY8137FAR92</v>
      </c>
      <c r="BL146" s="11" t="str">
        <f>IF(OR(AS146="Cash", AS146="Cash Adjustments"),"-",IF(ISNA(VLOOKUP(BK146,'BBG - VaR Data (Sample, Indus )'!C:N,5,0)),"-",VLOOKUP(BK146,'BBG - VaR Data (Sample, Indus )'!C:N,5,0)))</f>
        <v>-</v>
      </c>
      <c r="BM146" s="11">
        <f>IF(OR(AS146="Cash", AS146="Cash Adjustments"),"-",IF(ISNA(VLOOKUP(BK146,'BBG - Scenarios (Sample View)'!C:Z,14,0)),"-",VLOOKUP(BK146,'BBG - Scenarios (Sample View)'!C:Z,14,0)))</f>
        <v>-14.31</v>
      </c>
      <c r="BN146" s="14">
        <f t="shared" si="27"/>
        <v>1153514.3163054697</v>
      </c>
      <c r="BO146" s="1">
        <f t="shared" si="28"/>
        <v>2.2627900579686206E-3</v>
      </c>
      <c r="BP146" t="str">
        <f>IF(BC146&lt;&gt;0,MaturityBucket(BG146),"")</f>
        <v>5 - 7 yrs</v>
      </c>
      <c r="BQ146" s="11" t="str">
        <f>IF(OR(T146="Cash",T146="Cash Adjustments"),T146,VLOOKUP(AL146,'SFC Classifcation'!$A:$C,2,0))</f>
        <v>Sri Lanka</v>
      </c>
      <c r="BR146" s="1" t="e">
        <f>IF(S146="Bond",BH146/'SFC Report'!$B$7,"")</f>
        <v>#VALUE!</v>
      </c>
      <c r="BS146" t="str">
        <f>IF(OR(T146="Cash",T146="Cash Adjustments"),"-",_xll.BDP(R146&amp;" FIGI",$BS$1))</f>
        <v>5/20/2020</v>
      </c>
      <c r="BT146" t="str">
        <f>IF(OR(T146="Cash",T146="Cash Adjustments"),"-",_xll.BDP(R146&amp;" FIGI",$BT$1))</f>
        <v>4/17/2020</v>
      </c>
      <c r="BU146" t="str">
        <f>IF(OR(T146="Cash",T146="Cash Adjustments"),"-",_xll.BDP(R146&amp;" FIGI",$BU$1))</f>
        <v>4/24/2020</v>
      </c>
    </row>
    <row r="147" spans="1:73">
      <c r="A147" s="254" t="s">
        <v>15</v>
      </c>
      <c r="B147" s="254" t="s">
        <v>25</v>
      </c>
      <c r="C147" s="254" t="s">
        <v>46</v>
      </c>
      <c r="D147" s="254" t="s">
        <v>22</v>
      </c>
      <c r="E147" s="254"/>
      <c r="F147" s="254" t="s">
        <v>1952</v>
      </c>
      <c r="G147" s="254" t="s">
        <v>1953</v>
      </c>
      <c r="H147" s="270">
        <v>0</v>
      </c>
      <c r="I147" s="270" t="s">
        <v>47</v>
      </c>
      <c r="J147" s="270">
        <v>0</v>
      </c>
      <c r="K147" s="270">
        <v>0</v>
      </c>
      <c r="L147" s="270">
        <v>0</v>
      </c>
      <c r="M147" s="270">
        <v>645.85</v>
      </c>
      <c r="N147" s="270">
        <v>0</v>
      </c>
      <c r="O147" s="255">
        <v>0</v>
      </c>
      <c r="P147" s="1"/>
      <c r="Q147" s="1" t="str">
        <f t="shared" si="21"/>
        <v>Investments</v>
      </c>
      <c r="R147" s="1" t="str">
        <f>_xll.BDP(G147&amp;" ISIN",$R$1)</f>
        <v>BBG00TDCM2R7</v>
      </c>
      <c r="S147" s="1" t="str">
        <f>IF(Q147="Cash",Q147,IF(OR(Q147="Receivable Investments",Q147="Payable Investments"),"Cash Adjustments",_xll.BDP(R147&amp;" FIGI",$S$1)))</f>
        <v>BOND</v>
      </c>
      <c r="T147" s="1" t="str">
        <f>IF(Q147="Cash",Q147,IF(OR(Q147="Receivable Investments",Q147="Payable Investments"),"Cash Adjustments",VLOOKUP(R147,LQA!E:S,3,0)))</f>
        <v>Corp</v>
      </c>
      <c r="U147" s="1" t="str">
        <f>IF(Q147="Cash",Q147,IF(OR(Q147="Receivable Investments",Q147="Payable Investments"),"Cash Adjustments",_xll.BDP(R147&amp;" FIGI",$U$1)))</f>
        <v>#N/A Field Not Applicable</v>
      </c>
      <c r="V147" s="10">
        <f>IF(OR(Q147="Cash",Q147="Receivable Investments",Q147="Payable Investments"),0,IF(Q147="Investments",VLOOKUP(R147,LQA!E:Q,12,0),"Not Covered"))</f>
        <v>0.1</v>
      </c>
      <c r="W147" s="76">
        <f>IF(OR(Q147="Cash",Q147="Receivable Investments",Q147="Payable Investments"),0,IF(Q147="Investments",VLOOKUP(R147,LQA!E:Q,9,0),"Not Covered"))</f>
        <v>1.696E-3</v>
      </c>
      <c r="X147" s="13" t="str">
        <f>IF(OR(H147=0,T150="Comdty"),"High",IF(V147&lt;='Liquidity Bucket'!$A$4,'Liquidity Bucket'!$I$4,IF(V147&lt;='Liquidity Bucket'!$A$5,'Liquidity Bucket'!$I$5,IF(V147&lt;='Liquidity Bucket'!$A$6,'Liquidity Bucket'!$I$6,IF(V147='Liquidity Bucket'!$A$8,'Liquidity Bucket'!$I$8,'Liquidity Bucket'!$I$7)))))</f>
        <v>High</v>
      </c>
      <c r="Y147" s="153">
        <f>IF(OR(Q147="Cash",Q147="Receivable Investments",Q147="Payable Investments"),0,IF(Q147="Investments",VLOOKUP(R147,'LQA Stress'!E:Q,12,0),"Not Covered"))</f>
        <v>0.1</v>
      </c>
      <c r="Z147" s="75">
        <f>IF(OR(Q147="Cash",Q147="Receivable Investments",Q147="Payable Investments"),0,IF(Q147="Investments",VLOOKUP(R147,'LQA Stress'!E:Q,9,0),"Not Covered"))</f>
        <v>4.7980000000000002E-3</v>
      </c>
      <c r="AA147" s="13" t="str">
        <f>IF(T150="Comdty","High",IF(Y147&lt;='Liquidity Bucket'!$A$4,'Liquidity Bucket'!$I$4,IF(Y147&lt;='Liquidity Bucket'!$A$5,'Liquidity Bucket'!$I$5,IF(Y147&lt;='Liquidity Bucket'!$A$6,'Liquidity Bucket'!$I$6,IF(Y147='Liquidity Bucket'!$A$8,'Liquidity Bucket'!$I$8,'Liquidity Bucket'!$I$7)))))</f>
        <v>High</v>
      </c>
      <c r="AB147" s="14">
        <f>(N147+M147)/'FX Rates'!$C$5</f>
        <v>83.313983488132095</v>
      </c>
      <c r="AC147" s="15" t="str">
        <f>IF(X147="Not Covered", (H147/_xll.BDP(R147&amp;" FIGI",$AC$1)),"")</f>
        <v/>
      </c>
      <c r="AD147" s="16" t="str">
        <f>IF(X147="Not Covered", _xll.BDP(R147&amp;" FIGI",$AD$1),"")</f>
        <v/>
      </c>
      <c r="AE147" s="16" t="str">
        <f>IF(OR(T147="Corp",T147="Govt"),IF(_xll.BDP(R147&amp;" FIGI",$AE$1)="#N/A N/A","",_xll.BDP(R147&amp;" FIGI",$AE$1)),"")</f>
        <v>AAA</v>
      </c>
      <c r="AF147" s="1" t="str">
        <f>IF(OR(T147="Corp",T147="Govt"),IF(_xll.BDP(R147&amp;" FIGI",$AF$1)="#N/A N/A","",_xll.BDP(R147&amp;" FIGI",$AF$1)),"")</f>
        <v/>
      </c>
      <c r="AG147" s="16" t="str">
        <f>IF(OR(T147="Corp",T147="Govt"),IF(_xll.BDP(R147&amp;" FIGI",$AG$1)="#N/A N/A","",_xll.BDP(R147&amp;" FIGI",$AG$1)),"")</f>
        <v/>
      </c>
      <c r="AH147" s="125">
        <f>IF(OR(S147="Cash",S147="M-Mkt"),21,IF(AE147="",0,VLOOKUP(AE147,'Rating Scale'!A:B,2,0)))</f>
        <v>21</v>
      </c>
      <c r="AI147" s="125">
        <f>IF(OR(S147="Cash",S147="M-Mkt"),21,IF(AF147="",0,VLOOKUP(AF147,'Rating Scale'!D:E,2,0)))</f>
        <v>0</v>
      </c>
      <c r="AJ147" s="125">
        <f>IF(OR(S147="Cash",S147="M-Mkt"),21,IF(AG147="",0,VLOOKUP(AG147,'Rating Scale'!G:H,2,0)))</f>
        <v>0</v>
      </c>
      <c r="AK147">
        <f t="shared" si="19"/>
        <v>21</v>
      </c>
      <c r="AL147" s="1" t="str">
        <f>IF(OR(U147="Cash",U147="Cash Adjustments"),_xll.BDP(G147&amp;" Curncy","Country"),IF(T147="Equity",_xll.BDP(R147&amp;" FIGI","CNTRY_ISSUE_ISO"),_xll.BDP(R147&amp;" FIGI",$AL$1)))</f>
        <v>SG</v>
      </c>
      <c r="AM147" s="126" t="str">
        <f>IF(OR(T147="Cash",T147="Cash Adjustments",T147="M-Mkt"), T147, IF(T147="Comdty",AS147, _xll.BDP(R147&amp;" FIGI", $AM$1)))</f>
        <v>Industrial</v>
      </c>
      <c r="AN147" s="126" t="str">
        <f>IF(OR(T147="Cash",T147="Cash Adjustments",T147="M-Mkt"), T147,  IF(T147="Comdty",AS147,_xll.BDP(R147&amp;" FIGI", $AN$1)))</f>
        <v>Aerospace/Defense</v>
      </c>
      <c r="AO147" s="126" t="str">
        <f>IF(OR(T147="Cash",T147="Cash Adjustments",T147="M-Mkt"), T147,  IF(T147="Comdty",AS147,_xll.BDP(R147&amp;" FIGI", $AO$1)))</f>
        <v>Aerospace/Defense</v>
      </c>
      <c r="AP147" s="13" t="str">
        <f>IF(OR(T147="Cash",T147="Cash Adjustments"), T147, IF(_xll.BDP(R147&amp;" FIGI", $AP$1)="#N/A Field Not Applicable","N",_xll.BDP(R147&amp;" FIGI", $AP$1)))</f>
        <v>N</v>
      </c>
      <c r="AQ147" s="1" t="str">
        <f>IF(OR(T147="Cash",T147="Cash Adjustments"), T147, IF(_xll.BDP(R147&amp;" FIGI", $AQ$1)="#N/A Field Not Applicable"," ",_xll.BDP(R147&amp;" FIGI", $AQ$1)))</f>
        <v xml:space="preserve"> </v>
      </c>
      <c r="AR147" s="1" t="str">
        <f>IF(OR(T147="Cash",T147="Cash Adjustments"), T147, IF(_xll.BDP(R147&amp;" FIGI", $AR$1)="#N/A Field Not Applicable"," ",_xll.BDP(R147&amp;" FIGI", $AR$1)))</f>
        <v>ACTV</v>
      </c>
      <c r="AS147" s="1" t="str">
        <f>VLOOKUP(T147,'SFC Classifcation'!$F$2:$H$7,3,0)</f>
        <v>Corporate</v>
      </c>
      <c r="AT147" s="22" t="str">
        <f t="shared" si="22"/>
        <v>Non-Financial</v>
      </c>
      <c r="AU147" s="1" t="str">
        <f t="shared" si="23"/>
        <v>Investment Grade</v>
      </c>
      <c r="AV147" s="1" t="str">
        <f>IF(OR(T147="Cash",T147="Cash Adjustments"),T147,VLOOKUP(AL147,'SFC Classifcation'!$A:$C,3,0))</f>
        <v>Singapore</v>
      </c>
      <c r="AW147" s="22" t="str">
        <f t="shared" si="24"/>
        <v>High</v>
      </c>
      <c r="AX147" s="22" t="str">
        <f t="shared" si="26"/>
        <v>High</v>
      </c>
      <c r="AY147" s="45" t="str">
        <f>IF(OR(T147="Cash",T147="Cash Adjustments"), T147, _xll.BDP(R147&amp;" FIGI", $AY$1))</f>
        <v>#N/A Field Not Applicable</v>
      </c>
      <c r="AZ147" s="45" t="str">
        <f>IF(OR(T147="Cash",T147="Cash Adjustments"), T147, _xll.BDP(R147&amp;" FIGI", $AZ$1))</f>
        <v>INDUSTRIAL</v>
      </c>
      <c r="BA147" s="45" t="str">
        <f>IF(OR(T147="Cash",T147="Cash Adjustments"), T147, _xll.BDP(R147&amp;" FIGI", $BA$1))</f>
        <v>#N/A Field Not Applicable</v>
      </c>
      <c r="BB147" s="45">
        <f>IF(OR(AS147="Government",AS147="Corporate"),(AK147*AB147/'SFC Report'!$C$20),"")</f>
        <v>3.1785920003238937E-6</v>
      </c>
      <c r="BC147" s="174" t="str">
        <f>IF(OR(T147="Cash",T147="Cash Adjustments", T147="FX Forward", T147="Repo", T147="Equity", T147="M-Mkt"), "", _xll.BDP(R147&amp;" FIGI", $BC$1))</f>
        <v>4/29/2025</v>
      </c>
      <c r="BD147" s="125">
        <f ca="1">IF(OR(T147="Cash",T147="Cash Adjustments",T147="FX Forward",T147="Repo", T147="Equity", T147="M-Mkt"),"",(BC147-'SFC Report'!$B$13)/365)</f>
        <v>5</v>
      </c>
      <c r="BE147" s="82" t="str">
        <f t="shared" ca="1" si="18"/>
        <v>3 - 5 yrs</v>
      </c>
      <c r="BF147" s="5">
        <f ca="1">IF(BC147="","",BD147*AB147/'SFC Report'!$C$20)</f>
        <v>7.5680761912473651E-7</v>
      </c>
      <c r="BG147" s="14" cm="1">
        <f t="array" ref="BG147">IF(OR(AS147="Corporate",AS147="Government"),_xll.BDP(G147&amp;" ISIN", $BG$1),"")</f>
        <v>4.5016847960751853</v>
      </c>
      <c r="BH147" s="140">
        <f>IF(OR(AS147="Corporate",AS147="Government"),BG147*BN147/'SFC Report'!$C$20,"")</f>
        <v>6.8138187051353727E-7</v>
      </c>
      <c r="BI147" s="140">
        <f>IF(OR(AS147="Corporate",AS147="Government"),_xll.BDP(G147&amp;" ISIN", $BI$1),"")</f>
        <v>1.1015849921588494</v>
      </c>
      <c r="BJ147" s="140">
        <f>IF(OR(AS147="Corporate",AS147="Government"),BI147*AB147/'SFC Report'!$C$20,"")</f>
        <v>1.6673758303585611E-7</v>
      </c>
      <c r="BK147" s="153" t="str">
        <f>IF(OR(T147="Cash",T147="Cash Adjustments"),"-",_xll.BDP(R147&amp;" FIGI",$BK$1))</f>
        <v>XS2163022739</v>
      </c>
      <c r="BL147" s="11" t="str">
        <f>IF(OR(AS147="Cash", AS147="Cash Adjustments"),"-",IF(ISNA(VLOOKUP(BK147,'BBG - VaR Data (Sample, Indus )'!C:N,5,0)),"-",VLOOKUP(BK147,'BBG - VaR Data (Sample, Indus )'!C:N,5,0)))</f>
        <v>-</v>
      </c>
      <c r="BM147" s="11" t="str">
        <f>IF(OR(AS147="Cash", AS147="Cash Adjustments"),"-",IF(ISNA(VLOOKUP(BK147,'BBG - Scenarios (Sample View)'!C:Z,14,0)),"-",VLOOKUP(BK147,'BBG - Scenarios (Sample View)'!C:Z,14,0)))</f>
        <v>-</v>
      </c>
      <c r="BN147" s="14">
        <f t="shared" si="27"/>
        <v>83.313983488132095</v>
      </c>
      <c r="BO147" s="1">
        <f t="shared" si="28"/>
        <v>1.6343278177120026E-7</v>
      </c>
      <c r="BP147" t="str">
        <f>IF(BC147&lt;&gt;0,MaturityBucket(BG147),"")</f>
        <v>3 - 5 yrs</v>
      </c>
      <c r="BQ147" s="11" t="str">
        <f>IF(OR(T147="Cash",T147="Cash Adjustments"),T147,VLOOKUP(AL147,'SFC Classifcation'!$A:$C,2,0))</f>
        <v>Singapore</v>
      </c>
      <c r="BR147" s="1" t="e">
        <f>IF(S147="Bond",BH147/'SFC Report'!$B$7,"")</f>
        <v>#VALUE!</v>
      </c>
      <c r="BS147" t="str">
        <f>IF(OR(T147="Cash",T147="Cash Adjustments"),"-",_xll.BDP(R147&amp;" FIGI",$BS$1))</f>
        <v>3/18/2020</v>
      </c>
      <c r="BT147" t="str">
        <f>IF(OR(T147="Cash",T147="Cash Adjustments"),"-",_xll.BDP(R147&amp;" FIGI",$BT$1))</f>
        <v>#N/A N/A</v>
      </c>
      <c r="BU147" t="str">
        <f>IF(OR(T147="Cash",T147="Cash Adjustments"),"-",_xll.BDP(R147&amp;" FIGI",$BU$1))</f>
        <v>#N/A N/A</v>
      </c>
    </row>
    <row r="148" spans="1:73">
      <c r="A148" s="254" t="s">
        <v>15</v>
      </c>
      <c r="B148" s="254" t="s">
        <v>25</v>
      </c>
      <c r="C148" s="254" t="s">
        <v>46</v>
      </c>
      <c r="D148" s="254" t="s">
        <v>22</v>
      </c>
      <c r="E148" s="254"/>
      <c r="F148" s="254" t="s">
        <v>1225</v>
      </c>
      <c r="G148" s="254" t="s">
        <v>1226</v>
      </c>
      <c r="H148" s="270">
        <v>3700000</v>
      </c>
      <c r="I148" s="270">
        <v>92.242999999999995</v>
      </c>
      <c r="J148" s="270">
        <v>3464005.94</v>
      </c>
      <c r="K148" s="270">
        <v>26897436.140000001</v>
      </c>
      <c r="L148" s="270">
        <v>-446073.21</v>
      </c>
      <c r="M148" s="270">
        <v>569532.06000000006</v>
      </c>
      <c r="N148" s="270">
        <v>26451362.93</v>
      </c>
      <c r="O148" s="255">
        <v>5.7999999999999996E-3</v>
      </c>
      <c r="Q148" s="1" t="str">
        <f t="shared" si="21"/>
        <v>Investments</v>
      </c>
      <c r="R148" s="1" t="str">
        <f>_xll.BDP(G148&amp;" ISIN",$R$1)</f>
        <v>BBG00R9SLKK9</v>
      </c>
      <c r="S148" s="1" t="str">
        <f>IF(Q148="Cash",Q148,IF(OR(Q148="Receivable Investments",Q148="Payable Investments"),"Cash Adjustments",_xll.BDP(R148&amp;" FIGI",$S$1)))</f>
        <v>BOND</v>
      </c>
      <c r="T148" s="1" t="str">
        <f>IF(Q148="Cash",Q148,IF(OR(Q148="Receivable Investments",Q148="Payable Investments"),"Cash Adjustments",VLOOKUP(R148,LQA!E:S,3,0)))</f>
        <v>Corp</v>
      </c>
      <c r="U148" s="1" t="str">
        <f>IF(Q148="Cash",Q148,IF(OR(Q148="Receivable Investments",Q148="Payable Investments"),"Cash Adjustments",_xll.BDP(R148&amp;" FIGI",$U$1)))</f>
        <v>#N/A Field Not Applicable</v>
      </c>
      <c r="V148" s="10">
        <f>IF(OR(Q148="Cash",Q148="Receivable Investments",Q148="Payable Investments"),0,IF(Q148="Investments",VLOOKUP(R148,LQA!E:Q,12,0),"Not Covered"))</f>
        <v>0.1</v>
      </c>
      <c r="W148" s="76">
        <f>IF(OR(Q148="Cash",Q148="Receivable Investments",Q148="Payable Investments"),0,IF(Q148="Investments",VLOOKUP(R148,LQA!E:Q,9,0),"Not Covered"))</f>
        <v>1.7565999999999998E-2</v>
      </c>
      <c r="X148" s="13" t="str">
        <f>IF(OR(H148=0,T151="Comdty"),"High",IF(V148&lt;='Liquidity Bucket'!$A$4,'Liquidity Bucket'!$I$4,IF(V148&lt;='Liquidity Bucket'!$A$5,'Liquidity Bucket'!$I$5,IF(V148&lt;='Liquidity Bucket'!$A$6,'Liquidity Bucket'!$I$6,IF(V148='Liquidity Bucket'!$A$8,'Liquidity Bucket'!$I$8,'Liquidity Bucket'!$I$7)))))</f>
        <v>High</v>
      </c>
      <c r="Y148" s="153">
        <f>IF(OR(Q148="Cash",Q148="Receivable Investments",Q148="Payable Investments"),0,IF(Q148="Investments",VLOOKUP(R148,'LQA Stress'!E:Q,12,0),"Not Covered"))</f>
        <v>0.5</v>
      </c>
      <c r="Z148" s="75">
        <f>IF(OR(Q148="Cash",Q148="Receivable Investments",Q148="Payable Investments"),0,IF(Q148="Investments",VLOOKUP(R148,'LQA Stress'!E:Q,9,0),"Not Covered"))</f>
        <v>4.8194000000000001E-2</v>
      </c>
      <c r="AA148" s="13" t="str">
        <f>IF(T151="Comdty","High",IF(Y148&lt;='Liquidity Bucket'!$A$4,'Liquidity Bucket'!$I$4,IF(Y148&lt;='Liquidity Bucket'!$A$5,'Liquidity Bucket'!$I$5,IF(Y148&lt;='Liquidity Bucket'!$A$6,'Liquidity Bucket'!$I$6,IF(Y148='Liquidity Bucket'!$A$8,'Liquidity Bucket'!$I$8,'Liquidity Bucket'!$I$7)))))</f>
        <v>High</v>
      </c>
      <c r="AB148" s="14">
        <f>(N148+M148)/'FX Rates'!$C$5</f>
        <v>3485667.5683694528</v>
      </c>
      <c r="AC148" s="15" t="str">
        <f>IF(X148="Not Covered", (H148/_xll.BDP(R148&amp;" FIGI",$AC$1)),"")</f>
        <v/>
      </c>
      <c r="AD148" s="16" t="str">
        <f>IF(X148="Not Covered", _xll.BDP(R148&amp;" FIGI",$AD$1),"")</f>
        <v/>
      </c>
      <c r="AE148" s="16" t="str">
        <f>IF(OR(T148="Corp",T148="Govt"),IF(_xll.BDP(R148&amp;" FIGI",$AE$1)="#N/A N/A","",_xll.BDP(R148&amp;" FIGI",$AE$1)),"")</f>
        <v>B+</v>
      </c>
      <c r="AF148" s="1" t="str">
        <f>IF(OR(T148="Corp",T148="Govt"),IF(_xll.BDP(R148&amp;" FIGI",$AF$1)="#N/A N/A","",_xll.BDP(R148&amp;" FIGI",$AF$1)),"")</f>
        <v>B1</v>
      </c>
      <c r="AG148" s="16" t="str">
        <f>IF(OR(T148="Corp",T148="Govt"),IF(_xll.BDP(R148&amp;" FIGI",$AG$1)="#N/A N/A","",_xll.BDP(R148&amp;" FIGI",$AG$1)),"")</f>
        <v>BB</v>
      </c>
      <c r="AH148" s="125">
        <f>IF(OR(S148="Cash",S148="M-Mkt"),21,IF(AE148="",0,VLOOKUP(AE148,'Rating Scale'!A:B,2,0)))</f>
        <v>8</v>
      </c>
      <c r="AI148" s="125">
        <f>IF(OR(S148="Cash",S148="M-Mkt"),21,IF(AF148="",0,VLOOKUP(AF148,'Rating Scale'!D:E,2,0)))</f>
        <v>8</v>
      </c>
      <c r="AJ148" s="125">
        <f>IF(OR(S148="Cash",S148="M-Mkt"),21,IF(AG148="",0,VLOOKUP(AG148,'Rating Scale'!G:H,2,0)))</f>
        <v>10</v>
      </c>
      <c r="AK148">
        <f t="shared" si="19"/>
        <v>8</v>
      </c>
      <c r="AL148" s="1" t="str">
        <f>IF(OR(U148="Cash",U148="Cash Adjustments"),_xll.BDP(G148&amp;" Curncy","Country"),IF(T148="Equity",_xll.BDP(R148&amp;" FIGI","CNTRY_ISSUE_ISO"),_xll.BDP(R148&amp;" FIGI",$AL$1)))</f>
        <v>CN</v>
      </c>
      <c r="AM148" s="126" t="str">
        <f>IF(OR(T148="Cash",T148="Cash Adjustments",T148="M-Mkt"), T148, IF(T148="Comdty",AS148, _xll.BDP(R148&amp;" FIGI", $AM$1)))</f>
        <v>Financial</v>
      </c>
      <c r="AN148" s="126" t="str">
        <f>IF(OR(T148="Cash",T148="Cash Adjustments",T148="M-Mkt"), T148,  IF(T148="Comdty",AS148,_xll.BDP(R148&amp;" FIGI", $AN$1)))</f>
        <v>Real Estate</v>
      </c>
      <c r="AO148" s="126" t="str">
        <f>IF(OR(T148="Cash",T148="Cash Adjustments",T148="M-Mkt"), T148,  IF(T148="Comdty",AS148,_xll.BDP(R148&amp;" FIGI", $AO$1)))</f>
        <v>Real Estate Oper/Develop</v>
      </c>
      <c r="AP148" s="13" t="str">
        <f>IF(OR(T148="Cash",T148="Cash Adjustments"), T148, IF(_xll.BDP(R148&amp;" FIGI", $AP$1)="#N/A Field Not Applicable","N",_xll.BDP(R148&amp;" FIGI", $AP$1)))</f>
        <v>N</v>
      </c>
      <c r="AQ148" s="1" t="str">
        <f>IF(OR(T148="Cash",T148="Cash Adjustments"), T148, IF(_xll.BDP(R148&amp;" FIGI", $AQ$1)="#N/A Field Not Applicable"," ",_xll.BDP(R148&amp;" FIGI", $AQ$1)))</f>
        <v xml:space="preserve"> </v>
      </c>
      <c r="AR148" s="1" t="str">
        <f>IF(OR(T148="Cash",T148="Cash Adjustments"), T148, IF(_xll.BDP(R148&amp;" FIGI", $AR$1)="#N/A Field Not Applicable"," ",_xll.BDP(R148&amp;" FIGI", $AR$1)))</f>
        <v>ACTV</v>
      </c>
      <c r="AS148" s="1" t="str">
        <f>VLOOKUP(T148,'SFC Classifcation'!$F$2:$H$7,3,0)</f>
        <v>Corporate</v>
      </c>
      <c r="AT148" s="22" t="str">
        <f t="shared" si="22"/>
        <v>Financial</v>
      </c>
      <c r="AU148" s="1" t="str">
        <f t="shared" si="23"/>
        <v>Non-Investment Grade</v>
      </c>
      <c r="AV148" s="1" t="str">
        <f>IF(OR(T148="Cash",T148="Cash Adjustments"),T148,VLOOKUP(AL148,'SFC Classifcation'!$A:$C,3,0))</f>
        <v>China</v>
      </c>
      <c r="AW148" s="22" t="str">
        <f t="shared" si="24"/>
        <v>High</v>
      </c>
      <c r="AX148" s="22" t="str">
        <f t="shared" si="26"/>
        <v>High</v>
      </c>
      <c r="AY148" s="45" t="str">
        <f>IF(OR(T148="Cash",T148="Cash Adjustments"), T148, _xll.BDP(R148&amp;" FIGI", $AY$1))</f>
        <v>Real Estate</v>
      </c>
      <c r="AZ148" s="45" t="str">
        <f>IF(OR(T148="Cash",T148="Cash Adjustments"), T148, _xll.BDP(R148&amp;" FIGI", $AZ$1))</f>
        <v>FINANCIAL</v>
      </c>
      <c r="BA148" s="45" t="str">
        <f>IF(OR(T148="Cash",T148="Cash Adjustments"), T148, _xll.BDP(R148&amp;" FIGI", $BA$1))</f>
        <v>#N/A Field Not Applicable</v>
      </c>
      <c r="BB148" s="45">
        <f>IF(OR(AS148="Government",AS148="Corporate"),(AK148*AB148/'SFC Report'!$C$20),"")</f>
        <v>5.0660975035073587E-2</v>
      </c>
      <c r="BC148" s="174" t="str">
        <f>IF(OR(T148="Cash",T148="Cash Adjustments", T148="FX Forward", T148="Repo", T148="Equity", T148="M-Mkt"), "", _xll.BDP(R148&amp;" FIGI", $BC$1))</f>
        <v>1/10/2025</v>
      </c>
      <c r="BD148" s="125">
        <f ca="1">IF(OR(T148="Cash",T148="Cash Adjustments",T148="FX Forward",T148="Repo", T148="Equity", T148="M-Mkt"),"",(BC148-'SFC Report'!$B$13)/365)</f>
        <v>4.7013698630136984</v>
      </c>
      <c r="BE148" s="82" t="str">
        <f t="shared" ca="1" si="18"/>
        <v>3 - 5 yrs</v>
      </c>
      <c r="BF148" s="5">
        <f ca="1">IF(BC148="","",BD148*AB148/'SFC Report'!$C$20)</f>
        <v>2.9771997657598036E-2</v>
      </c>
      <c r="BG148" s="14" cm="1">
        <f t="array" ref="BG148">IF(OR(AS148="Corporate",AS148="Government"),_xll.BDP(G148&amp;" ISIN", $BG$1),"")</f>
        <v>3.8005813616342183</v>
      </c>
      <c r="BH148" s="140">
        <f>IF(OR(AS148="Corporate",AS148="Government"),BG148*BN148/'SFC Report'!$C$20,"")</f>
        <v>2.4067644685064636E-2</v>
      </c>
      <c r="BI148" s="140">
        <f>IF(OR(AS148="Corporate",AS148="Government"),_xll.BDP(G148&amp;" ISIN", $BI$1),"")</f>
        <v>7.7210557805159521</v>
      </c>
      <c r="BJ148" s="140">
        <f>IF(OR(AS148="Corporate",AS148="Government"),BI148*AB148/'SFC Report'!$C$20,"")</f>
        <v>4.889452676764116E-2</v>
      </c>
      <c r="BK148" s="153" t="str">
        <f>IF(OR(T148="Cash",T148="Cash Adjustments"),"-",_xll.BDP(R148&amp;" FIGI",$BK$1))</f>
        <v>XS2100444772</v>
      </c>
      <c r="BL148" s="11" t="str">
        <f>IF(OR(AS148="Cash", AS148="Cash Adjustments"),"-",IF(ISNA(VLOOKUP(BK148,'BBG - VaR Data (Sample, Indus )'!C:N,5,0)),"-",VLOOKUP(BK148,'BBG - VaR Data (Sample, Indus )'!C:N,5,0)))</f>
        <v>-</v>
      </c>
      <c r="BM148" s="11">
        <f>IF(OR(AS148="Cash", AS148="Cash Adjustments"),"-",IF(ISNA(VLOOKUP(BK148,'BBG - Scenarios (Sample View)'!C:Z,14,0)),"-",VLOOKUP(BK148,'BBG - Scenarios (Sample View)'!C:Z,14,0)))</f>
        <v>-7.24</v>
      </c>
      <c r="BN148" s="14">
        <f t="shared" si="27"/>
        <v>3485667.5683694528</v>
      </c>
      <c r="BO148" s="1">
        <f t="shared" si="28"/>
        <v>6.8376558553273799E-3</v>
      </c>
      <c r="BP148" t="str">
        <f>IF(BC148&lt;&gt;0,MaturityBucket(BG148),"")</f>
        <v>3 - 5 yrs</v>
      </c>
      <c r="BQ148" s="11" t="str">
        <f>IF(OR(T148="Cash",T148="Cash Adjustments"),T148,VLOOKUP(AL148,'SFC Classifcation'!$A:$C,2,0))</f>
        <v>China</v>
      </c>
      <c r="BR148" s="1" t="e">
        <f>IF(S148="Bond",BH148/'SFC Report'!$B$7,"")</f>
        <v>#VALUE!</v>
      </c>
      <c r="BS148" t="str">
        <f>IF(OR(T148="Cash",T148="Cash Adjustments"),"-",_xll.BDP(R148&amp;" FIGI",$BS$1))</f>
        <v>1/6/2020</v>
      </c>
      <c r="BT148" t="str">
        <f>IF(OR(T148="Cash",T148="Cash Adjustments"),"-",_xll.BDP(R148&amp;" FIGI",$BT$1))</f>
        <v>1/7/2020</v>
      </c>
      <c r="BU148" t="str">
        <f>IF(OR(T148="Cash",T148="Cash Adjustments"),"-",_xll.BDP(R148&amp;" FIGI",$BU$1))</f>
        <v>1/6/2020</v>
      </c>
    </row>
    <row r="149" spans="1:73">
      <c r="A149" s="254" t="s">
        <v>15</v>
      </c>
      <c r="B149" s="254" t="s">
        <v>25</v>
      </c>
      <c r="C149" s="254" t="s">
        <v>46</v>
      </c>
      <c r="D149" s="254" t="s">
        <v>22</v>
      </c>
      <c r="E149" s="254"/>
      <c r="F149" s="254" t="s">
        <v>1343</v>
      </c>
      <c r="G149" s="254" t="s">
        <v>1344</v>
      </c>
      <c r="H149" s="270">
        <v>1000000</v>
      </c>
      <c r="I149" s="270">
        <v>96.759</v>
      </c>
      <c r="J149" s="270">
        <v>907500</v>
      </c>
      <c r="K149" s="270">
        <v>7034123.25</v>
      </c>
      <c r="L149" s="270">
        <v>464892.77</v>
      </c>
      <c r="M149" s="270">
        <v>289017.88</v>
      </c>
      <c r="N149" s="270">
        <v>7499016.0199999996</v>
      </c>
      <c r="O149" s="255">
        <v>1.6000000000000001E-3</v>
      </c>
      <c r="Q149" s="1" t="str">
        <f t="shared" ref="Q149" si="29">IF(B149="Cash Long","Cash",A149)</f>
        <v>Investments</v>
      </c>
      <c r="R149" s="1" t="str">
        <f>_xll.BDP(G149&amp;" ISIN",$R$1)</f>
        <v>BBG00QQ1W050</v>
      </c>
      <c r="S149" s="1" t="str">
        <f>IF(Q149="Cash",Q149,IF(OR(Q149="Receivable Investments",Q149="Payable Investments"),"Cash Adjustments",_xll.BDP(R149&amp;" FIGI",$S$1)))</f>
        <v>BOND</v>
      </c>
      <c r="T149" s="1" t="str">
        <f>IF(Q149="Cash",Q149,IF(OR(Q149="Receivable Investments",Q149="Payable Investments"),"Cash Adjustments",VLOOKUP(R149,LQA!E:S,3,0)))</f>
        <v>Corp</v>
      </c>
      <c r="U149" s="1" t="str">
        <f>IF(Q149="Cash",Q149,IF(OR(Q149="Receivable Investments",Q149="Payable Investments"),"Cash Adjustments",_xll.BDP(R149&amp;" FIGI",$U$1)))</f>
        <v>#N/A Field Not Applicable</v>
      </c>
      <c r="V149" s="10">
        <f>IF(OR(Q149="Cash",Q149="Receivable Investments",Q149="Payable Investments"),0,IF(Q149="Investments",VLOOKUP(R149,LQA!E:Q,12,0),"Not Covered"))</f>
        <v>0.1</v>
      </c>
      <c r="W149" s="76">
        <f>IF(OR(Q149="Cash",Q149="Receivable Investments",Q149="Payable Investments"),0,IF(Q149="Investments",VLOOKUP(R149,LQA!E:Q,9,0),"Not Covered"))</f>
        <v>1.5551000000000001E-2</v>
      </c>
      <c r="X149" s="13" t="str">
        <f>IF(OR(H149=0,T152="Comdty"),"High",IF(V149&lt;='Liquidity Bucket'!$A$4,'Liquidity Bucket'!$I$4,IF(V149&lt;='Liquidity Bucket'!$A$5,'Liquidity Bucket'!$I$5,IF(V149&lt;='Liquidity Bucket'!$A$6,'Liquidity Bucket'!$I$6,IF(V149='Liquidity Bucket'!$A$8,'Liquidity Bucket'!$I$8,'Liquidity Bucket'!$I$7)))))</f>
        <v>High</v>
      </c>
      <c r="Y149" s="153">
        <f>IF(OR(Q149="Cash",Q149="Receivable Investments",Q149="Payable Investments"),0,IF(Q149="Investments",VLOOKUP(R149,'LQA Stress'!E:Q,12,0),"Not Covered"))</f>
        <v>0.5</v>
      </c>
      <c r="Z149" s="75">
        <f>IF(OR(Q149="Cash",Q149="Receivable Investments",Q149="Payable Investments"),0,IF(Q149="Investments",VLOOKUP(R149,'LQA Stress'!E:Q,9,0),"Not Covered"))</f>
        <v>4.3000999999999998E-2</v>
      </c>
      <c r="AA149" s="13" t="str">
        <f>IF(T152="Comdty","High",IF(Y149&lt;='Liquidity Bucket'!$A$4,'Liquidity Bucket'!$I$4,IF(Y149&lt;='Liquidity Bucket'!$A$5,'Liquidity Bucket'!$I$5,IF(Y149&lt;='Liquidity Bucket'!$A$6,'Liquidity Bucket'!$I$6,IF(Y149='Liquidity Bucket'!$A$8,'Liquidity Bucket'!$I$8,'Liquidity Bucket'!$I$7)))))</f>
        <v>High</v>
      </c>
      <c r="AB149" s="14">
        <f>(N149+M149)/'FX Rates'!$C$5</f>
        <v>1004648.3359133126</v>
      </c>
      <c r="AC149" s="15" t="str">
        <f>IF(X149="Not Covered", (H149/_xll.BDP(R149&amp;" FIGI",$AC$1)),"")</f>
        <v/>
      </c>
      <c r="AD149" s="16" t="str">
        <f>IF(X149="Not Covered", _xll.BDP(R149&amp;" FIGI",$AD$1),"")</f>
        <v/>
      </c>
      <c r="AE149" s="16" t="str">
        <f>IF(OR(T149="Corp",T149="Govt"),IF(_xll.BDP(R149&amp;" FIGI",$AE$1)="#N/A N/A","",_xll.BDP(R149&amp;" FIGI",$AE$1)),"")</f>
        <v>B+</v>
      </c>
      <c r="AF149" s="1" t="str">
        <f>IF(OR(T149="Corp",T149="Govt"),IF(_xll.BDP(R149&amp;" FIGI",$AF$1)="#N/A N/A","",_xll.BDP(R149&amp;" FIGI",$AF$1)),"")</f>
        <v>B1</v>
      </c>
      <c r="AG149" s="16" t="str">
        <f>IF(OR(T149="Corp",T149="Govt"),IF(_xll.BDP(R149&amp;" FIGI",$AG$1)="#N/A N/A","",_xll.BDP(R149&amp;" FIGI",$AG$1)),"")</f>
        <v>BB</v>
      </c>
      <c r="AH149" s="125">
        <f>IF(OR(S149="Cash",S149="M-Mkt"),21,IF(AE149="",0,VLOOKUP(AE149,'Rating Scale'!A:B,2,0)))</f>
        <v>8</v>
      </c>
      <c r="AI149" s="125">
        <f>IF(OR(S149="Cash",S149="M-Mkt"),21,IF(AF149="",0,VLOOKUP(AF149,'Rating Scale'!D:E,2,0)))</f>
        <v>8</v>
      </c>
      <c r="AJ149" s="125">
        <f>IF(OR(S149="Cash",S149="M-Mkt"),21,IF(AG149="",0,VLOOKUP(AG149,'Rating Scale'!G:H,2,0)))</f>
        <v>10</v>
      </c>
      <c r="AK149">
        <f t="shared" ref="AK149" si="30">Rating(AH149,AI149,AJ149)</f>
        <v>8</v>
      </c>
      <c r="AL149" s="1" t="str">
        <f>IF(OR(U149="Cash",U149="Cash Adjustments"),_xll.BDP(G149&amp;" Curncy","Country"),IF(T149="Equity",_xll.BDP(R149&amp;" FIGI","CNTRY_ISSUE_ISO"),_xll.BDP(R149&amp;" FIGI",$AL$1)))</f>
        <v>CN</v>
      </c>
      <c r="AM149" s="126" t="str">
        <f>IF(OR(T149="Cash",T149="Cash Adjustments",T149="M-Mkt"), T149, IF(T149="Comdty",AS149, _xll.BDP(R149&amp;" FIGI", $AM$1)))</f>
        <v>Financial</v>
      </c>
      <c r="AN149" s="126" t="str">
        <f>IF(OR(T149="Cash",T149="Cash Adjustments",T149="M-Mkt"), T149,  IF(T149="Comdty",AS149,_xll.BDP(R149&amp;" FIGI", $AN$1)))</f>
        <v>Real Estate</v>
      </c>
      <c r="AO149" s="126" t="str">
        <f>IF(OR(T149="Cash",T149="Cash Adjustments",T149="M-Mkt"), T149,  IF(T149="Comdty",AS149,_xll.BDP(R149&amp;" FIGI", $AO$1)))</f>
        <v>Real Estate Oper/Develop</v>
      </c>
      <c r="AP149" s="13" t="str">
        <f>IF(OR(T149="Cash",T149="Cash Adjustments"), T149, IF(_xll.BDP(R149&amp;" FIGI", $AP$1)="#N/A Field Not Applicable","N",_xll.BDP(R149&amp;" FIGI", $AP$1)))</f>
        <v>N</v>
      </c>
      <c r="AQ149" s="1" t="str">
        <f>IF(OR(T149="Cash",T149="Cash Adjustments"), T149, IF(_xll.BDP(R149&amp;" FIGI", $AQ$1)="#N/A Field Not Applicable"," ",_xll.BDP(R149&amp;" FIGI", $AQ$1)))</f>
        <v xml:space="preserve"> </v>
      </c>
      <c r="AR149" s="1" t="str">
        <f>IF(OR(T149="Cash",T149="Cash Adjustments"), T149, IF(_xll.BDP(R149&amp;" FIGI", $AR$1)="#N/A Field Not Applicable"," ",_xll.BDP(R149&amp;" FIGI", $AR$1)))</f>
        <v>ACTV</v>
      </c>
      <c r="AS149" s="1" t="str">
        <f>VLOOKUP(T149,'SFC Classifcation'!$F$2:$H$7,3,0)</f>
        <v>Corporate</v>
      </c>
      <c r="AT149" s="22" t="str">
        <f t="shared" ref="AT149" si="31">IF(OR(T149="Cash",T149="Cash Adjustments"),T149, IF(AM149&lt;&gt;"Financial","Non-Financial","Financial"))</f>
        <v>Financial</v>
      </c>
      <c r="AU149" s="1" t="str">
        <f t="shared" ref="AU149" si="32">IF(OR(T149="Cash",T149="Cash Adjustments",T149="Equity", T149="Comdty"),"",IF(AK149&gt;=12,"Investment Grade", "Non-Investment Grade"))</f>
        <v>Non-Investment Grade</v>
      </c>
      <c r="AV149" s="1" t="str">
        <f>IF(OR(T149="Cash",T149="Cash Adjustments"),T149,VLOOKUP(AL149,'SFC Classifcation'!$A:$C,3,0))</f>
        <v>China</v>
      </c>
      <c r="AW149" s="22" t="str">
        <f t="shared" ref="AW149" si="33">LQBucket(X149,AK149,AD149,AC149)</f>
        <v>High</v>
      </c>
      <c r="AX149" s="22" t="str">
        <f t="shared" ref="AX149" si="34">LQBucket(AA149,AK149,AD149,AC149)</f>
        <v>High</v>
      </c>
      <c r="AY149" s="45" t="str">
        <f>IF(OR(T149="Cash",T149="Cash Adjustments"), T149, _xll.BDP(R149&amp;" FIGI", $AY$1))</f>
        <v>Real Estate</v>
      </c>
      <c r="AZ149" s="45" t="str">
        <f>IF(OR(T149="Cash",T149="Cash Adjustments"), T149, _xll.BDP(R149&amp;" FIGI", $AZ$1))</f>
        <v>FINANCIAL</v>
      </c>
      <c r="BA149" s="45" t="str">
        <f>IF(OR(T149="Cash",T149="Cash Adjustments"), T149, _xll.BDP(R149&amp;" FIGI", $BA$1))</f>
        <v>#N/A Field Not Applicable</v>
      </c>
      <c r="BB149" s="45">
        <f>IF(OR(AS149="Government",AS149="Corporate"),(AK149*AB149/'SFC Report'!$C$20),"")</f>
        <v>1.4601640364844435E-2</v>
      </c>
      <c r="BC149" s="174" t="str">
        <f>IF(OR(T149="Cash",T149="Cash Adjustments", T149="FX Forward", T149="Repo", T149="Equity", T149="M-Mkt"), "", _xll.BDP(R149&amp;" FIGI", $BC$1))</f>
        <v>2/1/2024</v>
      </c>
      <c r="BD149" s="125">
        <f ca="1">IF(OR(T149="Cash",T149="Cash Adjustments",T149="FX Forward",T149="Repo", T149="Equity", T149="M-Mkt"),"",(BC149-'SFC Report'!$B$13)/365)</f>
        <v>3.7589041095890412</v>
      </c>
      <c r="BE149" s="82" t="str">
        <f t="shared" ref="BE149" ca="1" si="35">IF(BC149&lt;&gt;0,MaturityBucket(BD149),"")</f>
        <v>3 - 5 yrs</v>
      </c>
      <c r="BF149" s="5">
        <f ca="1">IF(BC149="","",BD149*AB149/'SFC Report'!$C$20)</f>
        <v>6.8607707467693716E-3</v>
      </c>
      <c r="BG149" s="14" cm="1">
        <f t="array" ref="BG149">IF(OR(AS149="Corporate",AS149="Government"),_xll.BDP(G149&amp;" ISIN", $BG$1),"")</f>
        <v>3.0345432832324666</v>
      </c>
      <c r="BH149" s="140">
        <f>IF(OR(AS149="Corporate",AS149="Government"),BG149*BN149/'SFC Report'!$C$20,"")</f>
        <v>5.538663711664343E-3</v>
      </c>
      <c r="BI149" s="140">
        <f>IF(OR(AS149="Corporate",AS149="Government"),_xll.BDP(G149&amp;" ISIN", $BI$1),"")</f>
        <v>7.6776086143575943</v>
      </c>
      <c r="BJ149" s="140">
        <f>IF(OR(AS149="Corporate",AS149="Government"),BI149*AB149/'SFC Report'!$C$20,"")</f>
        <v>1.401320998111015E-2</v>
      </c>
      <c r="BK149" s="153" t="str">
        <f>IF(OR(T149="Cash",T149="Cash Adjustments"),"-",_xll.BDP(R149&amp;" FIGI",$BK$1))</f>
        <v>XS2075937297</v>
      </c>
      <c r="BL149" s="11" t="str">
        <f>IF(OR(AS149="Cash", AS149="Cash Adjustments"),"-",IF(ISNA(VLOOKUP(BK149,'BBG - VaR Data (Sample, Indus )'!C:N,5,0)),"-",VLOOKUP(BK149,'BBG - VaR Data (Sample, Indus )'!C:N,5,0)))</f>
        <v>-</v>
      </c>
      <c r="BM149" s="11">
        <f>IF(OR(AS149="Cash", AS149="Cash Adjustments"),"-",IF(ISNA(VLOOKUP(BK149,'BBG - Scenarios (Sample View)'!C:Z,14,0)),"-",VLOOKUP(BK149,'BBG - Scenarios (Sample View)'!C:Z,14,0)))</f>
        <v>-5.64</v>
      </c>
      <c r="BN149" s="14">
        <f t="shared" ref="BN149" si="36">AB149</f>
        <v>1004648.3359133126</v>
      </c>
      <c r="BO149" s="1">
        <f>BN149/SUM($BN$2:$BN$154)</f>
        <v>1.9707672753819148E-3</v>
      </c>
      <c r="BP149" t="str">
        <f>IF(BC149&lt;&gt;0,MaturityBucket(BG149),"")</f>
        <v>3 - 5 yrs</v>
      </c>
      <c r="BQ149" s="11" t="str">
        <f>IF(OR(T149="Cash",T149="Cash Adjustments"),T149,VLOOKUP(AL149,'SFC Classifcation'!$A:$C,2,0))</f>
        <v>China</v>
      </c>
      <c r="BR149" s="1" t="e">
        <f>IF(S149="Bond",BH149/'SFC Report'!$B$7,"")</f>
        <v>#VALUE!</v>
      </c>
      <c r="BS149" t="str">
        <f>IF(OR(T149="Cash",T149="Cash Adjustments"),"-",_xll.BDP(R149&amp;" FIGI",$BS$1))</f>
        <v>10/28/2019</v>
      </c>
      <c r="BT149" t="str">
        <f>IF(OR(T149="Cash",T149="Cash Adjustments"),"-",_xll.BDP(R149&amp;" FIGI",$BT$1))</f>
        <v>10/29/2019</v>
      </c>
      <c r="BU149" t="str">
        <f>IF(OR(T149="Cash",T149="Cash Adjustments"),"-",_xll.BDP(R149&amp;" FIGI",$BU$1))</f>
        <v>11/1/2019</v>
      </c>
    </row>
    <row r="150" spans="1:73">
      <c r="A150" s="254" t="s">
        <v>15</v>
      </c>
      <c r="B150" s="254" t="s">
        <v>25</v>
      </c>
      <c r="C150" s="254" t="s">
        <v>46</v>
      </c>
      <c r="D150" s="254" t="s">
        <v>22</v>
      </c>
      <c r="E150" s="254"/>
      <c r="F150" s="254" t="s">
        <v>104</v>
      </c>
      <c r="G150" s="254" t="s">
        <v>105</v>
      </c>
      <c r="H150" s="270">
        <v>1500000</v>
      </c>
      <c r="I150" s="270">
        <v>100.575</v>
      </c>
      <c r="J150" s="270">
        <v>1501875</v>
      </c>
      <c r="K150" s="270">
        <v>11769743.810000001</v>
      </c>
      <c r="L150" s="270">
        <v>-77598.34</v>
      </c>
      <c r="M150" s="270">
        <v>190727.58</v>
      </c>
      <c r="N150" s="270">
        <v>11692145.470000001</v>
      </c>
      <c r="O150" s="255">
        <v>2.5999999999999999E-3</v>
      </c>
      <c r="Q150" s="1" t="str">
        <f t="shared" ref="Q150:Q158" si="37">IF(B150="Cash Long","Cash",A150)</f>
        <v>Investments</v>
      </c>
      <c r="R150" s="1" t="str">
        <f>_xll.BDP(G150&amp;" ISIN",$R$1)</f>
        <v>BBG00NB0B2N4</v>
      </c>
      <c r="S150" s="1" t="str">
        <f>IF(Q150="Cash",Q150,IF(OR(Q150="Receivable Investments",Q150="Payable Investments"),"Cash Adjustments",_xll.BDP(R150&amp;" FIGI",$S$1)))</f>
        <v>BOND</v>
      </c>
      <c r="T150" s="1" t="str">
        <f>IF(Q150="Cash",Q150,IF(OR(Q150="Receivable Investments",Q150="Payable Investments"),"Cash Adjustments",VLOOKUP(R150,LQA!E:S,3,0)))</f>
        <v>Corp</v>
      </c>
      <c r="U150" s="1" t="str">
        <f>IF(Q150="Cash",Q150,IF(OR(Q150="Receivable Investments",Q150="Payable Investments"),"Cash Adjustments",_xll.BDP(R150&amp;" FIGI",$U$1)))</f>
        <v>#N/A Field Not Applicable</v>
      </c>
      <c r="V150" s="10">
        <f>IF(OR(Q150="Cash",Q150="Receivable Investments",Q150="Payable Investments"),0,IF(Q150="Investments",VLOOKUP(R150,LQA!E:Q,12,0),"Not Covered"))</f>
        <v>0.1</v>
      </c>
      <c r="W150" s="76">
        <f>IF(OR(Q150="Cash",Q150="Receivable Investments",Q150="Payable Investments"),0,IF(Q150="Investments",VLOOKUP(R150,LQA!E:Q,9,0),"Not Covered"))</f>
        <v>7.7429999999999999E-3</v>
      </c>
      <c r="X150" s="13" t="str">
        <f>IF(OR(H150=0,T153="Comdty"),"High",IF(V150&lt;='Liquidity Bucket'!$A$4,'Liquidity Bucket'!$I$4,IF(V150&lt;='Liquidity Bucket'!$A$5,'Liquidity Bucket'!$I$5,IF(V150&lt;='Liquidity Bucket'!$A$6,'Liquidity Bucket'!$I$6,IF(V150='Liquidity Bucket'!$A$8,'Liquidity Bucket'!$I$8,'Liquidity Bucket'!$I$7)))))</f>
        <v>High</v>
      </c>
      <c r="Y150" s="153">
        <f>IF(OR(Q150="Cash",Q150="Receivable Investments",Q150="Payable Investments"),0,IF(Q150="Investments",VLOOKUP(R150,'LQA Stress'!E:Q,12,0),"Not Covered"))</f>
        <v>0.5</v>
      </c>
      <c r="Z150" s="75">
        <f>IF(OR(Q150="Cash",Q150="Receivable Investments",Q150="Payable Investments"),0,IF(Q150="Investments",VLOOKUP(R150,'LQA Stress'!E:Q,9,0),"Not Covered"))</f>
        <v>2.1031000000000001E-2</v>
      </c>
      <c r="AA150" s="13" t="str">
        <f>IF(T153="Comdty","High",IF(Y150&lt;='Liquidity Bucket'!$A$4,'Liquidity Bucket'!$I$4,IF(Y150&lt;='Liquidity Bucket'!$A$5,'Liquidity Bucket'!$I$5,IF(Y150&lt;='Liquidity Bucket'!$A$6,'Liquidity Bucket'!$I$6,IF(Y150='Liquidity Bucket'!$A$8,'Liquidity Bucket'!$I$8,'Liquidity Bucket'!$I$7)))))</f>
        <v>High</v>
      </c>
      <c r="AB150" s="14">
        <f>(N150+M150)/'FX Rates'!$C$5</f>
        <v>1532878.3604231167</v>
      </c>
      <c r="AC150" s="15" t="str">
        <f>IF(X150="Not Covered", (H150/_xll.BDP(R150&amp;" FIGI",$AC$1)),"")</f>
        <v/>
      </c>
      <c r="AD150" s="16" t="str">
        <f>IF(X150="Not Covered", _xll.BDP(R150&amp;" FIGI",$AD$1),"")</f>
        <v/>
      </c>
      <c r="AE150" s="16" t="str">
        <f>IF(OR(T150="Corp",T150="Govt"),IF(_xll.BDP(R150&amp;" FIGI",$AE$1)="#N/A N/A","",_xll.BDP(R150&amp;" FIGI",$AE$1)),"")</f>
        <v>B+</v>
      </c>
      <c r="AF150" s="1" t="str">
        <f>IF(OR(T150="Corp",T150="Govt"),IF(_xll.BDP(R150&amp;" FIGI",$AF$1)="#N/A N/A","",_xll.BDP(R150&amp;" FIGI",$AF$1)),"")</f>
        <v>B1</v>
      </c>
      <c r="AG150" s="16" t="str">
        <f>IF(OR(T150="Corp",T150="Govt"),IF(_xll.BDP(R150&amp;" FIGI",$AG$1)="#N/A N/A","",_xll.BDP(R150&amp;" FIGI",$AG$1)),"")</f>
        <v>BB</v>
      </c>
      <c r="AH150" s="125">
        <f>IF(OR(S150="Cash",S150="M-Mkt"),21,IF(AE150="",0,VLOOKUP(AE150,'Rating Scale'!A:B,2,0)))</f>
        <v>8</v>
      </c>
      <c r="AI150" s="125">
        <f>IF(OR(S150="Cash",S150="M-Mkt"),21,IF(AF150="",0,VLOOKUP(AF150,'Rating Scale'!D:E,2,0)))</f>
        <v>8</v>
      </c>
      <c r="AJ150" s="125">
        <f>IF(OR(S150="Cash",S150="M-Mkt"),21,IF(AG150="",0,VLOOKUP(AG150,'Rating Scale'!G:H,2,0)))</f>
        <v>10</v>
      </c>
      <c r="AK150">
        <f t="shared" ref="AK150:AK158" si="38">Rating(AH150,AI150,AJ150)</f>
        <v>8</v>
      </c>
      <c r="AL150" s="1" t="str">
        <f>IF(OR(U150="Cash",U150="Cash Adjustments"),_xll.BDP(G150&amp;" Curncy","Country"),IF(T150="Equity",_xll.BDP(R150&amp;" FIGI","CNTRY_ISSUE_ISO"),_xll.BDP(R150&amp;" FIGI",$AL$1)))</f>
        <v>CN</v>
      </c>
      <c r="AM150" s="126" t="str">
        <f>IF(OR(T150="Cash",T150="Cash Adjustments",T150="M-Mkt"), T150, IF(T150="Comdty",AS150, _xll.BDP(R150&amp;" FIGI", $AM$1)))</f>
        <v>Financial</v>
      </c>
      <c r="AN150" s="126" t="str">
        <f>IF(OR(T150="Cash",T150="Cash Adjustments",T150="M-Mkt"), T150,  IF(T150="Comdty",AS150,_xll.BDP(R150&amp;" FIGI", $AN$1)))</f>
        <v>Real Estate</v>
      </c>
      <c r="AO150" s="126" t="str">
        <f>IF(OR(T150="Cash",T150="Cash Adjustments",T150="M-Mkt"), T150,  IF(T150="Comdty",AS150,_xll.BDP(R150&amp;" FIGI", $AO$1)))</f>
        <v>Real Estate Oper/Develop</v>
      </c>
      <c r="AP150" s="13" t="str">
        <f>IF(OR(T150="Cash",T150="Cash Adjustments"), T150, IF(_xll.BDP(R150&amp;" FIGI", $AP$1)="#N/A Field Not Applicable","N",_xll.BDP(R150&amp;" FIGI", $AP$1)))</f>
        <v>N</v>
      </c>
      <c r="AQ150" s="1" t="str">
        <f>IF(OR(T150="Cash",T150="Cash Adjustments"), T150, IF(_xll.BDP(R150&amp;" FIGI", $AQ$1)="#N/A Field Not Applicable"," ",_xll.BDP(R150&amp;" FIGI", $AQ$1)))</f>
        <v xml:space="preserve"> </v>
      </c>
      <c r="AR150" s="1" t="str">
        <f>IF(OR(T150="Cash",T150="Cash Adjustments"), T150, IF(_xll.BDP(R150&amp;" FIGI", $AR$1)="#N/A Field Not Applicable"," ",_xll.BDP(R150&amp;" FIGI", $AR$1)))</f>
        <v>ACTV</v>
      </c>
      <c r="AS150" s="1" t="str">
        <f>VLOOKUP(T150,'SFC Classifcation'!$F$2:$H$7,3,0)</f>
        <v>Corporate</v>
      </c>
      <c r="AT150" s="22" t="str">
        <f t="shared" ref="AT150:AT158" si="39">IF(OR(T150="Cash",T150="Cash Adjustments"),T150, IF(AM150&lt;&gt;"Financial","Non-Financial","Financial"))</f>
        <v>Financial</v>
      </c>
      <c r="AU150" s="1" t="str">
        <f t="shared" ref="AU150:AU158" si="40">IF(OR(T150="Cash",T150="Cash Adjustments",T150="Equity", T150="Comdty"),"",IF(AK150&gt;=12,"Investment Grade", "Non-Investment Grade"))</f>
        <v>Non-Investment Grade</v>
      </c>
      <c r="AV150" s="1" t="str">
        <f>IF(OR(T150="Cash",T150="Cash Adjustments"),T150,VLOOKUP(AL150,'SFC Classifcation'!$A:$C,3,0))</f>
        <v>China</v>
      </c>
      <c r="AW150" s="22" t="str">
        <f t="shared" ref="AW150:AW158" si="41">LQBucket(X150,AK150,AD150,AC150)</f>
        <v>High</v>
      </c>
      <c r="AX150" s="22" t="str">
        <f t="shared" ref="AX150:AX158" si="42">LQBucket(AA150,AK150,AD150,AC150)</f>
        <v>High</v>
      </c>
      <c r="AY150" s="45" t="str">
        <f>IF(OR(T150="Cash",T150="Cash Adjustments"), T150, _xll.BDP(R150&amp;" FIGI", $AY$1))</f>
        <v>Real Estate</v>
      </c>
      <c r="AZ150" s="45" t="str">
        <f>IF(OR(T150="Cash",T150="Cash Adjustments"), T150, _xll.BDP(R150&amp;" FIGI", $AZ$1))</f>
        <v>FINANCIAL</v>
      </c>
      <c r="BA150" s="45" t="str">
        <f>IF(OR(T150="Cash",T150="Cash Adjustments"), T150, _xll.BDP(R150&amp;" FIGI", $BA$1))</f>
        <v>#N/A Field Not Applicable</v>
      </c>
      <c r="BB150" s="45">
        <f>IF(OR(AS150="Government",AS150="Corporate"),(AK150*AB150/'SFC Report'!$C$20),"")</f>
        <v>2.2278978366696907E-2</v>
      </c>
      <c r="BC150" s="174" t="str">
        <f>IF(OR(T150="Cash",T150="Cash Adjustments", T150="FX Forward", T150="Repo", T150="Equity", T150="M-Mkt"), "", _xll.BDP(R150&amp;" FIGI", $BC$1))</f>
        <v>2/15/2022</v>
      </c>
      <c r="BD150" s="125">
        <f ca="1">IF(OR(T150="Cash",T150="Cash Adjustments",T150="FX Forward",T150="Repo", T150="Equity", T150="M-Mkt"),"",(BC150-'SFC Report'!$B$13)/365)</f>
        <v>1.7972602739726027</v>
      </c>
      <c r="BE150" s="82" t="str">
        <f t="shared" ref="BE150:BE158" ca="1" si="43">IF(BC150&lt;&gt;0,MaturityBucket(BD150),"")</f>
        <v>1 - 2 yrs</v>
      </c>
      <c r="BF150" s="5">
        <f ca="1">IF(BC150="","",BD150*AB150/'SFC Report'!$C$20)</f>
        <v>5.0051403453949218E-3</v>
      </c>
      <c r="BG150" s="14" cm="1">
        <f t="array" ref="BG150">IF(OR(AS150="Corporate",AS150="Government"),_xll.BDP(G150&amp;" ISIN", $BG$1),"")</f>
        <v>1.554475321897141</v>
      </c>
      <c r="BH150" s="140">
        <f>IF(OR(AS150="Corporate",AS150="Government"),BG150*BN150/'SFC Report'!$C$20,"")</f>
        <v>4.3290152585138261E-3</v>
      </c>
      <c r="BI150" s="140">
        <f>IF(OR(AS150="Corporate",AS150="Government"),_xll.BDP(G150&amp;" ISIN", $BI$1),"")</f>
        <v>6.7720118564710123</v>
      </c>
      <c r="BJ150" s="140">
        <f>IF(OR(AS150="Corporate",AS150="Government"),BI150*AB150/'SFC Report'!$C$20,"")</f>
        <v>1.8859188206166579E-2</v>
      </c>
      <c r="BK150" s="153" t="str">
        <f>IF(OR(T150="Cash",T150="Cash Adjustments"),"-",_xll.BDP(R150&amp;" FIGI",$BK$1))</f>
        <v>XS1953150197</v>
      </c>
      <c r="BL150" s="11" t="str">
        <f>IF(OR(AS150="Cash", AS150="Cash Adjustments"),"-",IF(ISNA(VLOOKUP(BK150,'BBG - VaR Data (Sample, Indus )'!C:N,5,0)),"-",VLOOKUP(BK150,'BBG - VaR Data (Sample, Indus )'!C:N,5,0)))</f>
        <v>-</v>
      </c>
      <c r="BM150" s="11">
        <f>IF(OR(AS150="Cash", AS150="Cash Adjustments"),"-",IF(ISNA(VLOOKUP(BK150,'BBG - Scenarios (Sample View)'!C:Z,14,0)),"-",VLOOKUP(BK150,'BBG - Scenarios (Sample View)'!C:Z,14,0)))</f>
        <v>-2.73</v>
      </c>
      <c r="BN150" s="14">
        <f t="shared" ref="BN150:BN158" si="44">AB150</f>
        <v>1532878.3604231167</v>
      </c>
      <c r="BO150" s="1">
        <f t="shared" ref="BO150:BO158" si="45">BN150/SUM($BN$2:$BN$154)</f>
        <v>3.0069691073709485E-3</v>
      </c>
      <c r="BP150" t="str">
        <f>IF(BC150&lt;&gt;0,MaturityBucket(BG150),"")</f>
        <v>1 - 2 yrs</v>
      </c>
      <c r="BQ150" s="11" t="str">
        <f>IF(OR(T150="Cash",T150="Cash Adjustments"),T150,VLOOKUP(AL150,'SFC Classifcation'!$A:$C,2,0))</f>
        <v>China</v>
      </c>
      <c r="BR150" s="1" t="e">
        <f>IF(S150="Bond",BH150/'SFC Report'!$B$7,"")</f>
        <v>#VALUE!</v>
      </c>
      <c r="BS150" t="str">
        <f>IF(OR(T150="Cash",T150="Cash Adjustments"),"-",_xll.BDP(R150&amp;" FIGI",$BS$1))</f>
        <v>4/1/2019</v>
      </c>
      <c r="BT150" t="str">
        <f>IF(OR(T150="Cash",T150="Cash Adjustments"),"-",_xll.BDP(R150&amp;" FIGI",$BT$1))</f>
        <v>4/3/2019</v>
      </c>
      <c r="BU150" t="str">
        <f>IF(OR(T150="Cash",T150="Cash Adjustments"),"-",_xll.BDP(R150&amp;" FIGI",$BU$1))</f>
        <v>4/1/2019</v>
      </c>
    </row>
    <row r="151" spans="1:73">
      <c r="A151" s="254" t="s">
        <v>15</v>
      </c>
      <c r="B151" s="254" t="s">
        <v>25</v>
      </c>
      <c r="C151" s="254" t="s">
        <v>46</v>
      </c>
      <c r="D151" s="254" t="s">
        <v>22</v>
      </c>
      <c r="E151" s="254"/>
      <c r="F151" s="254" t="s">
        <v>1160</v>
      </c>
      <c r="G151" s="254" t="s">
        <v>1161</v>
      </c>
      <c r="H151" s="270">
        <v>3000000</v>
      </c>
      <c r="I151" s="270">
        <v>99.947999999999993</v>
      </c>
      <c r="J151" s="270">
        <v>3153750</v>
      </c>
      <c r="K151" s="270">
        <v>24493914.75</v>
      </c>
      <c r="L151" s="270">
        <v>-1255405.06</v>
      </c>
      <c r="M151" s="270">
        <v>421029.61</v>
      </c>
      <c r="N151" s="270">
        <v>23238509.690000001</v>
      </c>
      <c r="O151" s="255">
        <v>5.1000000000000004E-3</v>
      </c>
      <c r="Q151" s="1" t="str">
        <f t="shared" si="37"/>
        <v>Investments</v>
      </c>
      <c r="R151" s="1" t="str">
        <f>_xll.BDP(G151&amp;" ISIN",$R$1)</f>
        <v>BBG00HC2ZDQ9</v>
      </c>
      <c r="S151" s="1" t="str">
        <f>IF(Q151="Cash",Q151,IF(OR(Q151="Receivable Investments",Q151="Payable Investments"),"Cash Adjustments",_xll.BDP(R151&amp;" FIGI",$S$1)))</f>
        <v>BOND</v>
      </c>
      <c r="T151" s="1" t="str">
        <f>IF(Q151="Cash",Q151,IF(OR(Q151="Receivable Investments",Q151="Payable Investments"),"Cash Adjustments",VLOOKUP(R151,LQA!E:S,3,0)))</f>
        <v>Corp</v>
      </c>
      <c r="U151" s="1" t="str">
        <f>IF(Q151="Cash",Q151,IF(OR(Q151="Receivable Investments",Q151="Payable Investments"),"Cash Adjustments",_xll.BDP(R151&amp;" FIGI",$U$1)))</f>
        <v>#N/A Field Not Applicable</v>
      </c>
      <c r="V151" s="10">
        <f>IF(OR(Q151="Cash",Q151="Receivable Investments",Q151="Payable Investments"),0,IF(Q151="Investments",VLOOKUP(R151,LQA!E:Q,12,0),"Not Covered"))</f>
        <v>0.2</v>
      </c>
      <c r="W151" s="76">
        <f>IF(OR(Q151="Cash",Q151="Receivable Investments",Q151="Payable Investments"),0,IF(Q151="Investments",VLOOKUP(R151,LQA!E:Q,9,0),"Not Covered"))</f>
        <v>9.6010000000000002E-3</v>
      </c>
      <c r="X151" s="13" t="str">
        <f>IF(OR(H151=0,T154="Comdty"),"High",IF(V151&lt;='Liquidity Bucket'!$A$4,'Liquidity Bucket'!$I$4,IF(V151&lt;='Liquidity Bucket'!$A$5,'Liquidity Bucket'!$I$5,IF(V151&lt;='Liquidity Bucket'!$A$6,'Liquidity Bucket'!$I$6,IF(V151='Liquidity Bucket'!$A$8,'Liquidity Bucket'!$I$8,'Liquidity Bucket'!$I$7)))))</f>
        <v>High</v>
      </c>
      <c r="Y151" s="153">
        <f>IF(OR(Q151="Cash",Q151="Receivable Investments",Q151="Payable Investments"),0,IF(Q151="Investments",VLOOKUP(R151,'LQA Stress'!E:Q,12,0),"Not Covered"))</f>
        <v>0.8</v>
      </c>
      <c r="Z151" s="75">
        <f>IF(OR(Q151="Cash",Q151="Receivable Investments",Q151="Payable Investments"),0,IF(Q151="Investments",VLOOKUP(R151,'LQA Stress'!E:Q,9,0),"Not Covered"))</f>
        <v>2.6098E-2</v>
      </c>
      <c r="AA151" s="13" t="str">
        <f>IF(T154="Comdty","High",IF(Y151&lt;='Liquidity Bucket'!$A$4,'Liquidity Bucket'!$I$4,IF(Y151&lt;='Liquidity Bucket'!$A$5,'Liquidity Bucket'!$I$5,IF(Y151&lt;='Liquidity Bucket'!$A$6,'Liquidity Bucket'!$I$6,IF(Y151='Liquidity Bucket'!$A$8,'Liquidity Bucket'!$I$8,'Liquidity Bucket'!$I$7)))))</f>
        <v>High</v>
      </c>
      <c r="AB151" s="14">
        <f>(N151+M151)/'FX Rates'!$C$5</f>
        <v>3052056.1532507744</v>
      </c>
      <c r="AC151" s="15" t="str">
        <f>IF(X151="Not Covered", (H151/_xll.BDP(R151&amp;" FIGI",$AC$1)),"")</f>
        <v/>
      </c>
      <c r="AD151" s="16" t="str">
        <f>IF(X151="Not Covered", _xll.BDP(R151&amp;" FIGI",$AD$1),"")</f>
        <v/>
      </c>
      <c r="AE151" s="16" t="str">
        <f>IF(OR(T151="Corp",T151="Govt"),IF(_xll.BDP(R151&amp;" FIGI",$AE$1)="#N/A N/A","",_xll.BDP(R151&amp;" FIGI",$AE$1)),"")</f>
        <v>B+</v>
      </c>
      <c r="AF151" s="1" t="str">
        <f>IF(OR(T151="Corp",T151="Govt"),IF(_xll.BDP(R151&amp;" FIGI",$AF$1)="#N/A N/A","",_xll.BDP(R151&amp;" FIGI",$AF$1)),"")</f>
        <v>B1</v>
      </c>
      <c r="AG151" s="16" t="str">
        <f>IF(OR(T151="Corp",T151="Govt"),IF(_xll.BDP(R151&amp;" FIGI",$AG$1)="#N/A N/A","",_xll.BDP(R151&amp;" FIGI",$AG$1)),"")</f>
        <v>BB</v>
      </c>
      <c r="AH151" s="125">
        <f>IF(OR(S151="Cash",S151="M-Mkt"),21,IF(AE151="",0,VLOOKUP(AE151,'Rating Scale'!A:B,2,0)))</f>
        <v>8</v>
      </c>
      <c r="AI151" s="125">
        <f>IF(OR(S151="Cash",S151="M-Mkt"),21,IF(AF151="",0,VLOOKUP(AF151,'Rating Scale'!D:E,2,0)))</f>
        <v>8</v>
      </c>
      <c r="AJ151" s="125">
        <f>IF(OR(S151="Cash",S151="M-Mkt"),21,IF(AG151="",0,VLOOKUP(AG151,'Rating Scale'!G:H,2,0)))</f>
        <v>10</v>
      </c>
      <c r="AK151">
        <f t="shared" si="38"/>
        <v>8</v>
      </c>
      <c r="AL151" s="1" t="str">
        <f>IF(OR(U151="Cash",U151="Cash Adjustments"),_xll.BDP(G151&amp;" Curncy","Country"),IF(T151="Equity",_xll.BDP(R151&amp;" FIGI","CNTRY_ISSUE_ISO"),_xll.BDP(R151&amp;" FIGI",$AL$1)))</f>
        <v>CN</v>
      </c>
      <c r="AM151" s="126" t="str">
        <f>IF(OR(T151="Cash",T151="Cash Adjustments",T151="M-Mkt"), T151, IF(T151="Comdty",AS151, _xll.BDP(R151&amp;" FIGI", $AM$1)))</f>
        <v>Financial</v>
      </c>
      <c r="AN151" s="126" t="str">
        <f>IF(OR(T151="Cash",T151="Cash Adjustments",T151="M-Mkt"), T151,  IF(T151="Comdty",AS151,_xll.BDP(R151&amp;" FIGI", $AN$1)))</f>
        <v>Real Estate</v>
      </c>
      <c r="AO151" s="126" t="str">
        <f>IF(OR(T151="Cash",T151="Cash Adjustments",T151="M-Mkt"), T151,  IF(T151="Comdty",AS151,_xll.BDP(R151&amp;" FIGI", $AO$1)))</f>
        <v>Real Estate Oper/Develop</v>
      </c>
      <c r="AP151" s="13" t="str">
        <f>IF(OR(T151="Cash",T151="Cash Adjustments"), T151, IF(_xll.BDP(R151&amp;" FIGI", $AP$1)="#N/A Field Not Applicable","N",_xll.BDP(R151&amp;" FIGI", $AP$1)))</f>
        <v>N</v>
      </c>
      <c r="AQ151" s="1" t="str">
        <f>IF(OR(T151="Cash",T151="Cash Adjustments"), T151, IF(_xll.BDP(R151&amp;" FIGI", $AQ$1)="#N/A Field Not Applicable"," ",_xll.BDP(R151&amp;" FIGI", $AQ$1)))</f>
        <v xml:space="preserve"> </v>
      </c>
      <c r="AR151" s="1" t="str">
        <f>IF(OR(T151="Cash",T151="Cash Adjustments"), T151, IF(_xll.BDP(R151&amp;" FIGI", $AR$1)="#N/A Field Not Applicable"," ",_xll.BDP(R151&amp;" FIGI", $AR$1)))</f>
        <v>ACTV</v>
      </c>
      <c r="AS151" s="1" t="str">
        <f>VLOOKUP(T151,'SFC Classifcation'!$F$2:$H$7,3,0)</f>
        <v>Corporate</v>
      </c>
      <c r="AT151" s="22" t="str">
        <f t="shared" si="39"/>
        <v>Financial</v>
      </c>
      <c r="AU151" s="1" t="str">
        <f t="shared" si="40"/>
        <v>Non-Investment Grade</v>
      </c>
      <c r="AV151" s="1" t="str">
        <f>IF(OR(T151="Cash",T151="Cash Adjustments"),T151,VLOOKUP(AL151,'SFC Classifcation'!$A:$C,3,0))</f>
        <v>China</v>
      </c>
      <c r="AW151" s="22" t="str">
        <f t="shared" si="41"/>
        <v>High</v>
      </c>
      <c r="AX151" s="22" t="str">
        <f t="shared" si="42"/>
        <v>High</v>
      </c>
      <c r="AY151" s="45" t="str">
        <f>IF(OR(T151="Cash",T151="Cash Adjustments"), T151, _xll.BDP(R151&amp;" FIGI", $AY$1))</f>
        <v>Real Estate</v>
      </c>
      <c r="AZ151" s="45" t="str">
        <f>IF(OR(T151="Cash",T151="Cash Adjustments"), T151, _xll.BDP(R151&amp;" FIGI", $AZ$1))</f>
        <v>FINANCIAL</v>
      </c>
      <c r="BA151" s="45" t="str">
        <f>IF(OR(T151="Cash",T151="Cash Adjustments"), T151, _xll.BDP(R151&amp;" FIGI", $BA$1))</f>
        <v>#N/A Field Not Applicable</v>
      </c>
      <c r="BB151" s="45">
        <f>IF(OR(AS151="Government",AS151="Corporate"),(AK151*AB151/'SFC Report'!$C$20),"")</f>
        <v>4.4358831573204034E-2</v>
      </c>
      <c r="BC151" s="174" t="str">
        <f>IF(OR(T151="Cash",T151="Cash Adjustments", T151="FX Forward", T151="Repo", T151="Equity", T151="M-Mkt"), "", _xll.BDP(R151&amp;" FIGI", $BC$1))</f>
        <v>8/8/2022</v>
      </c>
      <c r="BD151" s="125">
        <f ca="1">IF(OR(T151="Cash",T151="Cash Adjustments",T151="FX Forward",T151="Repo", T151="Equity", T151="M-Mkt"),"",(BC151-'SFC Report'!$B$13)/365)</f>
        <v>2.2739726027397262</v>
      </c>
      <c r="BE151" s="82" t="str">
        <f t="shared" ca="1" si="43"/>
        <v>2 - 3 yrs</v>
      </c>
      <c r="BF151" s="5">
        <f ca="1">IF(BC151="","",BD151*AB151/'SFC Report'!$C$20)</f>
        <v>1.260884596087649E-2</v>
      </c>
      <c r="BG151" s="14" cm="1">
        <f t="array" ref="BG151">IF(OR(AS151="Corporate",AS151="Government"),_xll.BDP(G151&amp;" ISIN", $BG$1),"")</f>
        <v>1.9481165101256797</v>
      </c>
      <c r="BH151" s="140">
        <f>IF(OR(AS151="Corporate",AS151="Government"),BG151*BN151/'SFC Report'!$C$20,"")</f>
        <v>1.0802021519705381E-2</v>
      </c>
      <c r="BI151" s="140">
        <f>IF(OR(AS151="Corporate",AS151="Government"),_xll.BDP(G151&amp;" ISIN", $BI$1),"")</f>
        <v>6.9317466203667149</v>
      </c>
      <c r="BJ151" s="140">
        <f>IF(OR(AS151="Corporate",AS151="Government"),BI151*AB151/'SFC Report'!$C$20,"")</f>
        <v>3.8435522605121668E-2</v>
      </c>
      <c r="BK151" s="153" t="str">
        <f>IF(OR(T151="Cash",T151="Cash Adjustments"),"-",_xll.BDP(R151&amp;" FIGI",$BK$1))</f>
        <v>XS1594400449</v>
      </c>
      <c r="BL151" s="11" t="str">
        <f>IF(OR(AS151="Cash", AS151="Cash Adjustments"),"-",IF(ISNA(VLOOKUP(BK151,'BBG - VaR Data (Sample, Indus )'!C:N,5,0)),"-",VLOOKUP(BK151,'BBG - VaR Data (Sample, Indus )'!C:N,5,0)))</f>
        <v>-</v>
      </c>
      <c r="BM151" s="11">
        <f>IF(OR(AS151="Cash", AS151="Cash Adjustments"),"-",IF(ISNA(VLOOKUP(BK151,'BBG - Scenarios (Sample View)'!C:Z,14,0)),"-",VLOOKUP(BK151,'BBG - Scenarios (Sample View)'!C:Z,14,0)))</f>
        <v>-3.58</v>
      </c>
      <c r="BN151" s="14">
        <f t="shared" si="44"/>
        <v>3052056.1532507744</v>
      </c>
      <c r="BO151" s="1">
        <f t="shared" si="45"/>
        <v>5.9870625117659469E-3</v>
      </c>
      <c r="BP151" t="str">
        <f>IF(BC151&lt;&gt;0,MaturityBucket(BG151),"")</f>
        <v>1 - 2 yrs</v>
      </c>
      <c r="BQ151" s="11" t="str">
        <f>IF(OR(T151="Cash",T151="Cash Adjustments"),T151,VLOOKUP(AL151,'SFC Classifcation'!$A:$C,2,0))</f>
        <v>China</v>
      </c>
      <c r="BR151" s="1" t="e">
        <f>IF(S151="Bond",BH151/'SFC Report'!$B$7,"")</f>
        <v>#VALUE!</v>
      </c>
      <c r="BS151" t="str">
        <f>IF(OR(T151="Cash",T151="Cash Adjustments"),"-",_xll.BDP(R151&amp;" FIGI",$BS$1))</f>
        <v>4/1/2019</v>
      </c>
      <c r="BT151" t="str">
        <f>IF(OR(T151="Cash",T151="Cash Adjustments"),"-",_xll.BDP(R151&amp;" FIGI",$BT$1))</f>
        <v>4/3/2019</v>
      </c>
      <c r="BU151" t="str">
        <f>IF(OR(T151="Cash",T151="Cash Adjustments"),"-",_xll.BDP(R151&amp;" FIGI",$BU$1))</f>
        <v>4/1/2019</v>
      </c>
    </row>
    <row r="152" spans="1:73">
      <c r="A152" s="254" t="s">
        <v>15</v>
      </c>
      <c r="B152" s="254" t="s">
        <v>25</v>
      </c>
      <c r="C152" s="254" t="s">
        <v>46</v>
      </c>
      <c r="D152" s="254" t="s">
        <v>22</v>
      </c>
      <c r="E152" s="254"/>
      <c r="F152" s="254" t="s">
        <v>1345</v>
      </c>
      <c r="G152" s="254" t="s">
        <v>1346</v>
      </c>
      <c r="H152" s="270">
        <v>263000</v>
      </c>
      <c r="I152" s="270">
        <v>100.01300000000001</v>
      </c>
      <c r="J152" s="270">
        <v>210400</v>
      </c>
      <c r="K152" s="270">
        <v>1631168.08</v>
      </c>
      <c r="L152" s="270">
        <v>407399.5</v>
      </c>
      <c r="M152" s="270">
        <v>5200.5</v>
      </c>
      <c r="N152" s="270">
        <v>2038567.58</v>
      </c>
      <c r="O152" s="255">
        <v>4.0000000000000002E-4</v>
      </c>
      <c r="Q152" s="1" t="str">
        <f t="shared" si="37"/>
        <v>Investments</v>
      </c>
      <c r="R152" s="1" t="str">
        <f>_xll.BDP(G152&amp;" ISIN",$R$1)</f>
        <v>BBG00KMRGS75</v>
      </c>
      <c r="S152" s="1" t="str">
        <f>IF(Q152="Cash",Q152,IF(OR(Q152="Receivable Investments",Q152="Payable Investments"),"Cash Adjustments",_xll.BDP(R152&amp;" FIGI",$S$1)))</f>
        <v>BOND</v>
      </c>
      <c r="T152" s="1" t="str">
        <f>IF(Q152="Cash",Q152,IF(OR(Q152="Receivable Investments",Q152="Payable Investments"),"Cash Adjustments",VLOOKUP(R152,LQA!E:S,3,0)))</f>
        <v>Corp</v>
      </c>
      <c r="U152" s="1" t="str">
        <f>IF(Q152="Cash",Q152,IF(OR(Q152="Receivable Investments",Q152="Payable Investments"),"Cash Adjustments",_xll.BDP(R152&amp;" FIGI",$U$1)))</f>
        <v>#N/A Field Not Applicable</v>
      </c>
      <c r="V152" s="10">
        <f>IF(OR(Q152="Cash",Q152="Receivable Investments",Q152="Payable Investments"),0,IF(Q152="Investments",VLOOKUP(R152,LQA!E:Q,12,0),"Not Covered"))</f>
        <v>0.1</v>
      </c>
      <c r="W152" s="76">
        <f>IF(OR(Q152="Cash",Q152="Receivable Investments",Q152="Payable Investments"),0,IF(Q152="Investments",VLOOKUP(R152,LQA!E:Q,9,0),"Not Covered"))</f>
        <v>1.2666999999999999E-2</v>
      </c>
      <c r="X152" s="13" t="str">
        <f>IF(OR(H152=0,T155="Comdty"),"High",IF(V152&lt;='Liquidity Bucket'!$A$4,'Liquidity Bucket'!$I$4,IF(V152&lt;='Liquidity Bucket'!$A$5,'Liquidity Bucket'!$I$5,IF(V152&lt;='Liquidity Bucket'!$A$6,'Liquidity Bucket'!$I$6,IF(V152='Liquidity Bucket'!$A$8,'Liquidity Bucket'!$I$8,'Liquidity Bucket'!$I$7)))))</f>
        <v>High</v>
      </c>
      <c r="Y152" s="153">
        <f>IF(OR(Q152="Cash",Q152="Receivable Investments",Q152="Payable Investments"),0,IF(Q152="Investments",VLOOKUP(R152,'LQA Stress'!E:Q,12,0),"Not Covered"))</f>
        <v>0.4</v>
      </c>
      <c r="Z152" s="75">
        <f>IF(OR(Q152="Cash",Q152="Receivable Investments",Q152="Payable Investments"),0,IF(Q152="Investments",VLOOKUP(R152,'LQA Stress'!E:Q,9,0),"Not Covered"))</f>
        <v>3.5180999999999997E-2</v>
      </c>
      <c r="AA152" s="13" t="str">
        <f>IF(T155="Comdty","High",IF(Y152&lt;='Liquidity Bucket'!$A$4,'Liquidity Bucket'!$I$4,IF(Y152&lt;='Liquidity Bucket'!$A$5,'Liquidity Bucket'!$I$5,IF(Y152&lt;='Liquidity Bucket'!$A$6,'Liquidity Bucket'!$I$6,IF(Y152='Liquidity Bucket'!$A$8,'Liquidity Bucket'!$I$8,'Liquidity Bucket'!$I$7)))))</f>
        <v>High</v>
      </c>
      <c r="AB152" s="14">
        <f>(N152+M152)/'FX Rates'!$C$5</f>
        <v>263643.97316821467</v>
      </c>
      <c r="AC152" s="15" t="str">
        <f>IF(X152="Not Covered", (H152/_xll.BDP(R152&amp;" FIGI",$AC$1)),"")</f>
        <v/>
      </c>
      <c r="AD152" s="16" t="str">
        <f>IF(X152="Not Covered", _xll.BDP(R152&amp;" FIGI",$AD$1),"")</f>
        <v/>
      </c>
      <c r="AE152" s="16" t="str">
        <f>IF(OR(T152="Corp",T152="Govt"),IF(_xll.BDP(R152&amp;" FIGI",$AE$1)="#N/A N/A","",_xll.BDP(R152&amp;" FIGI",$AE$1)),"")</f>
        <v>B+</v>
      </c>
      <c r="AF152" s="1" t="str">
        <f>IF(OR(T152="Corp",T152="Govt"),IF(_xll.BDP(R152&amp;" FIGI",$AF$1)="#N/A N/A","",_xll.BDP(R152&amp;" FIGI",$AF$1)),"")</f>
        <v>B1</v>
      </c>
      <c r="AG152" s="16" t="str">
        <f>IF(OR(T152="Corp",T152="Govt"),IF(_xll.BDP(R152&amp;" FIGI",$AG$1)="#N/A N/A","",_xll.BDP(R152&amp;" FIGI",$AG$1)),"")</f>
        <v>BB</v>
      </c>
      <c r="AH152" s="125">
        <f>IF(OR(S152="Cash",S152="M-Mkt"),21,IF(AE152="",0,VLOOKUP(AE152,'Rating Scale'!A:B,2,0)))</f>
        <v>8</v>
      </c>
      <c r="AI152" s="125">
        <f>IF(OR(S152="Cash",S152="M-Mkt"),21,IF(AF152="",0,VLOOKUP(AF152,'Rating Scale'!D:E,2,0)))</f>
        <v>8</v>
      </c>
      <c r="AJ152" s="125">
        <f>IF(OR(S152="Cash",S152="M-Mkt"),21,IF(AG152="",0,VLOOKUP(AG152,'Rating Scale'!G:H,2,0)))</f>
        <v>10</v>
      </c>
      <c r="AK152">
        <f t="shared" si="38"/>
        <v>8</v>
      </c>
      <c r="AL152" s="1" t="str">
        <f>IF(OR(U152="Cash",U152="Cash Adjustments"),_xll.BDP(G152&amp;" Curncy","Country"),IF(T152="Equity",_xll.BDP(R152&amp;" FIGI","CNTRY_ISSUE_ISO"),_xll.BDP(R152&amp;" FIGI",$AL$1)))</f>
        <v>CN</v>
      </c>
      <c r="AM152" s="126" t="str">
        <f>IF(OR(T152="Cash",T152="Cash Adjustments",T152="M-Mkt"), T152, IF(T152="Comdty",AS152, _xll.BDP(R152&amp;" FIGI", $AM$1)))</f>
        <v>Financial</v>
      </c>
      <c r="AN152" s="126" t="str">
        <f>IF(OR(T152="Cash",T152="Cash Adjustments",T152="M-Mkt"), T152,  IF(T152="Comdty",AS152,_xll.BDP(R152&amp;" FIGI", $AN$1)))</f>
        <v>Real Estate</v>
      </c>
      <c r="AO152" s="126" t="str">
        <f>IF(OR(T152="Cash",T152="Cash Adjustments",T152="M-Mkt"), T152,  IF(T152="Comdty",AS152,_xll.BDP(R152&amp;" FIGI", $AO$1)))</f>
        <v>Real Estate Oper/Develop</v>
      </c>
      <c r="AP152" s="13" t="str">
        <f>IF(OR(T152="Cash",T152="Cash Adjustments"), T152, IF(_xll.BDP(R152&amp;" FIGI", $AP$1)="#N/A Field Not Applicable","N",_xll.BDP(R152&amp;" FIGI", $AP$1)))</f>
        <v>N</v>
      </c>
      <c r="AQ152" s="1" t="str">
        <f>IF(OR(T152="Cash",T152="Cash Adjustments"), T152, IF(_xll.BDP(R152&amp;" FIGI", $AQ$1)="#N/A Field Not Applicable"," ",_xll.BDP(R152&amp;" FIGI", $AQ$1)))</f>
        <v xml:space="preserve"> </v>
      </c>
      <c r="AR152" s="1" t="str">
        <f>IF(OR(T152="Cash",T152="Cash Adjustments"), T152, IF(_xll.BDP(R152&amp;" FIGI", $AR$1)="#N/A Field Not Applicable"," ",_xll.BDP(R152&amp;" FIGI", $AR$1)))</f>
        <v>ACTV</v>
      </c>
      <c r="AS152" s="1" t="str">
        <f>VLOOKUP(T152,'SFC Classifcation'!$F$2:$H$7,3,0)</f>
        <v>Corporate</v>
      </c>
      <c r="AT152" s="22" t="str">
        <f t="shared" si="39"/>
        <v>Financial</v>
      </c>
      <c r="AU152" s="1" t="str">
        <f t="shared" si="40"/>
        <v>Non-Investment Grade</v>
      </c>
      <c r="AV152" s="1" t="str">
        <f>IF(OR(T152="Cash",T152="Cash Adjustments"),T152,VLOOKUP(AL152,'SFC Classifcation'!$A:$C,3,0))</f>
        <v>China</v>
      </c>
      <c r="AW152" s="22" t="str">
        <f t="shared" si="41"/>
        <v>High</v>
      </c>
      <c r="AX152" s="22" t="str">
        <f t="shared" si="42"/>
        <v>High</v>
      </c>
      <c r="AY152" s="45" t="str">
        <f>IF(OR(T152="Cash",T152="Cash Adjustments"), T152, _xll.BDP(R152&amp;" FIGI", $AY$1))</f>
        <v>Real Estate</v>
      </c>
      <c r="AZ152" s="45" t="str">
        <f>IF(OR(T152="Cash",T152="Cash Adjustments"), T152, _xll.BDP(R152&amp;" FIGI", $AZ$1))</f>
        <v>FINANCIAL</v>
      </c>
      <c r="BA152" s="45" t="str">
        <f>IF(OR(T152="Cash",T152="Cash Adjustments"), T152, _xll.BDP(R152&amp;" FIGI", $BA$1))</f>
        <v>#N/A Field Not Applicable</v>
      </c>
      <c r="BB152" s="45">
        <f>IF(OR(AS152="Government",AS152="Corporate"),(AK152*AB152/'SFC Report'!$C$20),"")</f>
        <v>3.8318228806513816E-3</v>
      </c>
      <c r="BC152" s="174" t="str">
        <f>IF(OR(T152="Cash",T152="Cash Adjustments", T152="FX Forward", T152="Repo", T152="Equity", T152="M-Mkt"), "", _xll.BDP(R152&amp;" FIGI", $BC$1))</f>
        <v>4/19/2023</v>
      </c>
      <c r="BD152" s="125">
        <f ca="1">IF(OR(T152="Cash",T152="Cash Adjustments",T152="FX Forward",T152="Repo", T152="Equity", T152="M-Mkt"),"",(BC152-'SFC Report'!$B$13)/365)</f>
        <v>2.9698630136986299</v>
      </c>
      <c r="BE152" s="82" t="str">
        <f t="shared" ca="1" si="43"/>
        <v>2 - 3 yrs</v>
      </c>
      <c r="BF152" s="5">
        <f ca="1">IF(BC152="","",BD152*AB152/'SFC Report'!$C$20)</f>
        <v>1.4224986310363346E-3</v>
      </c>
      <c r="BG152" s="14" cm="1">
        <f t="array" ref="BG152">IF(OR(AS152="Corporate",AS152="Government"),_xll.BDP(G152&amp;" ISIN", $BG$1),"")</f>
        <v>2.5207812706538255</v>
      </c>
      <c r="BH152" s="140">
        <f>IF(OR(AS152="Corporate",AS152="Government"),BG152*BN152/'SFC Report'!$C$20,"")</f>
        <v>1.2073984187510991E-3</v>
      </c>
      <c r="BI152" s="140">
        <f>IF(OR(AS152="Corporate",AS152="Government"),_xll.BDP(G152&amp;" ISIN", $BI$1),"")</f>
        <v>7.3698430160793507</v>
      </c>
      <c r="BJ152" s="140">
        <f>IF(OR(AS152="Corporate",AS152="Government"),BI152*AB152/'SFC Report'!$C$20,"")</f>
        <v>3.5299916369777055E-3</v>
      </c>
      <c r="BK152" s="153" t="str">
        <f>IF(OR(T152="Cash",T152="Cash Adjustments"),"-",_xll.BDP(R152&amp;" FIGI",$BK$1))</f>
        <v>XS1810024338</v>
      </c>
      <c r="BL152" s="11" t="str">
        <f>IF(OR(AS152="Cash", AS152="Cash Adjustments"),"-",IF(ISNA(VLOOKUP(BK152,'BBG - VaR Data (Sample, Indus )'!C:N,5,0)),"-",VLOOKUP(BK152,'BBG - VaR Data (Sample, Indus )'!C:N,5,0)))</f>
        <v>-</v>
      </c>
      <c r="BM152" s="11">
        <f>IF(OR(AS152="Cash", AS152="Cash Adjustments"),"-",IF(ISNA(VLOOKUP(BK152,'BBG - Scenarios (Sample View)'!C:Z,14,0)),"-",VLOOKUP(BK152,'BBG - Scenarios (Sample View)'!C:Z,14,0)))</f>
        <v>-4.6500000000000004</v>
      </c>
      <c r="BN152" s="14">
        <f t="shared" si="44"/>
        <v>263643.97316821467</v>
      </c>
      <c r="BO152" s="1">
        <f t="shared" si="45"/>
        <v>5.1717690270122317E-4</v>
      </c>
      <c r="BP152" t="str">
        <f>IF(BC152&lt;&gt;0,MaturityBucket(BG152),"")</f>
        <v>2 - 3 yrs</v>
      </c>
      <c r="BQ152" s="11" t="str">
        <f>IF(OR(T152="Cash",T152="Cash Adjustments"),T152,VLOOKUP(AL152,'SFC Classifcation'!$A:$C,2,0))</f>
        <v>China</v>
      </c>
      <c r="BR152" s="1" t="e">
        <f>IF(S152="Bond",BH152/'SFC Report'!$B$7,"")</f>
        <v>#VALUE!</v>
      </c>
      <c r="BS152" t="str">
        <f>IF(OR(T152="Cash",T152="Cash Adjustments"),"-",_xll.BDP(R152&amp;" FIGI",$BS$1))</f>
        <v>4/1/2019</v>
      </c>
      <c r="BT152" t="str">
        <f>IF(OR(T152="Cash",T152="Cash Adjustments"),"-",_xll.BDP(R152&amp;" FIGI",$BT$1))</f>
        <v>4/3/2019</v>
      </c>
      <c r="BU152" t="str">
        <f>IF(OR(T152="Cash",T152="Cash Adjustments"),"-",_xll.BDP(R152&amp;" FIGI",$BU$1))</f>
        <v>4/1/2019</v>
      </c>
    </row>
    <row r="153" spans="1:73">
      <c r="A153" s="254" t="s">
        <v>15</v>
      </c>
      <c r="B153" s="254" t="s">
        <v>25</v>
      </c>
      <c r="C153" s="254" t="s">
        <v>46</v>
      </c>
      <c r="D153" s="254" t="s">
        <v>22</v>
      </c>
      <c r="E153" s="254"/>
      <c r="F153" s="254" t="s">
        <v>106</v>
      </c>
      <c r="G153" s="254" t="s">
        <v>107</v>
      </c>
      <c r="H153" s="270">
        <v>2000000</v>
      </c>
      <c r="I153" s="270">
        <v>101.123</v>
      </c>
      <c r="J153" s="270">
        <v>2018125</v>
      </c>
      <c r="K153" s="270">
        <v>15825245.060000001</v>
      </c>
      <c r="L153" s="270">
        <v>-150775.56</v>
      </c>
      <c r="M153" s="270">
        <v>378629.57</v>
      </c>
      <c r="N153" s="270">
        <v>15674469.5</v>
      </c>
      <c r="O153" s="255">
        <v>3.3999999999999998E-3</v>
      </c>
      <c r="Q153" s="1" t="str">
        <f t="shared" si="37"/>
        <v>Investments</v>
      </c>
      <c r="R153" s="1" t="str">
        <f>_xll.BDP(G153&amp;" ISIN",$R$1)</f>
        <v>BBG00N14RT60</v>
      </c>
      <c r="S153" s="1" t="str">
        <f>IF(Q153="Cash",Q153,IF(OR(Q153="Receivable Investments",Q153="Payable Investments"),"Cash Adjustments",_xll.BDP(R153&amp;" FIGI",$S$1)))</f>
        <v>BOND</v>
      </c>
      <c r="T153" s="1" t="str">
        <f>IF(Q153="Cash",Q153,IF(OR(Q153="Receivable Investments",Q153="Payable Investments"),"Cash Adjustments",VLOOKUP(R153,LQA!E:S,3,0)))</f>
        <v>Corp</v>
      </c>
      <c r="U153" s="1" t="str">
        <f>IF(Q153="Cash",Q153,IF(OR(Q153="Receivable Investments",Q153="Payable Investments"),"Cash Adjustments",_xll.BDP(R153&amp;" FIGI",$U$1)))</f>
        <v>#N/A Field Not Applicable</v>
      </c>
      <c r="V153" s="10">
        <f>IF(OR(Q153="Cash",Q153="Receivable Investments",Q153="Payable Investments"),0,IF(Q153="Investments",VLOOKUP(R153,LQA!E:Q,12,0),"Not Covered"))</f>
        <v>0.2</v>
      </c>
      <c r="W153" s="76">
        <f>IF(OR(Q153="Cash",Q153="Receivable Investments",Q153="Payable Investments"),0,IF(Q153="Investments",VLOOKUP(R153,LQA!E:Q,9,0),"Not Covered"))</f>
        <v>4.6579999999999998E-3</v>
      </c>
      <c r="X153" s="13" t="str">
        <f>IF(OR(H153=0,T156="Comdty"),"High",IF(V153&lt;='Liquidity Bucket'!$A$4,'Liquidity Bucket'!$I$4,IF(V153&lt;='Liquidity Bucket'!$A$5,'Liquidity Bucket'!$I$5,IF(V153&lt;='Liquidity Bucket'!$A$6,'Liquidity Bucket'!$I$6,IF(V153='Liquidity Bucket'!$A$8,'Liquidity Bucket'!$I$8,'Liquidity Bucket'!$I$7)))))</f>
        <v>High</v>
      </c>
      <c r="Y153" s="153">
        <f>IF(OR(Q153="Cash",Q153="Receivable Investments",Q153="Payable Investments"),0,IF(Q153="Investments",VLOOKUP(R153,'LQA Stress'!E:Q,12,0),"Not Covered"))</f>
        <v>0.5</v>
      </c>
      <c r="Z153" s="75">
        <f>IF(OR(Q153="Cash",Q153="Receivable Investments",Q153="Payable Investments"),0,IF(Q153="Investments",VLOOKUP(R153,'LQA Stress'!E:Q,9,0),"Not Covered"))</f>
        <v>1.2543E-2</v>
      </c>
      <c r="AA153" s="13" t="str">
        <f>IF(T156="Comdty","High",IF(Y153&lt;='Liquidity Bucket'!$A$4,'Liquidity Bucket'!$I$4,IF(Y153&lt;='Liquidity Bucket'!$A$5,'Liquidity Bucket'!$I$5,IF(Y153&lt;='Liquidity Bucket'!$A$6,'Liquidity Bucket'!$I$6,IF(Y153='Liquidity Bucket'!$A$8,'Liquidity Bucket'!$I$8,'Liquidity Bucket'!$I$7)))))</f>
        <v>High</v>
      </c>
      <c r="AB153" s="14">
        <f>(N153+M153)/'FX Rates'!$C$5</f>
        <v>2070833.2133642931</v>
      </c>
      <c r="AC153" s="15" t="str">
        <f>IF(X153="Not Covered", (H153/_xll.BDP(R153&amp;" FIGI",$AC$1)),"")</f>
        <v/>
      </c>
      <c r="AD153" s="16" t="str">
        <f>IF(X153="Not Covered", _xll.BDP(R153&amp;" FIGI",$AD$1),"")</f>
        <v/>
      </c>
      <c r="AE153" s="16" t="str">
        <f>IF(OR(T153="Corp",T153="Govt"),IF(_xll.BDP(R153&amp;" FIGI",$AE$1)="#N/A N/A","",_xll.BDP(R153&amp;" FIGI",$AE$1)),"")</f>
        <v>B+</v>
      </c>
      <c r="AF153" s="1" t="str">
        <f>IF(OR(T153="Corp",T153="Govt"),IF(_xll.BDP(R153&amp;" FIGI",$AF$1)="#N/A N/A","",_xll.BDP(R153&amp;" FIGI",$AF$1)),"")</f>
        <v>B1</v>
      </c>
      <c r="AG153" s="16" t="str">
        <f>IF(OR(T153="Corp",T153="Govt"),IF(_xll.BDP(R153&amp;" FIGI",$AG$1)="#N/A N/A","",_xll.BDP(R153&amp;" FIGI",$AG$1)),"")</f>
        <v>BB</v>
      </c>
      <c r="AH153" s="125">
        <f>IF(OR(S153="Cash",S153="M-Mkt"),21,IF(AE153="",0,VLOOKUP(AE153,'Rating Scale'!A:B,2,0)))</f>
        <v>8</v>
      </c>
      <c r="AI153" s="125">
        <f>IF(OR(S153="Cash",S153="M-Mkt"),21,IF(AF153="",0,VLOOKUP(AF153,'Rating Scale'!D:E,2,0)))</f>
        <v>8</v>
      </c>
      <c r="AJ153" s="125">
        <f>IF(OR(S153="Cash",S153="M-Mkt"),21,IF(AG153="",0,VLOOKUP(AG153,'Rating Scale'!G:H,2,0)))</f>
        <v>10</v>
      </c>
      <c r="AK153">
        <f t="shared" si="38"/>
        <v>8</v>
      </c>
      <c r="AL153" s="1" t="str">
        <f>IF(OR(U153="Cash",U153="Cash Adjustments"),_xll.BDP(G153&amp;" Curncy","Country"),IF(T153="Equity",_xll.BDP(R153&amp;" FIGI","CNTRY_ISSUE_ISO"),_xll.BDP(R153&amp;" FIGI",$AL$1)))</f>
        <v>CN</v>
      </c>
      <c r="AM153" s="126" t="str">
        <f>IF(OR(T153="Cash",T153="Cash Adjustments",T153="M-Mkt"), T153, IF(T153="Comdty",AS153, _xll.BDP(R153&amp;" FIGI", $AM$1)))</f>
        <v>Financial</v>
      </c>
      <c r="AN153" s="126" t="str">
        <f>IF(OR(T153="Cash",T153="Cash Adjustments",T153="M-Mkt"), T153,  IF(T153="Comdty",AS153,_xll.BDP(R153&amp;" FIGI", $AN$1)))</f>
        <v>Real Estate</v>
      </c>
      <c r="AO153" s="126" t="str">
        <f>IF(OR(T153="Cash",T153="Cash Adjustments",T153="M-Mkt"), T153,  IF(T153="Comdty",AS153,_xll.BDP(R153&amp;" FIGI", $AO$1)))</f>
        <v>Real Estate Oper/Develop</v>
      </c>
      <c r="AP153" s="13" t="str">
        <f>IF(OR(T153="Cash",T153="Cash Adjustments"), T153, IF(_xll.BDP(R153&amp;" FIGI", $AP$1)="#N/A Field Not Applicable","N",_xll.BDP(R153&amp;" FIGI", $AP$1)))</f>
        <v>N</v>
      </c>
      <c r="AQ153" s="1" t="str">
        <f>IF(OR(T153="Cash",T153="Cash Adjustments"), T153, IF(_xll.BDP(R153&amp;" FIGI", $AQ$1)="#N/A Field Not Applicable"," ",_xll.BDP(R153&amp;" FIGI", $AQ$1)))</f>
        <v xml:space="preserve"> </v>
      </c>
      <c r="AR153" s="1" t="str">
        <f>IF(OR(T153="Cash",T153="Cash Adjustments"), T153, IF(_xll.BDP(R153&amp;" FIGI", $AR$1)="#N/A Field Not Applicable"," ",_xll.BDP(R153&amp;" FIGI", $AR$1)))</f>
        <v>ACTV</v>
      </c>
      <c r="AS153" s="1" t="str">
        <f>VLOOKUP(T153,'SFC Classifcation'!$F$2:$H$7,3,0)</f>
        <v>Corporate</v>
      </c>
      <c r="AT153" s="22" t="str">
        <f t="shared" si="39"/>
        <v>Financial</v>
      </c>
      <c r="AU153" s="1" t="str">
        <f t="shared" si="40"/>
        <v>Non-Investment Grade</v>
      </c>
      <c r="AV153" s="1" t="str">
        <f>IF(OR(T153="Cash",T153="Cash Adjustments"),T153,VLOOKUP(AL153,'SFC Classifcation'!$A:$C,3,0))</f>
        <v>China</v>
      </c>
      <c r="AW153" s="22" t="str">
        <f t="shared" si="41"/>
        <v>High</v>
      </c>
      <c r="AX153" s="22" t="str">
        <f t="shared" si="42"/>
        <v>High</v>
      </c>
      <c r="AY153" s="45" t="str">
        <f>IF(OR(T153="Cash",T153="Cash Adjustments"), T153, _xll.BDP(R153&amp;" FIGI", $AY$1))</f>
        <v>Real Estate</v>
      </c>
      <c r="AZ153" s="45" t="str">
        <f>IF(OR(T153="Cash",T153="Cash Adjustments"), T153, _xll.BDP(R153&amp;" FIGI", $AZ$1))</f>
        <v>FINANCIAL</v>
      </c>
      <c r="BA153" s="45" t="str">
        <f>IF(OR(T153="Cash",T153="Cash Adjustments"), T153, _xll.BDP(R153&amp;" FIGI", $BA$1))</f>
        <v>#N/A Field Not Applicable</v>
      </c>
      <c r="BB153" s="45">
        <f>IF(OR(AS153="Government",AS153="Corporate"),(AK153*AB153/'SFC Report'!$C$20),"")</f>
        <v>3.0097657813399951E-2</v>
      </c>
      <c r="BC153" s="174" t="str">
        <f>IF(OR(T153="Cash",T153="Cash Adjustments", T153="FX Forward", T153="Repo", T153="Equity", T153="M-Mkt"), "", _xll.BDP(R153&amp;" FIGI", $BC$1))</f>
        <v>1/15/2021</v>
      </c>
      <c r="BD153" s="125">
        <f ca="1">IF(OR(T153="Cash",T153="Cash Adjustments",T153="FX Forward",T153="Repo", T153="Equity", T153="M-Mkt"),"",(BC153-'SFC Report'!$B$13)/365)</f>
        <v>0.71232876712328763</v>
      </c>
      <c r="BE153" s="82" t="str">
        <f t="shared" ca="1" si="43"/>
        <v>0 - 1 yr</v>
      </c>
      <c r="BF153" s="5">
        <f ca="1">IF(BC153="","",BD153*AB153/'SFC Report'!$C$20)</f>
        <v>2.6799284354397214E-3</v>
      </c>
      <c r="BG153" s="14" cm="1">
        <f t="array" ref="BG153">IF(OR(AS153="Corporate",AS153="Government"),_xll.BDP(G153&amp;" ISIN", $BG$1),"")</f>
        <v>0.59620009571861965</v>
      </c>
      <c r="BH153" s="140">
        <f>IF(OR(AS153="Corporate",AS153="Government"),BG153*BN153/'SFC Report'!$C$20,"")</f>
        <v>2.2430283086569136E-3</v>
      </c>
      <c r="BI153" s="140">
        <f>IF(OR(AS153="Corporate",AS153="Government"),_xll.BDP(G153&amp;" ISIN", $BI$1),"")</f>
        <v>5.7954223189282441</v>
      </c>
      <c r="BJ153" s="140">
        <f>IF(OR(AS153="Corporate",AS153="Government"),BI153*AB153/'SFC Report'!$C$20,"")</f>
        <v>2.180357972990539E-2</v>
      </c>
      <c r="BK153" s="153" t="str">
        <f>IF(OR(T153="Cash",T153="Cash Adjustments"),"-",_xll.BDP(R153&amp;" FIGI",$BK$1))</f>
        <v>XS1936202644</v>
      </c>
      <c r="BL153" s="11" t="str">
        <f>IF(OR(AS153="Cash", AS153="Cash Adjustments"),"-",IF(ISNA(VLOOKUP(BK153,'BBG - VaR Data (Sample, Indus )'!C:N,5,0)),"-",VLOOKUP(BK153,'BBG - VaR Data (Sample, Indus )'!C:N,5,0)))</f>
        <v>-</v>
      </c>
      <c r="BM153" s="11">
        <f>IF(OR(AS153="Cash", AS153="Cash Adjustments"),"-",IF(ISNA(VLOOKUP(BK153,'BBG - Scenarios (Sample View)'!C:Z,14,0)),"-",VLOOKUP(BK153,'BBG - Scenarios (Sample View)'!C:Z,14,0)))</f>
        <v>-1.0900000000000001</v>
      </c>
      <c r="BN153" s="14">
        <f t="shared" si="44"/>
        <v>2070833.2133642931</v>
      </c>
      <c r="BO153" s="1">
        <f t="shared" si="45"/>
        <v>4.0622476380874325E-3</v>
      </c>
      <c r="BP153" t="str">
        <f>IF(BC153&lt;&gt;0,MaturityBucket(BG153),"")</f>
        <v>0 - 1 yr</v>
      </c>
      <c r="BQ153" s="11" t="str">
        <f>IF(OR(T153="Cash",T153="Cash Adjustments"),T153,VLOOKUP(AL153,'SFC Classifcation'!$A:$C,2,0))</f>
        <v>China</v>
      </c>
      <c r="BR153" s="1" t="e">
        <f>IF(S153="Bond",BH153/'SFC Report'!$B$7,"")</f>
        <v>#VALUE!</v>
      </c>
      <c r="BS153" t="str">
        <f>IF(OR(T153="Cash",T153="Cash Adjustments"),"-",_xll.BDP(R153&amp;" FIGI",$BS$1))</f>
        <v>4/1/2019</v>
      </c>
      <c r="BT153" t="str">
        <f>IF(OR(T153="Cash",T153="Cash Adjustments"),"-",_xll.BDP(R153&amp;" FIGI",$BT$1))</f>
        <v>4/3/2019</v>
      </c>
      <c r="BU153" t="str">
        <f>IF(OR(T153="Cash",T153="Cash Adjustments"),"-",_xll.BDP(R153&amp;" FIGI",$BU$1))</f>
        <v>4/1/2019</v>
      </c>
    </row>
    <row r="154" spans="1:73">
      <c r="A154" s="254" t="s">
        <v>15</v>
      </c>
      <c r="B154" s="254" t="s">
        <v>25</v>
      </c>
      <c r="C154" s="254" t="s">
        <v>46</v>
      </c>
      <c r="D154" s="254" t="s">
        <v>22</v>
      </c>
      <c r="E154" s="254"/>
      <c r="F154" s="254" t="s">
        <v>108</v>
      </c>
      <c r="G154" s="254" t="s">
        <v>109</v>
      </c>
      <c r="H154" s="270">
        <v>2000000</v>
      </c>
      <c r="I154" s="270">
        <v>100.527</v>
      </c>
      <c r="J154" s="270">
        <v>2014440.44</v>
      </c>
      <c r="K154" s="270">
        <v>15792156.630000001</v>
      </c>
      <c r="L154" s="270">
        <v>-210069.53</v>
      </c>
      <c r="M154" s="270">
        <v>345368.27</v>
      </c>
      <c r="N154" s="270">
        <v>15582087.1</v>
      </c>
      <c r="O154" s="255">
        <v>3.3999999999999998E-3</v>
      </c>
      <c r="Q154" s="1" t="str">
        <f t="shared" si="37"/>
        <v>Investments</v>
      </c>
      <c r="R154" s="1" t="str">
        <f>_xll.BDP(G154&amp;" ISIN",$R$1)</f>
        <v>BBG00LJTVJR4</v>
      </c>
      <c r="S154" s="1" t="str">
        <f>IF(Q154="Cash",Q154,IF(OR(Q154="Receivable Investments",Q154="Payable Investments"),"Cash Adjustments",_xll.BDP(R154&amp;" FIGI",$S$1)))</f>
        <v>BOND</v>
      </c>
      <c r="T154" s="1" t="str">
        <f>IF(Q154="Cash",Q154,IF(OR(Q154="Receivable Investments",Q154="Payable Investments"),"Cash Adjustments",VLOOKUP(R154,LQA!E:S,3,0)))</f>
        <v>Corp</v>
      </c>
      <c r="U154" s="1" t="str">
        <f>IF(Q154="Cash",Q154,IF(OR(Q154="Receivable Investments",Q154="Payable Investments"),"Cash Adjustments",_xll.BDP(R154&amp;" FIGI",$U$1)))</f>
        <v>#N/A Field Not Applicable</v>
      </c>
      <c r="V154" s="10">
        <f>IF(OR(Q154="Cash",Q154="Receivable Investments",Q154="Payable Investments"),0,IF(Q154="Investments",VLOOKUP(R154,LQA!E:Q,12,0),"Not Covered"))</f>
        <v>0.3</v>
      </c>
      <c r="W154" s="76">
        <f>IF(OR(Q154="Cash",Q154="Receivable Investments",Q154="Payable Investments"),0,IF(Q154="Investments",VLOOKUP(R154,LQA!E:Q,9,0),"Not Covered"))</f>
        <v>3.7299999999999998E-3</v>
      </c>
      <c r="X154" s="13" t="str">
        <f>IF(OR(H154=0,T157="Comdty"),"High",IF(V154&lt;='Liquidity Bucket'!$A$4,'Liquidity Bucket'!$I$4,IF(V154&lt;='Liquidity Bucket'!$A$5,'Liquidity Bucket'!$I$5,IF(V154&lt;='Liquidity Bucket'!$A$6,'Liquidity Bucket'!$I$6,IF(V154='Liquidity Bucket'!$A$8,'Liquidity Bucket'!$I$8,'Liquidity Bucket'!$I$7)))))</f>
        <v>High</v>
      </c>
      <c r="Y154" s="153">
        <f>IF(OR(Q154="Cash",Q154="Receivable Investments",Q154="Payable Investments"),0,IF(Q154="Investments",VLOOKUP(R154,'LQA Stress'!E:Q,12,0),"Not Covered"))</f>
        <v>0.8</v>
      </c>
      <c r="Z154" s="75">
        <f>IF(OR(Q154="Cash",Q154="Receivable Investments",Q154="Payable Investments"),0,IF(Q154="Investments",VLOOKUP(R154,'LQA Stress'!E:Q,9,0),"Not Covered"))</f>
        <v>9.7979999999999994E-3</v>
      </c>
      <c r="AA154" s="13" t="str">
        <f>IF(T157="Comdty","High",IF(Y154&lt;='Liquidity Bucket'!$A$4,'Liquidity Bucket'!$I$4,IF(Y154&lt;='Liquidity Bucket'!$A$5,'Liquidity Bucket'!$I$5,IF(Y154&lt;='Liquidity Bucket'!$A$6,'Liquidity Bucket'!$I$6,IF(Y154='Liquidity Bucket'!$A$8,'Liquidity Bucket'!$I$8,'Liquidity Bucket'!$I$7)))))</f>
        <v>High</v>
      </c>
      <c r="AB154" s="14">
        <f>(N154+M154)/'FX Rates'!$C$5</f>
        <v>2054625.305727554</v>
      </c>
      <c r="AC154" s="15" t="str">
        <f>IF(X154="Not Covered", (H154/_xll.BDP(R154&amp;" FIGI",$AC$1)),"")</f>
        <v/>
      </c>
      <c r="AD154" s="16" t="str">
        <f>IF(X154="Not Covered", _xll.BDP(R154&amp;" FIGI",$AD$1),"")</f>
        <v/>
      </c>
      <c r="AE154" s="16" t="str">
        <f>IF(OR(T154="Corp",T154="Govt"),IF(_xll.BDP(R154&amp;" FIGI",$AE$1)="#N/A N/A","",_xll.BDP(R154&amp;" FIGI",$AE$1)),"")</f>
        <v>B+</v>
      </c>
      <c r="AF154" s="1" t="str">
        <f>IF(OR(T154="Corp",T154="Govt"),IF(_xll.BDP(R154&amp;" FIGI",$AF$1)="#N/A N/A","",_xll.BDP(R154&amp;" FIGI",$AF$1)),"")</f>
        <v>B1</v>
      </c>
      <c r="AG154" s="16" t="str">
        <f>IF(OR(T154="Corp",T154="Govt"),IF(_xll.BDP(R154&amp;" FIGI",$AG$1)="#N/A N/A","",_xll.BDP(R154&amp;" FIGI",$AG$1)),"")</f>
        <v>BB</v>
      </c>
      <c r="AH154" s="125">
        <f>IF(OR(S154="Cash",S154="M-Mkt"),21,IF(AE154="",0,VLOOKUP(AE154,'Rating Scale'!A:B,2,0)))</f>
        <v>8</v>
      </c>
      <c r="AI154" s="125">
        <f>IF(OR(S154="Cash",S154="M-Mkt"),21,IF(AF154="",0,VLOOKUP(AF154,'Rating Scale'!D:E,2,0)))</f>
        <v>8</v>
      </c>
      <c r="AJ154" s="125">
        <f>IF(OR(S154="Cash",S154="M-Mkt"),21,IF(AG154="",0,VLOOKUP(AG154,'Rating Scale'!G:H,2,0)))</f>
        <v>10</v>
      </c>
      <c r="AK154">
        <f t="shared" si="38"/>
        <v>8</v>
      </c>
      <c r="AL154" s="1" t="str">
        <f>IF(OR(U154="Cash",U154="Cash Adjustments"),_xll.BDP(G154&amp;" Curncy","Country"),IF(T154="Equity",_xll.BDP(R154&amp;" FIGI","CNTRY_ISSUE_ISO"),_xll.BDP(R154&amp;" FIGI",$AL$1)))</f>
        <v>CN</v>
      </c>
      <c r="AM154" s="126" t="str">
        <f>IF(OR(T154="Cash",T154="Cash Adjustments",T154="M-Mkt"), T154, IF(T154="Comdty",AS154, _xll.BDP(R154&amp;" FIGI", $AM$1)))</f>
        <v>Financial</v>
      </c>
      <c r="AN154" s="126" t="str">
        <f>IF(OR(T154="Cash",T154="Cash Adjustments",T154="M-Mkt"), T154,  IF(T154="Comdty",AS154,_xll.BDP(R154&amp;" FIGI", $AN$1)))</f>
        <v>Real Estate</v>
      </c>
      <c r="AO154" s="126" t="str">
        <f>IF(OR(T154="Cash",T154="Cash Adjustments",T154="M-Mkt"), T154,  IF(T154="Comdty",AS154,_xll.BDP(R154&amp;" FIGI", $AO$1)))</f>
        <v>Real Estate Oper/Develop</v>
      </c>
      <c r="AP154" s="13" t="str">
        <f>IF(OR(T154="Cash",T154="Cash Adjustments"), T154, IF(_xll.BDP(R154&amp;" FIGI", $AP$1)="#N/A Field Not Applicable","N",_xll.BDP(R154&amp;" FIGI", $AP$1)))</f>
        <v>N</v>
      </c>
      <c r="AQ154" s="1" t="str">
        <f>IF(OR(T154="Cash",T154="Cash Adjustments"), T154, IF(_xll.BDP(R154&amp;" FIGI", $AQ$1)="#N/A Field Not Applicable"," ",_xll.BDP(R154&amp;" FIGI", $AQ$1)))</f>
        <v xml:space="preserve"> </v>
      </c>
      <c r="AR154" s="1" t="str">
        <f>IF(OR(T154="Cash",T154="Cash Adjustments"), T154, IF(_xll.BDP(R154&amp;" FIGI", $AR$1)="#N/A Field Not Applicable"," ",_xll.BDP(R154&amp;" FIGI", $AR$1)))</f>
        <v>ACTV</v>
      </c>
      <c r="AS154" s="1" t="str">
        <f>VLOOKUP(T154,'SFC Classifcation'!$F$2:$H$7,3,0)</f>
        <v>Corporate</v>
      </c>
      <c r="AT154" s="22" t="str">
        <f t="shared" si="39"/>
        <v>Financial</v>
      </c>
      <c r="AU154" s="1" t="str">
        <f t="shared" si="40"/>
        <v>Non-Investment Grade</v>
      </c>
      <c r="AV154" s="1" t="str">
        <f>IF(OR(T154="Cash",T154="Cash Adjustments"),T154,VLOOKUP(AL154,'SFC Classifcation'!$A:$C,3,0))</f>
        <v>China</v>
      </c>
      <c r="AW154" s="22" t="str">
        <f t="shared" si="41"/>
        <v>High</v>
      </c>
      <c r="AX154" s="22" t="str">
        <f t="shared" si="42"/>
        <v>High</v>
      </c>
      <c r="AY154" s="45" t="str">
        <f>IF(OR(T154="Cash",T154="Cash Adjustments"), T154, _xll.BDP(R154&amp;" FIGI", $AY$1))</f>
        <v>Real Estate</v>
      </c>
      <c r="AZ154" s="45" t="str">
        <f>IF(OR(T154="Cash",T154="Cash Adjustments"), T154, _xll.BDP(R154&amp;" FIGI", $AZ$1))</f>
        <v>FINANCIAL</v>
      </c>
      <c r="BA154" s="45" t="str">
        <f>IF(OR(T154="Cash",T154="Cash Adjustments"), T154, _xll.BDP(R154&amp;" FIGI", $BA$1))</f>
        <v>#N/A Field Not Applicable</v>
      </c>
      <c r="BB154" s="45">
        <f>IF(OR(AS154="Government",AS154="Corporate"),(AK154*AB154/'SFC Report'!$C$20),"")</f>
        <v>2.9862090769770564E-2</v>
      </c>
      <c r="BC154" s="174" t="str">
        <f>IF(OR(T154="Cash",T154="Cash Adjustments", T154="FX Forward", T154="Repo", T154="Equity", T154="M-Mkt"), "", _xll.BDP(R154&amp;" FIGI", $BC$1))</f>
        <v>7/27/2020</v>
      </c>
      <c r="BD154" s="125">
        <f ca="1">IF(OR(T154="Cash",T154="Cash Adjustments",T154="FX Forward",T154="Repo", T154="Equity", T154="M-Mkt"),"",(BC154-'SFC Report'!$B$13)/365)</f>
        <v>0.24109589041095891</v>
      </c>
      <c r="BE154" s="82" t="str">
        <f t="shared" ca="1" si="43"/>
        <v>0 - 1 yr</v>
      </c>
      <c r="BF154" s="5">
        <f ca="1">IF(BC154="","",BD154*AB154/'SFC Report'!$C$20)</f>
        <v>8.9995342045883896E-4</v>
      </c>
      <c r="BG154" s="14" cm="1">
        <f t="array" ref="BG154">IF(OR(AS154="Corporate",AS154="Government"),_xll.BDP(G154&amp;" ISIN", $BG$1),"")</f>
        <v>0.16523107653943264</v>
      </c>
      <c r="BH154" s="140">
        <f>IF(OR(AS154="Corporate",AS154="Government"),BG154*BN154/'SFC Report'!$C$20,"")</f>
        <v>6.1676817570093065E-4</v>
      </c>
      <c r="BI154" s="140">
        <f>IF(OR(AS154="Corporate",AS154="Government"),_xll.BDP(G154&amp;" ISIN", $BI$1),"")</f>
        <v>5.2130272496953447</v>
      </c>
      <c r="BJ154" s="140">
        <f>IF(OR(AS154="Corporate",AS154="Government"),BI154*AB154/'SFC Report'!$C$20,"")</f>
        <v>1.9458986614461226E-2</v>
      </c>
      <c r="BK154" s="153" t="str">
        <f>IF(OR(T154="Cash",T154="Cash Adjustments"),"-",_xll.BDP(R154&amp;" FIGI",$BK$1))</f>
        <v>XS1861032628</v>
      </c>
      <c r="BL154" s="11" t="str">
        <f>IF(OR(AS154="Cash", AS154="Cash Adjustments"),"-",IF(ISNA(VLOOKUP(BK154,'BBG - VaR Data (Sample, Indus )'!C:N,5,0)),"-",VLOOKUP(BK154,'BBG - VaR Data (Sample, Indus )'!C:N,5,0)))</f>
        <v>-</v>
      </c>
      <c r="BM154" s="11">
        <f>IF(OR(AS154="Cash", AS154="Cash Adjustments"),"-",IF(ISNA(VLOOKUP(BK154,'BBG - Scenarios (Sample View)'!C:Z,14,0)),"-",VLOOKUP(BK154,'BBG - Scenarios (Sample View)'!C:Z,14,0)))</f>
        <v>-0.36</v>
      </c>
      <c r="BN154" s="14">
        <f t="shared" si="44"/>
        <v>2054625.305727554</v>
      </c>
      <c r="BO154" s="1">
        <f t="shared" si="45"/>
        <v>4.0304534143465846E-3</v>
      </c>
      <c r="BP154" t="str">
        <f>IF(BC154&lt;&gt;0,MaturityBucket(BG154),"")</f>
        <v>0 - 1 yr</v>
      </c>
      <c r="BQ154" s="11" t="str">
        <f>IF(OR(T154="Cash",T154="Cash Adjustments"),T154,VLOOKUP(AL154,'SFC Classifcation'!$A:$C,2,0))</f>
        <v>China</v>
      </c>
      <c r="BR154" s="1" t="e">
        <f>IF(S154="Bond",BH154/'SFC Report'!$B$7,"")</f>
        <v>#VALUE!</v>
      </c>
      <c r="BS154" t="str">
        <f>IF(OR(T154="Cash",T154="Cash Adjustments"),"-",_xll.BDP(R154&amp;" FIGI",$BS$1))</f>
        <v>4/1/2019</v>
      </c>
      <c r="BT154" t="str">
        <f>IF(OR(T154="Cash",T154="Cash Adjustments"),"-",_xll.BDP(R154&amp;" FIGI",$BT$1))</f>
        <v>4/3/2019</v>
      </c>
      <c r="BU154" t="str">
        <f>IF(OR(T154="Cash",T154="Cash Adjustments"),"-",_xll.BDP(R154&amp;" FIGI",$BU$1))</f>
        <v>4/1/2019</v>
      </c>
    </row>
    <row r="155" spans="1:73">
      <c r="A155" s="254" t="s">
        <v>15</v>
      </c>
      <c r="B155" s="254" t="s">
        <v>25</v>
      </c>
      <c r="C155" s="254" t="s">
        <v>46</v>
      </c>
      <c r="D155" s="254" t="s">
        <v>22</v>
      </c>
      <c r="E155" s="254"/>
      <c r="F155" s="254" t="s">
        <v>1075</v>
      </c>
      <c r="G155" s="254" t="s">
        <v>1076</v>
      </c>
      <c r="H155" s="270">
        <v>3700000</v>
      </c>
      <c r="I155" s="270">
        <v>98.995999999999995</v>
      </c>
      <c r="J155" s="270">
        <v>3708660</v>
      </c>
      <c r="K155" s="270">
        <v>29026932.460000001</v>
      </c>
      <c r="L155" s="270">
        <v>-639096.89</v>
      </c>
      <c r="M155" s="270">
        <v>1338201.2</v>
      </c>
      <c r="N155" s="270">
        <v>28387835.57</v>
      </c>
      <c r="O155" s="255">
        <v>6.1999999999999998E-3</v>
      </c>
      <c r="Q155" s="1" t="str">
        <f t="shared" si="37"/>
        <v>Investments</v>
      </c>
      <c r="R155" s="1" t="str">
        <f>_xll.BDP(G155&amp;" ISIN",$R$1)</f>
        <v>BBG00QRVV6Z8</v>
      </c>
      <c r="S155" s="1" t="str">
        <f>IF(Q155="Cash",Q155,IF(OR(Q155="Receivable Investments",Q155="Payable Investments"),"Cash Adjustments",_xll.BDP(R155&amp;" FIGI",$S$1)))</f>
        <v>BOND</v>
      </c>
      <c r="T155" s="1" t="str">
        <f>IF(Q155="Cash",Q155,IF(OR(Q155="Receivable Investments",Q155="Payable Investments"),"Cash Adjustments",VLOOKUP(R155,LQA!E:S,3,0)))</f>
        <v>Corp</v>
      </c>
      <c r="U155" s="1" t="str">
        <f>IF(Q155="Cash",Q155,IF(OR(Q155="Receivable Investments",Q155="Payable Investments"),"Cash Adjustments",_xll.BDP(R155&amp;" FIGI",$U$1)))</f>
        <v>#N/A Field Not Applicable</v>
      </c>
      <c r="V155" s="10">
        <f>IF(OR(Q155="Cash",Q155="Receivable Investments",Q155="Payable Investments"),0,IF(Q155="Investments",VLOOKUP(R155,LQA!E:Q,12,0),"Not Covered"))</f>
        <v>0.3</v>
      </c>
      <c r="W155" s="76">
        <f>IF(OR(Q155="Cash",Q155="Receivable Investments",Q155="Payable Investments"),0,IF(Q155="Investments",VLOOKUP(R155,LQA!E:Q,9,0),"Not Covered"))</f>
        <v>1.8582999999999999E-2</v>
      </c>
      <c r="X155" s="13" t="str">
        <f>IF(OR(H155=0,T158="Comdty"),"High",IF(V155&lt;='Liquidity Bucket'!$A$4,'Liquidity Bucket'!$I$4,IF(V155&lt;='Liquidity Bucket'!$A$5,'Liquidity Bucket'!$I$5,IF(V155&lt;='Liquidity Bucket'!$A$6,'Liquidity Bucket'!$I$6,IF(V155='Liquidity Bucket'!$A$8,'Liquidity Bucket'!$I$8,'Liquidity Bucket'!$I$7)))))</f>
        <v>High</v>
      </c>
      <c r="Y155" s="153">
        <f>IF(OR(Q155="Cash",Q155="Receivable Investments",Q155="Payable Investments"),0,IF(Q155="Investments",VLOOKUP(R155,'LQA Stress'!E:Q,12,0),"Not Covered"))</f>
        <v>1.9</v>
      </c>
      <c r="Z155" s="75">
        <f>IF(OR(Q155="Cash",Q155="Receivable Investments",Q155="Payable Investments"),0,IF(Q155="Investments",VLOOKUP(R155,'LQA Stress'!E:Q,9,0),"Not Covered"))</f>
        <v>4.8476999999999999E-2</v>
      </c>
      <c r="AA155" s="13" t="str">
        <f>IF(T158="Comdty","High",IF(Y155&lt;='Liquidity Bucket'!$A$4,'Liquidity Bucket'!$I$4,IF(Y155&lt;='Liquidity Bucket'!$A$5,'Liquidity Bucket'!$I$5,IF(Y155&lt;='Liquidity Bucket'!$A$6,'Liquidity Bucket'!$I$6,IF(Y155='Liquidity Bucket'!$A$8,'Liquidity Bucket'!$I$8,'Liquidity Bucket'!$I$7)))))</f>
        <v>High</v>
      </c>
      <c r="AB155" s="14">
        <f>(N155+M155)/'FX Rates'!$C$5</f>
        <v>3834628.0663054697</v>
      </c>
      <c r="AC155" s="15" t="str">
        <f>IF(X155="Not Covered", (H155/_xll.BDP(R155&amp;" FIGI",$AC$1)),"")</f>
        <v/>
      </c>
      <c r="AD155" s="16" t="str">
        <f>IF(X155="Not Covered", _xll.BDP(R155&amp;" FIGI",$AD$1),"")</f>
        <v/>
      </c>
      <c r="AE155" s="16" t="str">
        <f>IF(OR(T155="Corp",T155="Govt"),IF(_xll.BDP(R155&amp;" FIGI",$AE$1)="#N/A N/A","",_xll.BDP(R155&amp;" FIGI",$AE$1)),"")</f>
        <v/>
      </c>
      <c r="AF155" s="1" t="str">
        <f>IF(OR(T155="Corp",T155="Govt"),IF(_xll.BDP(R155&amp;" FIGI",$AF$1)="#N/A N/A","",_xll.BDP(R155&amp;" FIGI",$AF$1)),"")</f>
        <v/>
      </c>
      <c r="AG155" s="16" t="str">
        <f>IF(OR(T155="Corp",T155="Govt"),IF(_xll.BDP(R155&amp;" FIGI",$AG$1)="#N/A N/A","",_xll.BDP(R155&amp;" FIGI",$AG$1)),"")</f>
        <v>B</v>
      </c>
      <c r="AH155" s="125">
        <f>IF(OR(S155="Cash",S155="M-Mkt"),21,IF(AE155="",0,VLOOKUP(AE155,'Rating Scale'!A:B,2,0)))</f>
        <v>0</v>
      </c>
      <c r="AI155" s="125">
        <f>IF(OR(S155="Cash",S155="M-Mkt"),21,IF(AF155="",0,VLOOKUP(AF155,'Rating Scale'!D:E,2,0)))</f>
        <v>0</v>
      </c>
      <c r="AJ155" s="125">
        <f>IF(OR(S155="Cash",S155="M-Mkt"),21,IF(AG155="",0,VLOOKUP(AG155,'Rating Scale'!G:H,2,0)))</f>
        <v>7</v>
      </c>
      <c r="AK155">
        <f t="shared" si="38"/>
        <v>7</v>
      </c>
      <c r="AL155" s="1" t="str">
        <f>IF(OR(U155="Cash",U155="Cash Adjustments"),_xll.BDP(G155&amp;" Curncy","Country"),IF(T155="Equity",_xll.BDP(R155&amp;" FIGI","CNTRY_ISSUE_ISO"),_xll.BDP(R155&amp;" FIGI",$AL$1)))</f>
        <v>CN</v>
      </c>
      <c r="AM155" s="126" t="str">
        <f>IF(OR(T155="Cash",T155="Cash Adjustments",T155="M-Mkt"), T155, IF(T155="Comdty",AS155, _xll.BDP(R155&amp;" FIGI", $AM$1)))</f>
        <v>Financial</v>
      </c>
      <c r="AN155" s="126" t="str">
        <f>IF(OR(T155="Cash",T155="Cash Adjustments",T155="M-Mkt"), T155,  IF(T155="Comdty",AS155,_xll.BDP(R155&amp;" FIGI", $AN$1)))</f>
        <v>Real Estate</v>
      </c>
      <c r="AO155" s="126" t="str">
        <f>IF(OR(T155="Cash",T155="Cash Adjustments",T155="M-Mkt"), T155,  IF(T155="Comdty",AS155,_xll.BDP(R155&amp;" FIGI", $AO$1)))</f>
        <v>Real Estate Oper/Develop</v>
      </c>
      <c r="AP155" s="13" t="str">
        <f>IF(OR(T155="Cash",T155="Cash Adjustments"), T155, IF(_xll.BDP(R155&amp;" FIGI", $AP$1)="#N/A Field Not Applicable","N",_xll.BDP(R155&amp;" FIGI", $AP$1)))</f>
        <v>N</v>
      </c>
      <c r="AQ155" s="1" t="str">
        <f>IF(OR(T155="Cash",T155="Cash Adjustments"), T155, IF(_xll.BDP(R155&amp;" FIGI", $AQ$1)="#N/A Field Not Applicable"," ",_xll.BDP(R155&amp;" FIGI", $AQ$1)))</f>
        <v xml:space="preserve"> </v>
      </c>
      <c r="AR155" s="1" t="str">
        <f>IF(OR(T155="Cash",T155="Cash Adjustments"), T155, IF(_xll.BDP(R155&amp;" FIGI", $AR$1)="#N/A Field Not Applicable"," ",_xll.BDP(R155&amp;" FIGI", $AR$1)))</f>
        <v>ACTV</v>
      </c>
      <c r="AS155" s="1" t="str">
        <f>VLOOKUP(T155,'SFC Classifcation'!$F$2:$H$7,3,0)</f>
        <v>Corporate</v>
      </c>
      <c r="AT155" s="22" t="str">
        <f t="shared" si="39"/>
        <v>Financial</v>
      </c>
      <c r="AU155" s="1" t="str">
        <f t="shared" si="40"/>
        <v>Non-Investment Grade</v>
      </c>
      <c r="AV155" s="1" t="str">
        <f>IF(OR(T155="Cash",T155="Cash Adjustments"),T155,VLOOKUP(AL155,'SFC Classifcation'!$A:$C,3,0))</f>
        <v>China</v>
      </c>
      <c r="AW155" s="22" t="str">
        <f t="shared" si="41"/>
        <v>High</v>
      </c>
      <c r="AX155" s="22" t="str">
        <f t="shared" si="42"/>
        <v>High</v>
      </c>
      <c r="AY155" s="45" t="str">
        <f>IF(OR(T155="Cash",T155="Cash Adjustments"), T155, _xll.BDP(R155&amp;" FIGI", $AY$1))</f>
        <v>#N/A Field Not Applicable</v>
      </c>
      <c r="AZ155" s="45" t="str">
        <f>IF(OR(T155="Cash",T155="Cash Adjustments"), T155, _xll.BDP(R155&amp;" FIGI", $AZ$1))</f>
        <v>SPECIAL PURPOSE</v>
      </c>
      <c r="BA155" s="45" t="str">
        <f>IF(OR(T155="Cash",T155="Cash Adjustments"), T155, _xll.BDP(R155&amp;" FIGI", $BA$1))</f>
        <v>#N/A Field Not Applicable</v>
      </c>
      <c r="BB155" s="45">
        <f>IF(OR(AS155="Government",AS155="Corporate"),(AK155*AB155/'SFC Report'!$C$20),"")</f>
        <v>4.8766195803182331E-2</v>
      </c>
      <c r="BC155" s="174" t="str">
        <f>IF(OR(T155="Cash",T155="Cash Adjustments", T155="FX Forward", T155="Repo", T155="Equity", T155="M-Mkt"), "", _xll.BDP(R155&amp;" FIGI", $BC$1))</f>
        <v>2/12/2023</v>
      </c>
      <c r="BD155" s="125">
        <f ca="1">IF(OR(T155="Cash",T155="Cash Adjustments",T155="FX Forward",T155="Repo", T155="Equity", T155="M-Mkt"),"",(BC155-'SFC Report'!$B$13)/365)</f>
        <v>2.7890410958904108</v>
      </c>
      <c r="BE155" s="82" t="str">
        <f t="shared" ca="1" si="43"/>
        <v>2 - 3 yrs</v>
      </c>
      <c r="BF155" s="5">
        <f ca="1">IF(BC155="","",BD155*AB155/'SFC Report'!$C$20)</f>
        <v>1.9430132026473427E-2</v>
      </c>
      <c r="BG155" s="14" cm="1">
        <f t="array" ref="BG155">IF(OR(AS155="Corporate",AS155="Government"),_xll.BDP(G155&amp;" ISIN", $BG$1),"")</f>
        <v>1.3172871056367059</v>
      </c>
      <c r="BH155" s="140">
        <f>IF(OR(AS155="Corporate",AS155="Government"),BG155*BN155/'SFC Report'!$C$20,"")</f>
        <v>9.1770115603552749E-3</v>
      </c>
      <c r="BI155" s="140">
        <f>IF(OR(AS155="Corporate",AS155="Government"),_xll.BDP(G155&amp;" ISIN", $BI$1),"")</f>
        <v>9.7588541417399153</v>
      </c>
      <c r="BJ155" s="140">
        <f>IF(OR(AS155="Corporate",AS155="Government"),BI155*AB155/'SFC Report'!$C$20,"")</f>
        <v>6.7986027412969358E-2</v>
      </c>
      <c r="BK155" s="153" t="str">
        <f>IF(OR(T155="Cash",T155="Cash Adjustments"),"-",_xll.BDP(R155&amp;" FIGI",$BK$1))</f>
        <v>XS2056435246</v>
      </c>
      <c r="BL155" s="11" t="str">
        <f>IF(OR(AS155="Cash", AS155="Cash Adjustments"),"-",IF(ISNA(VLOOKUP(BK155,'BBG - VaR Data (Sample, Indus )'!C:N,5,0)),"-",VLOOKUP(BK155,'BBG - VaR Data (Sample, Indus )'!C:N,5,0)))</f>
        <v>-</v>
      </c>
      <c r="BM155" s="11">
        <f>IF(OR(AS155="Cash", AS155="Cash Adjustments"),"-",IF(ISNA(VLOOKUP(BK155,'BBG - Scenarios (Sample View)'!C:Z,14,0)),"-",VLOOKUP(BK155,'BBG - Scenarios (Sample View)'!C:Z,14,0)))</f>
        <v>-3.59</v>
      </c>
      <c r="BN155" s="14">
        <f t="shared" si="44"/>
        <v>3834628.0663054697</v>
      </c>
      <c r="BO155" s="1">
        <f t="shared" si="45"/>
        <v>7.5221938226431601E-3</v>
      </c>
      <c r="BP155" t="str">
        <f>IF(BC155&lt;&gt;0,MaturityBucket(BG155),"")</f>
        <v>1 - 2 yrs</v>
      </c>
      <c r="BQ155" s="11" t="str">
        <f>IF(OR(T155="Cash",T155="Cash Adjustments"),T155,VLOOKUP(AL155,'SFC Classifcation'!$A:$C,2,0))</f>
        <v>China</v>
      </c>
      <c r="BR155" s="1" t="e">
        <f>IF(S155="Bond",BH155/'SFC Report'!$B$7,"")</f>
        <v>#VALUE!</v>
      </c>
      <c r="BS155" t="str">
        <f>IF(OR(T155="Cash",T155="Cash Adjustments"),"-",_xll.BDP(R155&amp;" FIGI",$BS$1))</f>
        <v>#N/A N/A</v>
      </c>
      <c r="BT155" t="str">
        <f>IF(OR(T155="Cash",T155="Cash Adjustments"),"-",_xll.BDP(R155&amp;" FIGI",$BT$1))</f>
        <v>#N/A N/A</v>
      </c>
      <c r="BU155" t="str">
        <f>IF(OR(T155="Cash",T155="Cash Adjustments"),"-",_xll.BDP(R155&amp;" FIGI",$BU$1))</f>
        <v>11/6/2019</v>
      </c>
    </row>
    <row r="156" spans="1:73">
      <c r="A156" s="254" t="s">
        <v>15</v>
      </c>
      <c r="B156" s="254" t="s">
        <v>25</v>
      </c>
      <c r="C156" s="254" t="s">
        <v>46</v>
      </c>
      <c r="D156" s="254" t="s">
        <v>22</v>
      </c>
      <c r="E156" s="254"/>
      <c r="F156" s="254" t="s">
        <v>1077</v>
      </c>
      <c r="G156" s="254" t="s">
        <v>1078</v>
      </c>
      <c r="H156" s="270">
        <v>2500000</v>
      </c>
      <c r="I156" s="270">
        <v>98.07</v>
      </c>
      <c r="J156" s="270">
        <v>2441250</v>
      </c>
      <c r="K156" s="270">
        <v>19019511.829999998</v>
      </c>
      <c r="L156" s="270">
        <v>-17958.98</v>
      </c>
      <c r="M156" s="270">
        <v>231698.69</v>
      </c>
      <c r="N156" s="270">
        <v>19001552.850000001</v>
      </c>
      <c r="O156" s="255">
        <v>4.1999999999999997E-3</v>
      </c>
      <c r="Q156" s="1" t="str">
        <f t="shared" si="37"/>
        <v>Investments</v>
      </c>
      <c r="R156" s="1" t="str">
        <f>_xll.BDP(G156&amp;" ISIN",$R$1)</f>
        <v>BBG00PDYXN26</v>
      </c>
      <c r="S156" s="1" t="str">
        <f>IF(Q156="Cash",Q156,IF(OR(Q156="Receivable Investments",Q156="Payable Investments"),"Cash Adjustments",_xll.BDP(R156&amp;" FIGI",$S$1)))</f>
        <v>BOND</v>
      </c>
      <c r="T156" s="1" t="str">
        <f>IF(Q156="Cash",Q156,IF(OR(Q156="Receivable Investments",Q156="Payable Investments"),"Cash Adjustments",VLOOKUP(R156,LQA!E:S,3,0)))</f>
        <v>Corp</v>
      </c>
      <c r="U156" s="1" t="str">
        <f>IF(Q156="Cash",Q156,IF(OR(Q156="Receivable Investments",Q156="Payable Investments"),"Cash Adjustments",_xll.BDP(R156&amp;" FIGI",$U$1)))</f>
        <v>#N/A Field Not Applicable</v>
      </c>
      <c r="V156" s="10">
        <f>IF(OR(Q156="Cash",Q156="Receivable Investments",Q156="Payable Investments"),0,IF(Q156="Investments",VLOOKUP(R156,LQA!E:Q,12,0),"Not Covered"))</f>
        <v>0.3</v>
      </c>
      <c r="W156" s="76">
        <f>IF(OR(Q156="Cash",Q156="Receivable Investments",Q156="Payable Investments"),0,IF(Q156="Investments",VLOOKUP(R156,LQA!E:Q,9,0),"Not Covered"))</f>
        <v>1.3521999999999999E-2</v>
      </c>
      <c r="X156" s="13" t="str">
        <f>IF(OR(H156=0,T159="Comdty"),"High",IF(V156&lt;='Liquidity Bucket'!$A$4,'Liquidity Bucket'!$I$4,IF(V156&lt;='Liquidity Bucket'!$A$5,'Liquidity Bucket'!$I$5,IF(V156&lt;='Liquidity Bucket'!$A$6,'Liquidity Bucket'!$I$6,IF(V156='Liquidity Bucket'!$A$8,'Liquidity Bucket'!$I$8,'Liquidity Bucket'!$I$7)))))</f>
        <v>High</v>
      </c>
      <c r="Y156" s="153">
        <f>IF(OR(Q156="Cash",Q156="Receivable Investments",Q156="Payable Investments"),0,IF(Q156="Investments",VLOOKUP(R156,'LQA Stress'!E:Q,12,0),"Not Covered"))</f>
        <v>1.7</v>
      </c>
      <c r="Z156" s="75">
        <f>IF(OR(Q156="Cash",Q156="Receivable Investments",Q156="Payable Investments"),0,IF(Q156="Investments",VLOOKUP(R156,'LQA Stress'!E:Q,9,0),"Not Covered"))</f>
        <v>3.5139999999999998E-2</v>
      </c>
      <c r="AA156" s="13" t="str">
        <f>IF(T159="Comdty","High",IF(Y156&lt;='Liquidity Bucket'!$A$4,'Liquidity Bucket'!$I$4,IF(Y156&lt;='Liquidity Bucket'!$A$5,'Liquidity Bucket'!$I$5,IF(Y156&lt;='Liquidity Bucket'!$A$6,'Liquidity Bucket'!$I$6,IF(Y156='Liquidity Bucket'!$A$8,'Liquidity Bucket'!$I$8,'Liquidity Bucket'!$I$7)))))</f>
        <v>High</v>
      </c>
      <c r="AB156" s="14">
        <f>(N156+M156)/'FX Rates'!$C$5</f>
        <v>2481069.6001031995</v>
      </c>
      <c r="AC156" s="15" t="str">
        <f>IF(X156="Not Covered", (H156/_xll.BDP(R156&amp;" FIGI",$AC$1)),"")</f>
        <v/>
      </c>
      <c r="AD156" s="16" t="str">
        <f>IF(X156="Not Covered", _xll.BDP(R156&amp;" FIGI",$AD$1),"")</f>
        <v/>
      </c>
      <c r="AE156" s="16" t="str">
        <f>IF(OR(T156="Corp",T156="Govt"),IF(_xll.BDP(R156&amp;" FIGI",$AE$1)="#N/A N/A","",_xll.BDP(R156&amp;" FIGI",$AE$1)),"")</f>
        <v/>
      </c>
      <c r="AF156" s="1" t="str">
        <f>IF(OR(T156="Corp",T156="Govt"),IF(_xll.BDP(R156&amp;" FIGI",$AF$1)="#N/A N/A","",_xll.BDP(R156&amp;" FIGI",$AF$1)),"")</f>
        <v>B2</v>
      </c>
      <c r="AG156" s="16" t="str">
        <f>IF(OR(T156="Corp",T156="Govt"),IF(_xll.BDP(R156&amp;" FIGI",$AG$1)="#N/A N/A","",_xll.BDP(R156&amp;" FIGI",$AG$1)),"")</f>
        <v/>
      </c>
      <c r="AH156" s="125">
        <f>IF(OR(S156="Cash",S156="M-Mkt"),21,IF(AE156="",0,VLOOKUP(AE156,'Rating Scale'!A:B,2,0)))</f>
        <v>0</v>
      </c>
      <c r="AI156" s="125">
        <f>IF(OR(S156="Cash",S156="M-Mkt"),21,IF(AF156="",0,VLOOKUP(AF156,'Rating Scale'!D:E,2,0)))</f>
        <v>7</v>
      </c>
      <c r="AJ156" s="125">
        <f>IF(OR(S156="Cash",S156="M-Mkt"),21,IF(AG156="",0,VLOOKUP(AG156,'Rating Scale'!G:H,2,0)))</f>
        <v>0</v>
      </c>
      <c r="AK156">
        <f t="shared" si="38"/>
        <v>7</v>
      </c>
      <c r="AL156" s="1" t="str">
        <f>IF(OR(U156="Cash",U156="Cash Adjustments"),_xll.BDP(G156&amp;" Curncy","Country"),IF(T156="Equity",_xll.BDP(R156&amp;" FIGI","CNTRY_ISSUE_ISO"),_xll.BDP(R156&amp;" FIGI",$AL$1)))</f>
        <v>CN</v>
      </c>
      <c r="AM156" s="126" t="str">
        <f>IF(OR(T156="Cash",T156="Cash Adjustments",T156="M-Mkt"), T156, IF(T156="Comdty",AS156, _xll.BDP(R156&amp;" FIGI", $AM$1)))</f>
        <v>Financial</v>
      </c>
      <c r="AN156" s="126" t="str">
        <f>IF(OR(T156="Cash",T156="Cash Adjustments",T156="M-Mkt"), T156,  IF(T156="Comdty",AS156,_xll.BDP(R156&amp;" FIGI", $AN$1)))</f>
        <v>Real Estate</v>
      </c>
      <c r="AO156" s="126" t="str">
        <f>IF(OR(T156="Cash",T156="Cash Adjustments",T156="M-Mkt"), T156,  IF(T156="Comdty",AS156,_xll.BDP(R156&amp;" FIGI", $AO$1)))</f>
        <v>Real Estate Oper/Develop</v>
      </c>
      <c r="AP156" s="13" t="str">
        <f>IF(OR(T156="Cash",T156="Cash Adjustments"), T156, IF(_xll.BDP(R156&amp;" FIGI", $AP$1)="#N/A Field Not Applicable","N",_xll.BDP(R156&amp;" FIGI", $AP$1)))</f>
        <v>N</v>
      </c>
      <c r="AQ156" s="1" t="str">
        <f>IF(OR(T156="Cash",T156="Cash Adjustments"), T156, IF(_xll.BDP(R156&amp;" FIGI", $AQ$1)="#N/A Field Not Applicable"," ",_xll.BDP(R156&amp;" FIGI", $AQ$1)))</f>
        <v xml:space="preserve"> </v>
      </c>
      <c r="AR156" s="1" t="str">
        <f>IF(OR(T156="Cash",T156="Cash Adjustments"), T156, IF(_xll.BDP(R156&amp;" FIGI", $AR$1)="#N/A Field Not Applicable"," ",_xll.BDP(R156&amp;" FIGI", $AR$1)))</f>
        <v>ACTV</v>
      </c>
      <c r="AS156" s="1" t="str">
        <f>VLOOKUP(T156,'SFC Classifcation'!$F$2:$H$7,3,0)</f>
        <v>Corporate</v>
      </c>
      <c r="AT156" s="22" t="str">
        <f t="shared" si="39"/>
        <v>Financial</v>
      </c>
      <c r="AU156" s="1" t="str">
        <f t="shared" si="40"/>
        <v>Non-Investment Grade</v>
      </c>
      <c r="AV156" s="1" t="str">
        <f>IF(OR(T156="Cash",T156="Cash Adjustments"),T156,VLOOKUP(AL156,'SFC Classifcation'!$A:$C,3,0))</f>
        <v>China</v>
      </c>
      <c r="AW156" s="22" t="str">
        <f t="shared" si="41"/>
        <v>High</v>
      </c>
      <c r="AX156" s="22" t="str">
        <f t="shared" si="42"/>
        <v>High</v>
      </c>
      <c r="AY156" s="45" t="str">
        <f>IF(OR(T156="Cash",T156="Cash Adjustments"), T156, _xll.BDP(R156&amp;" FIGI", $AY$1))</f>
        <v>#N/A Field Not Applicable</v>
      </c>
      <c r="AZ156" s="45" t="str">
        <f>IF(OR(T156="Cash",T156="Cash Adjustments"), T156, _xll.BDP(R156&amp;" FIGI", $AZ$1))</f>
        <v>SPECIAL PURPOSE</v>
      </c>
      <c r="BA156" s="45" t="str">
        <f>IF(OR(T156="Cash",T156="Cash Adjustments"), T156, _xll.BDP(R156&amp;" FIGI", $BA$1))</f>
        <v>#N/A Field Not Applicable</v>
      </c>
      <c r="BB156" s="45">
        <f>IF(OR(AS156="Government",AS156="Corporate"),(AK156*AB156/'SFC Report'!$C$20),"")</f>
        <v>3.1552558377983132E-2</v>
      </c>
      <c r="BC156" s="174" t="str">
        <f>IF(OR(T156="Cash",T156="Cash Adjustments", T156="FX Forward", T156="Repo", T156="Equity", T156="M-Mkt"), "", _xll.BDP(R156&amp;" FIGI", $BC$1))</f>
        <v>3/18/2022</v>
      </c>
      <c r="BD156" s="125">
        <f ca="1">IF(OR(T156="Cash",T156="Cash Adjustments",T156="FX Forward",T156="Repo", T156="Equity", T156="M-Mkt"),"",(BC156-'SFC Report'!$B$13)/365)</f>
        <v>1.8821917808219177</v>
      </c>
      <c r="BE156" s="82" t="str">
        <f t="shared" ca="1" si="43"/>
        <v>1 - 2 yrs</v>
      </c>
      <c r="BF156" s="5">
        <f ca="1">IF(BC156="","",BD156*AB156/'SFC Report'!$C$20)</f>
        <v>8.4839951489919414E-3</v>
      </c>
      <c r="BG156" s="14" cm="1">
        <f t="array" ref="BG156">IF(OR(AS156="Corporate",AS156="Government"),_xll.BDP(G156&amp;" ISIN", $BG$1),"")</f>
        <v>1.581305827123471</v>
      </c>
      <c r="BH156" s="140">
        <f>IF(OR(AS156="Corporate",AS156="Government"),BG156*BN156/'SFC Report'!$C$20,"")</f>
        <v>7.1277492033940317E-3</v>
      </c>
      <c r="BI156" s="140">
        <f>IF(OR(AS156="Corporate",AS156="Government"),_xll.BDP(G156&amp;" ISIN", $BI$1),"")</f>
        <v>10.725619672152941</v>
      </c>
      <c r="BJ156" s="140">
        <f>IF(OR(AS156="Corporate",AS156="Government"),BI156*AB156/'SFC Report'!$C$20,"")</f>
        <v>4.834582012080714E-2</v>
      </c>
      <c r="BK156" s="153" t="str">
        <f>IF(OR(T156="Cash",T156="Cash Adjustments"),"-",_xll.BDP(R156&amp;" FIGI",$BK$1))</f>
        <v>XS2008157856</v>
      </c>
      <c r="BL156" s="11" t="str">
        <f>IF(OR(AS156="Cash", AS156="Cash Adjustments"),"-",IF(ISNA(VLOOKUP(BK156,'BBG - VaR Data (Sample, Indus )'!C:N,5,0)),"-",VLOOKUP(BK156,'BBG - VaR Data (Sample, Indus )'!C:N,5,0)))</f>
        <v>-</v>
      </c>
      <c r="BM156" s="11">
        <f>IF(OR(AS156="Cash", AS156="Cash Adjustments"),"-",IF(ISNA(VLOOKUP(BK156,'BBG - Scenarios (Sample View)'!C:Z,14,0)),"-",VLOOKUP(BK156,'BBG - Scenarios (Sample View)'!C:Z,14,0)))</f>
        <v>-4.2300000000000004</v>
      </c>
      <c r="BN156" s="14">
        <f t="shared" si="44"/>
        <v>2481069.6001031995</v>
      </c>
      <c r="BO156" s="1">
        <f t="shared" si="45"/>
        <v>4.8669873835835284E-3</v>
      </c>
      <c r="BP156" t="str">
        <f>IF(BC156&lt;&gt;0,MaturityBucket(BG156),"")</f>
        <v>1 - 2 yrs</v>
      </c>
      <c r="BQ156" s="11" t="str">
        <f>IF(OR(T156="Cash",T156="Cash Adjustments"),T156,VLOOKUP(AL156,'SFC Classifcation'!$A:$C,2,0))</f>
        <v>China</v>
      </c>
      <c r="BR156" s="1" t="e">
        <f>IF(S156="Bond",BH156/'SFC Report'!$B$7,"")</f>
        <v>#VALUE!</v>
      </c>
      <c r="BS156" t="str">
        <f>IF(OR(T156="Cash",T156="Cash Adjustments"),"-",_xll.BDP(R156&amp;" FIGI",$BS$1))</f>
        <v>#N/A N/A</v>
      </c>
      <c r="BT156" t="str">
        <f>IF(OR(T156="Cash",T156="Cash Adjustments"),"-",_xll.BDP(R156&amp;" FIGI",$BT$1))</f>
        <v>1/23/2020</v>
      </c>
      <c r="BU156" t="str">
        <f>IF(OR(T156="Cash",T156="Cash Adjustments"),"-",_xll.BDP(R156&amp;" FIGI",$BU$1))</f>
        <v>#N/A N/A</v>
      </c>
    </row>
    <row r="157" spans="1:73">
      <c r="A157" s="254" t="s">
        <v>15</v>
      </c>
      <c r="B157" s="254" t="s">
        <v>25</v>
      </c>
      <c r="C157" s="254" t="s">
        <v>46</v>
      </c>
      <c r="D157" s="254" t="s">
        <v>22</v>
      </c>
      <c r="E157" s="254"/>
      <c r="F157" s="254" t="s">
        <v>1347</v>
      </c>
      <c r="G157" s="254" t="s">
        <v>1348</v>
      </c>
      <c r="H157" s="270">
        <v>1000000</v>
      </c>
      <c r="I157" s="270">
        <v>99.742000000000004</v>
      </c>
      <c r="J157" s="270">
        <v>959500</v>
      </c>
      <c r="K157" s="270">
        <v>7443417.2000000002</v>
      </c>
      <c r="L157" s="270">
        <v>286787.28000000003</v>
      </c>
      <c r="M157" s="270">
        <v>304841.2</v>
      </c>
      <c r="N157" s="270">
        <v>7730204.4800000004</v>
      </c>
      <c r="O157" s="255">
        <v>1.6999999999999999E-3</v>
      </c>
      <c r="Q157" s="1" t="str">
        <f t="shared" si="37"/>
        <v>Investments</v>
      </c>
      <c r="R157" s="1" t="str">
        <f>_xll.BDP(G157&amp;" ISIN",$R$1)</f>
        <v>BBG00MTS9QX5</v>
      </c>
      <c r="S157" s="1" t="str">
        <f>IF(Q157="Cash",Q157,IF(OR(Q157="Receivable Investments",Q157="Payable Investments"),"Cash Adjustments",_xll.BDP(R157&amp;" FIGI",$S$1)))</f>
        <v>BOND</v>
      </c>
      <c r="T157" s="1" t="str">
        <f>IF(Q157="Cash",Q157,IF(OR(Q157="Receivable Investments",Q157="Payable Investments"),"Cash Adjustments",VLOOKUP(R157,LQA!E:S,3,0)))</f>
        <v>Corp</v>
      </c>
      <c r="U157" s="1" t="str">
        <f>IF(Q157="Cash",Q157,IF(OR(Q157="Receivable Investments",Q157="Payable Investments"),"Cash Adjustments",_xll.BDP(R157&amp;" FIGI",$U$1)))</f>
        <v>#N/A Field Not Applicable</v>
      </c>
      <c r="V157" s="10">
        <f>IF(OR(Q157="Cash",Q157="Receivable Investments",Q157="Payable Investments"),0,IF(Q157="Investments",VLOOKUP(R157,LQA!E:Q,12,0),"Not Covered"))</f>
        <v>0.6</v>
      </c>
      <c r="W157" s="76">
        <f>IF(OR(Q157="Cash",Q157="Receivable Investments",Q157="Payable Investments"),0,IF(Q157="Investments",VLOOKUP(R157,LQA!E:Q,9,0),"Not Covered"))</f>
        <v>1.9245000000000002E-2</v>
      </c>
      <c r="X157" s="13" t="str">
        <f>IF(OR(H157=0,T160="Comdty"),"High",IF(V157&lt;='Liquidity Bucket'!$A$4,'Liquidity Bucket'!$I$4,IF(V157&lt;='Liquidity Bucket'!$A$5,'Liquidity Bucket'!$I$5,IF(V157&lt;='Liquidity Bucket'!$A$6,'Liquidity Bucket'!$I$6,IF(V157='Liquidity Bucket'!$A$8,'Liquidity Bucket'!$I$8,'Liquidity Bucket'!$I$7)))))</f>
        <v>High</v>
      </c>
      <c r="Y157" s="153">
        <f>IF(OR(Q157="Cash",Q157="Receivable Investments",Q157="Payable Investments"),0,IF(Q157="Investments",VLOOKUP(R157,'LQA Stress'!E:Q,12,0),"Not Covered"))</f>
        <v>2</v>
      </c>
      <c r="Z157" s="75">
        <f>IF(OR(Q157="Cash",Q157="Receivable Investments",Q157="Payable Investments"),0,IF(Q157="Investments",VLOOKUP(R157,'LQA Stress'!E:Q,9,0),"Not Covered"))</f>
        <v>4.7849000000000003E-2</v>
      </c>
      <c r="AA157" s="13" t="str">
        <f>IF(T160="Comdty","High",IF(Y157&lt;='Liquidity Bucket'!$A$4,'Liquidity Bucket'!$I$4,IF(Y157&lt;='Liquidity Bucket'!$A$5,'Liquidity Bucket'!$I$5,IF(Y157&lt;='Liquidity Bucket'!$A$6,'Liquidity Bucket'!$I$6,IF(Y157='Liquidity Bucket'!$A$8,'Liquidity Bucket'!$I$8,'Liquidity Bucket'!$I$7)))))</f>
        <v>High</v>
      </c>
      <c r="AB157" s="14">
        <f>(N157+M157)/'FX Rates'!$C$5</f>
        <v>1036512.6006191951</v>
      </c>
      <c r="AC157" s="15" t="str">
        <f>IF(X157="Not Covered", (H157/_xll.BDP(R157&amp;" FIGI",$AC$1)),"")</f>
        <v/>
      </c>
      <c r="AD157" s="16" t="str">
        <f>IF(X157="Not Covered", _xll.BDP(R157&amp;" FIGI",$AD$1),"")</f>
        <v/>
      </c>
      <c r="AE157" s="16" t="str">
        <f>IF(OR(T157="Corp",T157="Govt"),IF(_xll.BDP(R157&amp;" FIGI",$AE$1)="#N/A N/A","",_xll.BDP(R157&amp;" FIGI",$AE$1)),"")</f>
        <v/>
      </c>
      <c r="AF157" s="1" t="str">
        <f>IF(OR(T157="Corp",T157="Govt"),IF(_xll.BDP(R157&amp;" FIGI",$AF$1)="#N/A N/A","",_xll.BDP(R157&amp;" FIGI",$AF$1)),"")</f>
        <v>B2</v>
      </c>
      <c r="AG157" s="16" t="str">
        <f>IF(OR(T157="Corp",T157="Govt"),IF(_xll.BDP(R157&amp;" FIGI",$AG$1)="#N/A N/A","",_xll.BDP(R157&amp;" FIGI",$AG$1)),"")</f>
        <v/>
      </c>
      <c r="AH157" s="125">
        <f>IF(OR(S157="Cash",S157="M-Mkt"),21,IF(AE157="",0,VLOOKUP(AE157,'Rating Scale'!A:B,2,0)))</f>
        <v>0</v>
      </c>
      <c r="AI157" s="125">
        <f>IF(OR(S157="Cash",S157="M-Mkt"),21,IF(AF157="",0,VLOOKUP(AF157,'Rating Scale'!D:E,2,0)))</f>
        <v>7</v>
      </c>
      <c r="AJ157" s="125">
        <f>IF(OR(S157="Cash",S157="M-Mkt"),21,IF(AG157="",0,VLOOKUP(AG157,'Rating Scale'!G:H,2,0)))</f>
        <v>0</v>
      </c>
      <c r="AK157">
        <f t="shared" si="38"/>
        <v>7</v>
      </c>
      <c r="AL157" s="1" t="str">
        <f>IF(OR(U157="Cash",U157="Cash Adjustments"),_xll.BDP(G157&amp;" Curncy","Country"),IF(T157="Equity",_xll.BDP(R157&amp;" FIGI","CNTRY_ISSUE_ISO"),_xll.BDP(R157&amp;" FIGI",$AL$1)))</f>
        <v>CN</v>
      </c>
      <c r="AM157" s="126" t="str">
        <f>IF(OR(T157="Cash",T157="Cash Adjustments",T157="M-Mkt"), T157, IF(T157="Comdty",AS157, _xll.BDP(R157&amp;" FIGI", $AM$1)))</f>
        <v>Financial</v>
      </c>
      <c r="AN157" s="126" t="str">
        <f>IF(OR(T157="Cash",T157="Cash Adjustments",T157="M-Mkt"), T157,  IF(T157="Comdty",AS157,_xll.BDP(R157&amp;" FIGI", $AN$1)))</f>
        <v>Real Estate</v>
      </c>
      <c r="AO157" s="126" t="str">
        <f>IF(OR(T157="Cash",T157="Cash Adjustments",T157="M-Mkt"), T157,  IF(T157="Comdty",AS157,_xll.BDP(R157&amp;" FIGI", $AO$1)))</f>
        <v>Real Estate Oper/Develop</v>
      </c>
      <c r="AP157" s="13" t="str">
        <f>IF(OR(T157="Cash",T157="Cash Adjustments"), T157, IF(_xll.BDP(R157&amp;" FIGI", $AP$1)="#N/A Field Not Applicable","N",_xll.BDP(R157&amp;" FIGI", $AP$1)))</f>
        <v>N</v>
      </c>
      <c r="AQ157" s="1" t="str">
        <f>IF(OR(T157="Cash",T157="Cash Adjustments"), T157, IF(_xll.BDP(R157&amp;" FIGI", $AQ$1)="#N/A Field Not Applicable"," ",_xll.BDP(R157&amp;" FIGI", $AQ$1)))</f>
        <v xml:space="preserve"> </v>
      </c>
      <c r="AR157" s="1" t="str">
        <f>IF(OR(T157="Cash",T157="Cash Adjustments"), T157, IF(_xll.BDP(R157&amp;" FIGI", $AR$1)="#N/A Field Not Applicable"," ",_xll.BDP(R157&amp;" FIGI", $AR$1)))</f>
        <v>ACTV</v>
      </c>
      <c r="AS157" s="1" t="str">
        <f>VLOOKUP(T157,'SFC Classifcation'!$F$2:$H$7,3,0)</f>
        <v>Corporate</v>
      </c>
      <c r="AT157" s="22" t="str">
        <f t="shared" si="39"/>
        <v>Financial</v>
      </c>
      <c r="AU157" s="1" t="str">
        <f t="shared" si="40"/>
        <v>Non-Investment Grade</v>
      </c>
      <c r="AV157" s="1" t="str">
        <f>IF(OR(T157="Cash",T157="Cash Adjustments"),T157,VLOOKUP(AL157,'SFC Classifcation'!$A:$C,3,0))</f>
        <v>China</v>
      </c>
      <c r="AW157" s="22" t="str">
        <f t="shared" si="41"/>
        <v>High</v>
      </c>
      <c r="AX157" s="22" t="str">
        <f t="shared" si="42"/>
        <v>High</v>
      </c>
      <c r="AY157" s="45" t="str">
        <f>IF(OR(T157="Cash",T157="Cash Adjustments"), T157, _xll.BDP(R157&amp;" FIGI", $AY$1))</f>
        <v>#N/A Field Not Applicable</v>
      </c>
      <c r="AZ157" s="45" t="str">
        <f>IF(OR(T157="Cash",T157="Cash Adjustments"), T157, _xll.BDP(R157&amp;" FIGI", $AZ$1))</f>
        <v>SPECIAL PURPOSE</v>
      </c>
      <c r="BA157" s="45" t="str">
        <f>IF(OR(T157="Cash",T157="Cash Adjustments"), T157, _xll.BDP(R157&amp;" FIGI", $BA$1))</f>
        <v>#N/A Field Not Applicable</v>
      </c>
      <c r="BB157" s="45">
        <f>IF(OR(AS157="Government",AS157="Corporate"),(AK157*AB157/'SFC Report'!$C$20),"")</f>
        <v>1.3181663400007775E-2</v>
      </c>
      <c r="BC157" s="174" t="str">
        <f>IF(OR(T157="Cash",T157="Cash Adjustments", T157="FX Forward", T157="Repo", T157="Equity", T157="M-Mkt"), "", _xll.BDP(R157&amp;" FIGI", $BC$1))</f>
        <v>7/2/2020</v>
      </c>
      <c r="BD157" s="125">
        <f ca="1">IF(OR(T157="Cash",T157="Cash Adjustments",T157="FX Forward",T157="Repo", T157="Equity", T157="M-Mkt"),"",(BC157-'SFC Report'!$B$13)/365)</f>
        <v>0.17260273972602741</v>
      </c>
      <c r="BE157" s="82" t="str">
        <f t="shared" ca="1" si="43"/>
        <v>0 - 1 yr</v>
      </c>
      <c r="BF157" s="5">
        <f ca="1">IF(BC157="","",BD157*AB157/'SFC Report'!$C$20)</f>
        <v>3.2502731671252044E-4</v>
      </c>
      <c r="BG157" s="14" cm="1">
        <f t="array" ref="BG157">IF(OR(AS157="Corporate",AS157="Government"),_xll.BDP(G157&amp;" ISIN", $BG$1),"")</f>
        <v>9.6534176283497308E-2</v>
      </c>
      <c r="BH157" s="140">
        <f>IF(OR(AS157="Corporate",AS157="Government"),BG157*BN157/'SFC Report'!$C$20,"")</f>
        <v>1.81783002623725E-4</v>
      </c>
      <c r="BI157" s="140">
        <f>IF(OR(AS157="Corporate",AS157="Government"),_xll.BDP(G157&amp;" ISIN", $BI$1),"")</f>
        <v>7.3311279986192552</v>
      </c>
      <c r="BJ157" s="140">
        <f>IF(OR(AS157="Corporate",AS157="Government"),BI157*AB157/'SFC Report'!$C$20,"")</f>
        <v>1.3805208802881669E-2</v>
      </c>
      <c r="BK157" s="153" t="str">
        <f>IF(OR(T157="Cash",T157="Cash Adjustments"),"-",_xll.BDP(R157&amp;" FIGI",$BK$1))</f>
        <v>XS1923588096</v>
      </c>
      <c r="BL157" s="11" t="str">
        <f>IF(OR(AS157="Cash", AS157="Cash Adjustments"),"-",IF(ISNA(VLOOKUP(BK157,'BBG - VaR Data (Sample, Indus )'!C:N,5,0)),"-",VLOOKUP(BK157,'BBG - VaR Data (Sample, Indus )'!C:N,5,0)))</f>
        <v>-</v>
      </c>
      <c r="BM157" s="11">
        <f>IF(OR(AS157="Cash", AS157="Cash Adjustments"),"-",IF(ISNA(VLOOKUP(BK157,'BBG - Scenarios (Sample View)'!C:Z,14,0)),"-",VLOOKUP(BK157,'BBG - Scenarios (Sample View)'!C:Z,14,0)))</f>
        <v>-0.48</v>
      </c>
      <c r="BN157" s="14">
        <f t="shared" si="44"/>
        <v>1036512.6006191951</v>
      </c>
      <c r="BO157" s="1">
        <f t="shared" si="45"/>
        <v>2.0332737743145707E-3</v>
      </c>
      <c r="BP157" t="str">
        <f>IF(BC157&lt;&gt;0,MaturityBucket(BG157),"")</f>
        <v>0 - 1 yr</v>
      </c>
      <c r="BQ157" s="11" t="str">
        <f>IF(OR(T157="Cash",T157="Cash Adjustments"),T157,VLOOKUP(AL157,'SFC Classifcation'!$A:$C,2,0))</f>
        <v>China</v>
      </c>
      <c r="BR157" s="1" t="e">
        <f>IF(S157="Bond",BH157/'SFC Report'!$B$7,"")</f>
        <v>#VALUE!</v>
      </c>
      <c r="BS157" t="str">
        <f>IF(OR(T157="Cash",T157="Cash Adjustments"),"-",_xll.BDP(R157&amp;" FIGI",$BS$1))</f>
        <v>#N/A N/A</v>
      </c>
      <c r="BT157" t="str">
        <f>IF(OR(T157="Cash",T157="Cash Adjustments"),"-",_xll.BDP(R157&amp;" FIGI",$BT$1))</f>
        <v>1/23/2020</v>
      </c>
      <c r="BU157" t="str">
        <f>IF(OR(T157="Cash",T157="Cash Adjustments"),"-",_xll.BDP(R157&amp;" FIGI",$BU$1))</f>
        <v>#N/A N/A</v>
      </c>
    </row>
    <row r="158" spans="1:73">
      <c r="A158" s="254" t="s">
        <v>15</v>
      </c>
      <c r="B158" s="254" t="s">
        <v>25</v>
      </c>
      <c r="C158" s="254" t="s">
        <v>46</v>
      </c>
      <c r="D158" s="254" t="s">
        <v>22</v>
      </c>
      <c r="E158" s="254"/>
      <c r="F158" s="254" t="s">
        <v>1349</v>
      </c>
      <c r="G158" s="254" t="s">
        <v>1350</v>
      </c>
      <c r="H158" s="270">
        <v>14200000</v>
      </c>
      <c r="I158" s="270">
        <v>97.522000000000006</v>
      </c>
      <c r="J158" s="270">
        <v>14109120</v>
      </c>
      <c r="K158" s="270">
        <v>109599644.16</v>
      </c>
      <c r="L158" s="270">
        <v>-2273913.5299999998</v>
      </c>
      <c r="M158" s="270">
        <v>997812.42</v>
      </c>
      <c r="N158" s="270">
        <v>107325730.63</v>
      </c>
      <c r="O158" s="255">
        <v>2.3599999999999999E-2</v>
      </c>
      <c r="Q158" s="1" t="str">
        <f t="shared" si="37"/>
        <v>Investments</v>
      </c>
      <c r="R158" s="1" t="str">
        <f>_xll.BDP(G158&amp;" ISIN",$R$1)</f>
        <v>BBG00S6SWBM6</v>
      </c>
      <c r="S158" s="191" t="s">
        <v>519</v>
      </c>
      <c r="T158" s="1" t="str">
        <f>IF(Q158="Cash",Q158,IF(OR(Q158="Receivable Investments",Q158="Payable Investments"),"Cash Adjustments",VLOOKUP(R158,LQA!E:S,3,0)))</f>
        <v>Corp</v>
      </c>
      <c r="U158" s="1" t="str">
        <f>IF(Q158="Cash",Q158,IF(OR(Q158="Receivable Investments",Q158="Payable Investments"),"Cash Adjustments",_xll.BDP(R158&amp;" FIGI",$U$1)))</f>
        <v>#N/A Field Not Applicable</v>
      </c>
      <c r="V158" s="10">
        <f>IF(OR(Q158="Cash",Q158="Receivable Investments",Q158="Payable Investments"),0,IF(Q158="Investments",VLOOKUP(R158,LQA!E:Q,12,0),"Not Covered"))</f>
        <v>3.8</v>
      </c>
      <c r="W158" s="76">
        <f>IF(OR(Q158="Cash",Q158="Receivable Investments",Q158="Payable Investments"),0,IF(Q158="Investments",VLOOKUP(R158,LQA!E:Q,9,0),"Not Covered"))</f>
        <v>2.103E-2</v>
      </c>
      <c r="X158" s="13" t="str">
        <f>IF(OR(H158=0,T161="Comdty"),"High",IF(V158&lt;='Liquidity Bucket'!$A$4,'Liquidity Bucket'!$I$4,IF(V158&lt;='Liquidity Bucket'!$A$5,'Liquidity Bucket'!$I$5,IF(V158&lt;='Liquidity Bucket'!$A$6,'Liquidity Bucket'!$I$6,IF(V158='Liquidity Bucket'!$A$8,'Liquidity Bucket'!$I$8,'Liquidity Bucket'!$I$7)))))</f>
        <v>Medium</v>
      </c>
      <c r="Y158" s="153">
        <f>IF(OR(Q158="Cash",Q158="Receivable Investments",Q158="Payable Investments"),0,IF(Q158="Investments",VLOOKUP(R158,'LQA Stress'!E:Q,12,0),"Not Covered"))</f>
        <v>6.8</v>
      </c>
      <c r="Z158" s="75">
        <f>IF(OR(Q158="Cash",Q158="Receivable Investments",Q158="Payable Investments"),0,IF(Q158="Investments",VLOOKUP(R158,'LQA Stress'!E:Q,9,0),"Not Covered"))</f>
        <v>5.4468000000000003E-2</v>
      </c>
      <c r="AA158" s="13" t="str">
        <f>IF(T161="Comdty","High",IF(Y158&lt;='Liquidity Bucket'!$A$4,'Liquidity Bucket'!$I$4,IF(Y158&lt;='Liquidity Bucket'!$A$5,'Liquidity Bucket'!$I$5,IF(Y158&lt;='Liquidity Bucket'!$A$6,'Liquidity Bucket'!$I$6,IF(Y158='Liquidity Bucket'!$A$8,'Liquidity Bucket'!$I$8,'Liquidity Bucket'!$I$7)))))</f>
        <v>Medium</v>
      </c>
      <c r="AB158" s="14">
        <f>(N158+M158)/'FX Rates'!$C$5</f>
        <v>13973625.264447885</v>
      </c>
      <c r="AC158" s="15" t="str">
        <f>IF(X158="Not Covered", (H158/_xll.BDP(R158&amp;" FIGI",$AC$1)),"")</f>
        <v/>
      </c>
      <c r="AD158" s="16" t="str">
        <f>IF(X158="Not Covered", _xll.BDP(R158&amp;" FIGI",$AD$1),"")</f>
        <v/>
      </c>
      <c r="AE158" s="16" t="str">
        <f>IF(OR(T158="Corp",T158="Govt"),IF(_xll.BDP(R158&amp;" FIGI",$AE$1)="#N/A N/A","",_xll.BDP(R158&amp;" FIGI",$AE$1)),"")</f>
        <v/>
      </c>
      <c r="AF158" s="1" t="str">
        <f>IF(OR(T158="Corp",T158="Govt"),IF(_xll.BDP(R158&amp;" FIGI",$AF$1)="#N/A N/A","",_xll.BDP(R158&amp;" FIGI",$AF$1)),"")</f>
        <v/>
      </c>
      <c r="AG158" s="16" t="str">
        <f>IF(OR(T158="Corp",T158="Govt"),IF(_xll.BDP(R158&amp;" FIGI",$AG$1)="#N/A N/A","",_xll.BDP(R158&amp;" FIGI",$AG$1)),"")</f>
        <v/>
      </c>
      <c r="AH158" s="125">
        <f>IF(OR(S158="Cash",S158="M-Mkt"),21,IF(AE158="",0,VLOOKUP(AE158,'Rating Scale'!A:B,2,0)))</f>
        <v>0</v>
      </c>
      <c r="AI158" s="125">
        <f>IF(OR(S158="Cash",S158="M-Mkt"),21,IF(AF158="",0,VLOOKUP(AF158,'Rating Scale'!D:E,2,0)))</f>
        <v>0</v>
      </c>
      <c r="AJ158" s="125">
        <f>IF(OR(S158="Cash",S158="M-Mkt"),21,IF(AG158="",0,VLOOKUP(AG158,'Rating Scale'!G:H,2,0)))</f>
        <v>0</v>
      </c>
      <c r="AK158">
        <f t="shared" si="38"/>
        <v>0</v>
      </c>
      <c r="AL158" s="1" t="str">
        <f>IF(OR(U158="Cash",U158="Cash Adjustments"),_xll.BDP(G158&amp;" Curncy","Country"),IF(T158="Equity",_xll.BDP(R158&amp;" FIGI","CNTRY_ISSUE_ISO"),_xll.BDP(R158&amp;" FIGI",$AL$1)))</f>
        <v>CN</v>
      </c>
      <c r="AM158" s="126" t="str">
        <f>IF(OR(T158="Cash",T158="Cash Adjustments",T158="M-Mkt"), T158, IF(T158="Comdty",AS158, _xll.BDP(R158&amp;" FIGI", $AM$1)))</f>
        <v>Financial</v>
      </c>
      <c r="AN158" s="126" t="str">
        <f>IF(OR(T158="Cash",T158="Cash Adjustments",T158="M-Mkt"), T158,  IF(T158="Comdty",AS158,_xll.BDP(R158&amp;" FIGI", $AN$1)))</f>
        <v>Real Estate</v>
      </c>
      <c r="AO158" s="126" t="str">
        <f>IF(OR(T158="Cash",T158="Cash Adjustments",T158="M-Mkt"), T158,  IF(T158="Comdty",AS158,_xll.BDP(R158&amp;" FIGI", $AO$1)))</f>
        <v>Real Estate Oper/Develop</v>
      </c>
      <c r="AP158" s="13" t="str">
        <f>IF(OR(T158="Cash",T158="Cash Adjustments"), T158, IF(_xll.BDP(R158&amp;" FIGI", $AP$1)="#N/A Field Not Applicable","N",_xll.BDP(R158&amp;" FIGI", $AP$1)))</f>
        <v>N</v>
      </c>
      <c r="AQ158" s="1" t="str">
        <f>IF(OR(T158="Cash",T158="Cash Adjustments"), T158, IF(_xll.BDP(R158&amp;" FIGI", $AQ$1)="#N/A Field Not Applicable"," ",_xll.BDP(R158&amp;" FIGI", $AQ$1)))</f>
        <v xml:space="preserve"> </v>
      </c>
      <c r="AR158" s="1" t="str">
        <f>IF(OR(T158="Cash",T158="Cash Adjustments"), T158, IF(_xll.BDP(R158&amp;" FIGI", $AR$1)="#N/A Field Not Applicable"," ",_xll.BDP(R158&amp;" FIGI", $AR$1)))</f>
        <v>ACTV</v>
      </c>
      <c r="AS158" s="1" t="str">
        <f>VLOOKUP(T158,'SFC Classifcation'!$F$2:$H$7,3,0)</f>
        <v>Corporate</v>
      </c>
      <c r="AT158" s="22" t="str">
        <f t="shared" si="39"/>
        <v>Financial</v>
      </c>
      <c r="AU158" s="1" t="str">
        <f t="shared" si="40"/>
        <v>Non-Investment Grade</v>
      </c>
      <c r="AV158" s="1" t="str">
        <f>IF(OR(T158="Cash",T158="Cash Adjustments"),T158,VLOOKUP(AL158,'SFC Classifcation'!$A:$C,3,0))</f>
        <v>China</v>
      </c>
      <c r="AW158" s="22" t="str">
        <f t="shared" si="41"/>
        <v>Medium</v>
      </c>
      <c r="AX158" s="22" t="str">
        <f t="shared" si="42"/>
        <v>Medium</v>
      </c>
      <c r="AY158" s="45" t="str">
        <f>IF(OR(T158="Cash",T158="Cash Adjustments"), T158, _xll.BDP(R158&amp;" FIGI", $AY$1))</f>
        <v>#N/A Field Not Applicable</v>
      </c>
      <c r="AZ158" s="45" t="str">
        <f>IF(OR(T158="Cash",T158="Cash Adjustments"), T158, _xll.BDP(R158&amp;" FIGI", $AZ$1))</f>
        <v>SPECIAL PURPOSE</v>
      </c>
      <c r="BA158" s="45" t="str">
        <f>IF(OR(T158="Cash",T158="Cash Adjustments"), T158, _xll.BDP(R158&amp;" FIGI", $BA$1))</f>
        <v>#N/A Field Not Applicable</v>
      </c>
      <c r="BB158" s="45">
        <f>IF(OR(AS158="Government",AS158="Corporate"),(AK158*AB158/'SFC Report'!$C$20),"")</f>
        <v>0</v>
      </c>
      <c r="BC158" s="174" t="str">
        <f>IF(OR(T158="Cash",T158="Cash Adjustments", T158="FX Forward", T158="Repo", T158="Equity", T158="M-Mkt"), "", _xll.BDP(R158&amp;" FIGI", $BC$1))</f>
        <v>3/11/2021</v>
      </c>
      <c r="BD158" s="125">
        <f ca="1">IF(OR(T158="Cash",T158="Cash Adjustments",T158="FX Forward",T158="Repo", T158="Equity", T158="M-Mkt"),"",(BC158-'SFC Report'!$B$13)/365)</f>
        <v>0.86301369863013699</v>
      </c>
      <c r="BE158" s="82" t="str">
        <f t="shared" ca="1" si="43"/>
        <v>0 - 1 yr</v>
      </c>
      <c r="BF158" s="5">
        <f ca="1">IF(BC158="","",BD158*AB158/'SFC Report'!$C$20)</f>
        <v>2.1909091706828164E-2</v>
      </c>
      <c r="BG158" s="14" cm="1">
        <f t="array" ref="BG158">IF(OR(AS158="Corporate",AS158="Government"),_xll.BDP(G158&amp;" ISIN", $BG$1),"")</f>
        <v>0.74466501618769854</v>
      </c>
      <c r="BH158" s="140">
        <f>IF(OR(AS158="Corporate",AS158="Government"),BG158*BN158/'SFC Report'!$C$20,"")</f>
        <v>1.8904606214732961E-2</v>
      </c>
      <c r="BI158" s="140">
        <f>IF(OR(AS158="Corporate",AS158="Government"),_xll.BDP(G158&amp;" ISIN", $BI$1),"")</f>
        <v>7.4726532184145116</v>
      </c>
      <c r="BJ158" s="140">
        <f>IF(OR(AS158="Corporate",AS158="Government"),BI158*AB158/'SFC Report'!$C$20,"")</f>
        <v>0.18970619460089644</v>
      </c>
      <c r="BK158" s="153" t="str">
        <f>IF(OR(T158="Cash",T158="Cash Adjustments"),"-",_xll.BDP(R158&amp;" FIGI",$BK$1))</f>
        <v>XS2133059480</v>
      </c>
      <c r="BL158" s="11" t="str">
        <f>IF(OR(AS158="Cash", AS158="Cash Adjustments"),"-",IF(ISNA(VLOOKUP(BK158,'BBG - VaR Data (Sample, Indus )'!C:N,5,0)),"-",VLOOKUP(BK158,'BBG - VaR Data (Sample, Indus )'!C:N,5,0)))</f>
        <v>-</v>
      </c>
      <c r="BM158" s="11">
        <f>IF(OR(AS158="Cash", AS158="Cash Adjustments"),"-",IF(ISNA(VLOOKUP(BK158,'BBG - Scenarios (Sample View)'!C:Z,14,0)),"-",VLOOKUP(BK158,'BBG - Scenarios (Sample View)'!C:Z,14,0)))</f>
        <v>-1.85</v>
      </c>
      <c r="BN158" s="14">
        <f t="shared" si="44"/>
        <v>13973625.264447885</v>
      </c>
      <c r="BO158" s="1">
        <f t="shared" si="45"/>
        <v>2.7411346244443552E-2</v>
      </c>
      <c r="BP158" t="str">
        <f>IF(BC158&lt;&gt;0,MaturityBucket(BG158),"")</f>
        <v>0 - 1 yr</v>
      </c>
      <c r="BQ158" s="11" t="str">
        <f>IF(OR(T158="Cash",T158="Cash Adjustments"),T158,VLOOKUP(AL158,'SFC Classifcation'!$A:$C,2,0))</f>
        <v>China</v>
      </c>
      <c r="BR158" s="1" t="e">
        <f>IF(S158="Bond",BH158/'SFC Report'!$B$7,"")</f>
        <v>#VALUE!</v>
      </c>
      <c r="BS158" t="str">
        <f>IF(OR(T158="Cash",T158="Cash Adjustments"),"-",_xll.BDP(R158&amp;" FIGI",$BS$1))</f>
        <v>#N/A N/A</v>
      </c>
      <c r="BT158" t="str">
        <f>IF(OR(T158="Cash",T158="Cash Adjustments"),"-",_xll.BDP(R158&amp;" FIGI",$BT$1))</f>
        <v>#N/A N/A</v>
      </c>
      <c r="BU158" t="str">
        <f>IF(OR(T158="Cash",T158="Cash Adjustments"),"-",_xll.BDP(R158&amp;" FIGI",$BU$1))</f>
        <v>#N/A N/A</v>
      </c>
    </row>
    <row r="159" spans="1:73">
      <c r="A159" s="254" t="s">
        <v>15</v>
      </c>
      <c r="B159" s="254" t="s">
        <v>25</v>
      </c>
      <c r="C159" s="254" t="s">
        <v>46</v>
      </c>
      <c r="D159" s="254" t="s">
        <v>22</v>
      </c>
      <c r="E159" s="254"/>
      <c r="F159" s="254" t="s">
        <v>1162</v>
      </c>
      <c r="G159" s="254" t="s">
        <v>1163</v>
      </c>
      <c r="H159" s="270">
        <v>3000000</v>
      </c>
      <c r="I159" s="270">
        <v>91.715000000000003</v>
      </c>
      <c r="J159" s="270">
        <v>2969655</v>
      </c>
      <c r="K159" s="270">
        <v>23088134.489999998</v>
      </c>
      <c r="L159" s="270">
        <v>-1763846.7</v>
      </c>
      <c r="M159" s="270">
        <v>627281.81000000006</v>
      </c>
      <c r="N159" s="270">
        <v>21324287.789999999</v>
      </c>
      <c r="O159" s="255">
        <v>4.7000000000000002E-3</v>
      </c>
      <c r="Q159" s="1" t="str">
        <f t="shared" ref="Q159:Q162" si="46">IF(B159="Cash Long","Cash",A159)</f>
        <v>Investments</v>
      </c>
      <c r="R159" s="1" t="str">
        <f>_xll.BDP(G159&amp;" ISIN",$R$1)</f>
        <v>BBG00RB30509</v>
      </c>
      <c r="S159" s="1" t="str">
        <f>IF(Q159="Cash",Q159,IF(OR(Q159="Receivable Investments",Q159="Payable Investments"),"Cash Adjustments",_xll.BDP(R159&amp;" FIGI",$S$1)))</f>
        <v>BOND</v>
      </c>
      <c r="T159" s="1" t="str">
        <f>IF(Q159="Cash",Q159,IF(OR(Q159="Receivable Investments",Q159="Payable Investments"),"Cash Adjustments",VLOOKUP(R159,LQA!E:S,3,0)))</f>
        <v>Corp</v>
      </c>
      <c r="U159" s="1" t="str">
        <f>IF(Q159="Cash",Q159,IF(OR(Q159="Receivable Investments",Q159="Payable Investments"),"Cash Adjustments",_xll.BDP(R159&amp;" FIGI",$U$1)))</f>
        <v>#N/A Field Not Applicable</v>
      </c>
      <c r="V159" s="10">
        <f>IF(OR(Q159="Cash",Q159="Receivable Investments",Q159="Payable Investments"),0,IF(Q159="Investments",VLOOKUP(R159,LQA!E:Q,12,0),"Not Covered"))</f>
        <v>0.3</v>
      </c>
      <c r="W159" s="76">
        <f>IF(OR(Q159="Cash",Q159="Receivable Investments",Q159="Payable Investments"),0,IF(Q159="Investments",VLOOKUP(R159,LQA!E:Q,9,0),"Not Covered"))</f>
        <v>1.4297000000000001E-2</v>
      </c>
      <c r="X159" s="13" t="str">
        <f>IF(OR(H159=0,T162="Comdty"),"High",IF(V159&lt;='Liquidity Bucket'!$A$4,'Liquidity Bucket'!$I$4,IF(V159&lt;='Liquidity Bucket'!$A$5,'Liquidity Bucket'!$I$5,IF(V159&lt;='Liquidity Bucket'!$A$6,'Liquidity Bucket'!$I$6,IF(V159='Liquidity Bucket'!$A$8,'Liquidity Bucket'!$I$8,'Liquidity Bucket'!$I$7)))))</f>
        <v>High</v>
      </c>
      <c r="Y159" s="153">
        <f>IF(OR(Q159="Cash",Q159="Receivable Investments",Q159="Payable Investments"),0,IF(Q159="Investments",VLOOKUP(R159,'LQA Stress'!E:Q,12,0),"Not Covered"))</f>
        <v>1.7</v>
      </c>
      <c r="Z159" s="75">
        <f>IF(OR(Q159="Cash",Q159="Receivable Investments",Q159="Payable Investments"),0,IF(Q159="Investments",VLOOKUP(R159,'LQA Stress'!E:Q,9,0),"Not Covered"))</f>
        <v>3.7350000000000001E-2</v>
      </c>
      <c r="AA159" s="13" t="str">
        <f>IF(T162="Comdty","High",IF(Y159&lt;='Liquidity Bucket'!$A$4,'Liquidity Bucket'!$I$4,IF(Y159&lt;='Liquidity Bucket'!$A$5,'Liquidity Bucket'!$I$5,IF(Y159&lt;='Liquidity Bucket'!$A$6,'Liquidity Bucket'!$I$6,IF(Y159='Liquidity Bucket'!$A$8,'Liquidity Bucket'!$I$8,'Liquidity Bucket'!$I$7)))))</f>
        <v>High</v>
      </c>
      <c r="AB159" s="14">
        <f>(N159+M159)/'FX Rates'!$C$5</f>
        <v>2831729.8245614031</v>
      </c>
      <c r="AC159" s="15" t="str">
        <f>IF(X159="Not Covered", (H159/_xll.BDP(R159&amp;" FIGI",$AC$1)),"")</f>
        <v/>
      </c>
      <c r="AD159" s="16" t="str">
        <f>IF(X159="Not Covered", _xll.BDP(R159&amp;" FIGI",$AD$1),"")</f>
        <v/>
      </c>
      <c r="AE159" s="16" t="str">
        <f>IF(OR(T159="Corp",T159="Govt"),IF(_xll.BDP(R159&amp;" FIGI",$AE$1)="#N/A N/A","",_xll.BDP(R159&amp;" FIGI",$AE$1)),"")</f>
        <v/>
      </c>
      <c r="AF159" s="1" t="str">
        <f>IF(OR(T159="Corp",T159="Govt"),IF(_xll.BDP(R159&amp;" FIGI",$AF$1)="#N/A N/A","",_xll.BDP(R159&amp;" FIGI",$AF$1)),"")</f>
        <v/>
      </c>
      <c r="AG159" s="16" t="str">
        <f>IF(OR(T159="Corp",T159="Govt"),IF(_xll.BDP(R159&amp;" FIGI",$AG$1)="#N/A N/A","",_xll.BDP(R159&amp;" FIGI",$AG$1)),"")</f>
        <v>B</v>
      </c>
      <c r="AH159" s="125">
        <f>IF(OR(S159="Cash",S159="M-Mkt"),21,IF(AE159="",0,VLOOKUP(AE159,'Rating Scale'!A:B,2,0)))</f>
        <v>0</v>
      </c>
      <c r="AI159" s="125">
        <f>IF(OR(S159="Cash",S159="M-Mkt"),21,IF(AF159="",0,VLOOKUP(AF159,'Rating Scale'!D:E,2,0)))</f>
        <v>0</v>
      </c>
      <c r="AJ159" s="125">
        <f>IF(OR(S159="Cash",S159="M-Mkt"),21,IF(AG159="",0,VLOOKUP(AG159,'Rating Scale'!G:H,2,0)))</f>
        <v>7</v>
      </c>
      <c r="AK159">
        <f t="shared" ref="AK159:AK162" si="47">Rating(AH159,AI159,AJ159)</f>
        <v>7</v>
      </c>
      <c r="AL159" s="1" t="str">
        <f>IF(OR(U159="Cash",U159="Cash Adjustments"),_xll.BDP(G159&amp;" Curncy","Country"),IF(T159="Equity",_xll.BDP(R159&amp;" FIGI","CNTRY_ISSUE_ISO"),_xll.BDP(R159&amp;" FIGI",$AL$1)))</f>
        <v>CN</v>
      </c>
      <c r="AM159" s="126" t="str">
        <f>IF(OR(T159="Cash",T159="Cash Adjustments",T159="M-Mkt"), T159, IF(T159="Comdty",AS159, _xll.BDP(R159&amp;" FIGI", $AM$1)))</f>
        <v>Financial</v>
      </c>
      <c r="AN159" s="126" t="str">
        <f>IF(OR(T159="Cash",T159="Cash Adjustments",T159="M-Mkt"), T159,  IF(T159="Comdty",AS159,_xll.BDP(R159&amp;" FIGI", $AN$1)))</f>
        <v>Real Estate</v>
      </c>
      <c r="AO159" s="126" t="str">
        <f>IF(OR(T159="Cash",T159="Cash Adjustments",T159="M-Mkt"), T159,  IF(T159="Comdty",AS159,_xll.BDP(R159&amp;" FIGI", $AO$1)))</f>
        <v>Real Estate Oper/Develop</v>
      </c>
      <c r="AP159" s="13" t="str">
        <f>IF(OR(T159="Cash",T159="Cash Adjustments"), T159, IF(_xll.BDP(R159&amp;" FIGI", $AP$1)="#N/A Field Not Applicable","N",_xll.BDP(R159&amp;" FIGI", $AP$1)))</f>
        <v>N</v>
      </c>
      <c r="AQ159" s="1" t="str">
        <f>IF(OR(T159="Cash",T159="Cash Adjustments"), T159, IF(_xll.BDP(R159&amp;" FIGI", $AQ$1)="#N/A Field Not Applicable"," ",_xll.BDP(R159&amp;" FIGI", $AQ$1)))</f>
        <v xml:space="preserve"> </v>
      </c>
      <c r="AR159" s="1" t="str">
        <f>IF(OR(T159="Cash",T159="Cash Adjustments"), T159, IF(_xll.BDP(R159&amp;" FIGI", $AR$1)="#N/A Field Not Applicable"," ",_xll.BDP(R159&amp;" FIGI", $AR$1)))</f>
        <v>ACTV</v>
      </c>
      <c r="AS159" s="1" t="str">
        <f>VLOOKUP(T159,'SFC Classifcation'!$F$2:$H$7,3,0)</f>
        <v>Corporate</v>
      </c>
      <c r="AT159" s="22" t="str">
        <f t="shared" ref="AT159:AT162" si="48">IF(OR(T159="Cash",T159="Cash Adjustments"),T159, IF(AM159&lt;&gt;"Financial","Non-Financial","Financial"))</f>
        <v>Financial</v>
      </c>
      <c r="AU159" s="1" t="str">
        <f t="shared" ref="AU159:AU162" si="49">IF(OR(T159="Cash",T159="Cash Adjustments",T159="Equity", T159="Comdty"),"",IF(AK159&gt;=12,"Investment Grade", "Non-Investment Grade"))</f>
        <v>Non-Investment Grade</v>
      </c>
      <c r="AV159" s="1" t="str">
        <f>IF(OR(T159="Cash",T159="Cash Adjustments"),T159,VLOOKUP(AL159,'SFC Classifcation'!$A:$C,3,0))</f>
        <v>China</v>
      </c>
      <c r="AW159" s="22" t="str">
        <f t="shared" ref="AW159:AW162" si="50">LQBucket(X159,AK159,AD159,AC159)</f>
        <v>High</v>
      </c>
      <c r="AX159" s="22" t="str">
        <f t="shared" ref="AX159:AX162" si="51">LQBucket(AA159,AK159,AD159,AC159)</f>
        <v>High</v>
      </c>
      <c r="AY159" s="45" t="str">
        <f>IF(OR(T159="Cash",T159="Cash Adjustments"), T159, _xll.BDP(R159&amp;" FIGI", $AY$1))</f>
        <v>#N/A Field Not Applicable</v>
      </c>
      <c r="AZ159" s="45" t="str">
        <f>IF(OR(T159="Cash",T159="Cash Adjustments"), T159, _xll.BDP(R159&amp;" FIGI", $AZ$1))</f>
        <v>SPECIAL PURPOSE</v>
      </c>
      <c r="BA159" s="45" t="str">
        <f>IF(OR(T159="Cash",T159="Cash Adjustments"), T159, _xll.BDP(R159&amp;" FIGI", $BA$1))</f>
        <v>#N/A Field Not Applicable</v>
      </c>
      <c r="BB159" s="45">
        <f>IF(OR(AS159="Government",AS159="Corporate"),(AK159*AB159/'SFC Report'!$C$20),"")</f>
        <v>3.6012016993168264E-2</v>
      </c>
      <c r="BC159" s="174" t="str">
        <f>IF(OR(T159="Cash",T159="Cash Adjustments", T159="FX Forward", T159="Repo", T159="Equity", T159="M-Mkt"), "", _xll.BDP(R159&amp;" FIGI", $BC$1))</f>
        <v>4/15/2023</v>
      </c>
      <c r="BD159" s="125">
        <f ca="1">IF(OR(T159="Cash",T159="Cash Adjustments",T159="FX Forward",T159="Repo", T159="Equity", T159="M-Mkt"),"",(BC159-'SFC Report'!$B$13)/365)</f>
        <v>2.9589041095890409</v>
      </c>
      <c r="BE159" s="82" t="str">
        <f t="shared" ref="BE159:BE162" ca="1" si="52">IF(BC159&lt;&gt;0,MaturityBucket(BD159),"")</f>
        <v>2 - 3 yrs</v>
      </c>
      <c r="BF159" s="5">
        <f ca="1">IF(BC159="","",BD159*AB159/'SFC Report'!$C$20)</f>
        <v>1.5222300725096564E-2</v>
      </c>
      <c r="BG159" s="14" cm="1">
        <f t="array" ref="BG159">IF(OR(AS159="Corporate",AS159="Government"),_xll.BDP(G159&amp;" ISIN", $BG$1),"")</f>
        <v>2.3787693425717702</v>
      </c>
      <c r="BH159" s="140">
        <f>IF(OR(AS159="Corporate",AS159="Government"),BG159*BN159/'SFC Report'!$C$20,"")</f>
        <v>1.223775456964604E-2</v>
      </c>
      <c r="BI159" s="140">
        <f>IF(OR(AS159="Corporate",AS159="Government"),_xll.BDP(G159&amp;" ISIN", $BI$1),"")</f>
        <v>10.516916970837249</v>
      </c>
      <c r="BJ159" s="140">
        <f>IF(OR(AS159="Corporate",AS159="Government"),BI159*AB159/'SFC Report'!$C$20,"")</f>
        <v>5.4105056095647239E-2</v>
      </c>
      <c r="BK159" s="153" t="str">
        <f>IF(OR(T159="Cash",T159="Cash Adjustments"),"-",_xll.BDP(R159&amp;" FIGI",$BK$1))</f>
        <v>XS2100664544</v>
      </c>
      <c r="BL159" s="11" t="str">
        <f>IF(OR(AS159="Cash", AS159="Cash Adjustments"),"-",IF(ISNA(VLOOKUP(BK159,'BBG - VaR Data (Sample, Indus )'!C:N,5,0)),"-",VLOOKUP(BK159,'BBG - VaR Data (Sample, Indus )'!C:N,5,0)))</f>
        <v>-</v>
      </c>
      <c r="BM159" s="11">
        <f>IF(OR(AS159="Cash", AS159="Cash Adjustments"),"-",IF(ISNA(VLOOKUP(BK159,'BBG - Scenarios (Sample View)'!C:Z,14,0)),"-",VLOOKUP(BK159,'BBG - Scenarios (Sample View)'!C:Z,14,0)))</f>
        <v>-6.81</v>
      </c>
      <c r="BN159" s="14">
        <f t="shared" ref="BN159:BN162" si="53">AB159</f>
        <v>2831729.8245614031</v>
      </c>
      <c r="BO159" s="1">
        <f t="shared" ref="BO159:BO162" si="54">BN159/SUM($BN$2:$BN$154)</f>
        <v>5.5548596175150787E-3</v>
      </c>
      <c r="BP159" t="str">
        <f>IF(BC159&lt;&gt;0,MaturityBucket(BG159),"")</f>
        <v>2 - 3 yrs</v>
      </c>
      <c r="BQ159" s="11" t="str">
        <f>IF(OR(T159="Cash",T159="Cash Adjustments"),T159,VLOOKUP(AL159,'SFC Classifcation'!$A:$C,2,0))</f>
        <v>China</v>
      </c>
      <c r="BR159" s="1" t="e">
        <f>IF(S159="Bond",BH159/'SFC Report'!$B$7,"")</f>
        <v>#VALUE!</v>
      </c>
      <c r="BS159" t="str">
        <f>IF(OR(T159="Cash",T159="Cash Adjustments"),"-",_xll.BDP(R159&amp;" FIGI",$BS$1))</f>
        <v>#N/A N/A</v>
      </c>
      <c r="BT159" t="str">
        <f>IF(OR(T159="Cash",T159="Cash Adjustments"),"-",_xll.BDP(R159&amp;" FIGI",$BT$1))</f>
        <v>#N/A N/A</v>
      </c>
      <c r="BU159" t="str">
        <f>IF(OR(T159="Cash",T159="Cash Adjustments"),"-",_xll.BDP(R159&amp;" FIGI",$BU$1))</f>
        <v>1/7/2020</v>
      </c>
    </row>
    <row r="160" spans="1:73">
      <c r="A160" s="254" t="s">
        <v>15</v>
      </c>
      <c r="B160" s="254" t="s">
        <v>25</v>
      </c>
      <c r="C160" s="254" t="s">
        <v>46</v>
      </c>
      <c r="D160" s="254" t="s">
        <v>22</v>
      </c>
      <c r="E160" s="254"/>
      <c r="F160" s="254" t="s">
        <v>1079</v>
      </c>
      <c r="G160" s="254" t="s">
        <v>1080</v>
      </c>
      <c r="H160" s="270">
        <v>2350000</v>
      </c>
      <c r="I160" s="270">
        <v>99.02</v>
      </c>
      <c r="J160" s="270">
        <v>2327637.5</v>
      </c>
      <c r="K160" s="270">
        <v>18220048.07</v>
      </c>
      <c r="L160" s="270">
        <v>-185565.19</v>
      </c>
      <c r="M160" s="270">
        <v>129767.41</v>
      </c>
      <c r="N160" s="270">
        <v>18034482.879999999</v>
      </c>
      <c r="O160" s="255">
        <v>4.0000000000000001E-3</v>
      </c>
      <c r="Q160" s="1" t="str">
        <f t="shared" si="46"/>
        <v>Investments</v>
      </c>
      <c r="R160" s="1" t="str">
        <f>_xll.BDP(G160&amp;" ISIN",$R$1)</f>
        <v>BBG00NQF0SC2</v>
      </c>
      <c r="S160" s="1" t="str">
        <f>IF(Q160="Cash",Q160,IF(OR(Q160="Receivable Investments",Q160="Payable Investments"),"Cash Adjustments",_xll.BDP(R160&amp;" FIGI",$S$1)))</f>
        <v>BOND</v>
      </c>
      <c r="T160" s="1" t="str">
        <f>IF(Q160="Cash",Q160,IF(OR(Q160="Receivable Investments",Q160="Payable Investments"),"Cash Adjustments",VLOOKUP(R160,LQA!E:S,3,0)))</f>
        <v>Corp</v>
      </c>
      <c r="U160" s="1" t="str">
        <f>IF(Q160="Cash",Q160,IF(OR(Q160="Receivable Investments",Q160="Payable Investments"),"Cash Adjustments",_xll.BDP(R160&amp;" FIGI",$U$1)))</f>
        <v>#N/A Field Not Applicable</v>
      </c>
      <c r="V160" s="10">
        <f>IF(OR(Q160="Cash",Q160="Receivable Investments",Q160="Payable Investments"),0,IF(Q160="Investments",VLOOKUP(R160,LQA!E:Q,12,0),"Not Covered"))</f>
        <v>0.2</v>
      </c>
      <c r="W160" s="76">
        <f>IF(OR(Q160="Cash",Q160="Receivable Investments",Q160="Payable Investments"),0,IF(Q160="Investments",VLOOKUP(R160,LQA!E:Q,9,0),"Not Covered"))</f>
        <v>1.1494000000000001E-2</v>
      </c>
      <c r="X160" s="13" t="str">
        <f>IF(OR(H160=0,T163="Comdty"),"High",IF(V160&lt;='Liquidity Bucket'!$A$4,'Liquidity Bucket'!$I$4,IF(V160&lt;='Liquidity Bucket'!$A$5,'Liquidity Bucket'!$I$5,IF(V160&lt;='Liquidity Bucket'!$A$6,'Liquidity Bucket'!$I$6,IF(V160='Liquidity Bucket'!$A$8,'Liquidity Bucket'!$I$8,'Liquidity Bucket'!$I$7)))))</f>
        <v>High</v>
      </c>
      <c r="Y160" s="153">
        <f>IF(OR(Q160="Cash",Q160="Receivable Investments",Q160="Payable Investments"),0,IF(Q160="Investments",VLOOKUP(R160,'LQA Stress'!E:Q,12,0),"Not Covered"))</f>
        <v>1.9</v>
      </c>
      <c r="Z160" s="75">
        <f>IF(OR(Q160="Cash",Q160="Receivable Investments",Q160="Payable Investments"),0,IF(Q160="Investments",VLOOKUP(R160,'LQA Stress'!E:Q,9,0),"Not Covered"))</f>
        <v>3.0211999999999999E-2</v>
      </c>
      <c r="AA160" s="13" t="str">
        <f>IF(T163="Comdty","High",IF(Y160&lt;='Liquidity Bucket'!$A$4,'Liquidity Bucket'!$I$4,IF(Y160&lt;='Liquidity Bucket'!$A$5,'Liquidity Bucket'!$I$5,IF(Y160&lt;='Liquidity Bucket'!$A$6,'Liquidity Bucket'!$I$6,IF(Y160='Liquidity Bucket'!$A$8,'Liquidity Bucket'!$I$8,'Liquidity Bucket'!$I$7)))))</f>
        <v>High</v>
      </c>
      <c r="AB160" s="14">
        <f>(N160+M160)/'FX Rates'!$C$5</f>
        <v>2343169.5420536636</v>
      </c>
      <c r="AC160" s="15" t="str">
        <f>IF(X160="Not Covered", (H160/_xll.BDP(R160&amp;" FIGI",$AC$1)),"")</f>
        <v/>
      </c>
      <c r="AD160" s="16" t="str">
        <f>IF(X160="Not Covered", _xll.BDP(R160&amp;" FIGI",$AD$1),"")</f>
        <v/>
      </c>
      <c r="AE160" s="16" t="str">
        <f>IF(OR(T160="Corp",T160="Govt"),IF(_xll.BDP(R160&amp;" FIGI",$AE$1)="#N/A N/A","",_xll.BDP(R160&amp;" FIGI",$AE$1)),"")</f>
        <v/>
      </c>
      <c r="AF160" s="1" t="str">
        <f>IF(OR(T160="Corp",T160="Govt"),IF(_xll.BDP(R160&amp;" FIGI",$AF$1)="#N/A N/A","",_xll.BDP(R160&amp;" FIGI",$AF$1)),"")</f>
        <v/>
      </c>
      <c r="AG160" s="16" t="str">
        <f>IF(OR(T160="Corp",T160="Govt"),IF(_xll.BDP(R160&amp;" FIGI",$AG$1)="#N/A N/A","",_xll.BDP(R160&amp;" FIGI",$AG$1)),"")</f>
        <v>B</v>
      </c>
      <c r="AH160" s="125">
        <f>IF(OR(S160="Cash",S160="M-Mkt"),21,IF(AE160="",0,VLOOKUP(AE160,'Rating Scale'!A:B,2,0)))</f>
        <v>0</v>
      </c>
      <c r="AI160" s="125">
        <f>IF(OR(S160="Cash",S160="M-Mkt"),21,IF(AF160="",0,VLOOKUP(AF160,'Rating Scale'!D:E,2,0)))</f>
        <v>0</v>
      </c>
      <c r="AJ160" s="125">
        <f>IF(OR(S160="Cash",S160="M-Mkt"),21,IF(AG160="",0,VLOOKUP(AG160,'Rating Scale'!G:H,2,0)))</f>
        <v>7</v>
      </c>
      <c r="AK160">
        <f t="shared" si="47"/>
        <v>7</v>
      </c>
      <c r="AL160" s="1" t="str">
        <f>IF(OR(U160="Cash",U160="Cash Adjustments"),_xll.BDP(G160&amp;" Curncy","Country"),IF(T160="Equity",_xll.BDP(R160&amp;" FIGI","CNTRY_ISSUE_ISO"),_xll.BDP(R160&amp;" FIGI",$AL$1)))</f>
        <v>CN</v>
      </c>
      <c r="AM160" s="126" t="str">
        <f>IF(OR(T160="Cash",T160="Cash Adjustments",T160="M-Mkt"), T160, IF(T160="Comdty",AS160, _xll.BDP(R160&amp;" FIGI", $AM$1)))</f>
        <v>Financial</v>
      </c>
      <c r="AN160" s="126" t="str">
        <f>IF(OR(T160="Cash",T160="Cash Adjustments",T160="M-Mkt"), T160,  IF(T160="Comdty",AS160,_xll.BDP(R160&amp;" FIGI", $AN$1)))</f>
        <v>Real Estate</v>
      </c>
      <c r="AO160" s="126" t="str">
        <f>IF(OR(T160="Cash",T160="Cash Adjustments",T160="M-Mkt"), T160,  IF(T160="Comdty",AS160,_xll.BDP(R160&amp;" FIGI", $AO$1)))</f>
        <v>Real Estate Oper/Develop</v>
      </c>
      <c r="AP160" s="13" t="str">
        <f>IF(OR(T160="Cash",T160="Cash Adjustments"), T160, IF(_xll.BDP(R160&amp;" FIGI", $AP$1)="#N/A Field Not Applicable","N",_xll.BDP(R160&amp;" FIGI", $AP$1)))</f>
        <v>N</v>
      </c>
      <c r="AQ160" s="1" t="str">
        <f>IF(OR(T160="Cash",T160="Cash Adjustments"), T160, IF(_xll.BDP(R160&amp;" FIGI", $AQ$1)="#N/A Field Not Applicable"," ",_xll.BDP(R160&amp;" FIGI", $AQ$1)))</f>
        <v xml:space="preserve"> </v>
      </c>
      <c r="AR160" s="1" t="str">
        <f>IF(OR(T160="Cash",T160="Cash Adjustments"), T160, IF(_xll.BDP(R160&amp;" FIGI", $AR$1)="#N/A Field Not Applicable"," ",_xll.BDP(R160&amp;" FIGI", $AR$1)))</f>
        <v>ACTV</v>
      </c>
      <c r="AS160" s="1" t="str">
        <f>VLOOKUP(T160,'SFC Classifcation'!$F$2:$H$7,3,0)</f>
        <v>Corporate</v>
      </c>
      <c r="AT160" s="22" t="str">
        <f t="shared" si="48"/>
        <v>Financial</v>
      </c>
      <c r="AU160" s="1" t="str">
        <f t="shared" si="49"/>
        <v>Non-Investment Grade</v>
      </c>
      <c r="AV160" s="1" t="str">
        <f>IF(OR(T160="Cash",T160="Cash Adjustments"),T160,VLOOKUP(AL160,'SFC Classifcation'!$A:$C,3,0))</f>
        <v>China</v>
      </c>
      <c r="AW160" s="22" t="str">
        <f t="shared" si="50"/>
        <v>High</v>
      </c>
      <c r="AX160" s="22" t="str">
        <f t="shared" si="51"/>
        <v>High</v>
      </c>
      <c r="AY160" s="45" t="str">
        <f>IF(OR(T160="Cash",T160="Cash Adjustments"), T160, _xll.BDP(R160&amp;" FIGI", $AY$1))</f>
        <v>#N/A Field Not Applicable</v>
      </c>
      <c r="AZ160" s="45" t="str">
        <f>IF(OR(T160="Cash",T160="Cash Adjustments"), T160, _xll.BDP(R160&amp;" FIGI", $AZ$1))</f>
        <v>SPECIAL PURPOSE</v>
      </c>
      <c r="BA160" s="45" t="str">
        <f>IF(OR(T160="Cash",T160="Cash Adjustments"), T160, _xll.BDP(R160&amp;" FIGI", $BA$1))</f>
        <v>#N/A Field Not Applicable</v>
      </c>
      <c r="BB160" s="45">
        <f>IF(OR(AS160="Government",AS160="Corporate"),(AK160*AB160/'SFC Report'!$C$20),"")</f>
        <v>2.9798839082178508E-2</v>
      </c>
      <c r="BC160" s="174" t="str">
        <f>IF(OR(T160="Cash",T160="Cash Adjustments", T160="FX Forward", T160="Repo", T160="Equity", T160="M-Mkt"), "", _xll.BDP(R160&amp;" FIGI", $BC$1))</f>
        <v>4/3/2021</v>
      </c>
      <c r="BD160" s="125">
        <f ca="1">IF(OR(T160="Cash",T160="Cash Adjustments",T160="FX Forward",T160="Repo", T160="Equity", T160="M-Mkt"),"",(BC160-'SFC Report'!$B$13)/365)</f>
        <v>0.92602739726027394</v>
      </c>
      <c r="BE160" s="82" t="str">
        <f t="shared" ca="1" si="52"/>
        <v>0 - 1 yr</v>
      </c>
      <c r="BF160" s="5">
        <f ca="1">IF(BC160="","",BD160*AB160/'SFC Report'!$C$20)</f>
        <v>3.942077342378213E-3</v>
      </c>
      <c r="BG160" s="14" cm="1">
        <f t="array" ref="BG160">IF(OR(AS160="Corporate",AS160="Government"),_xll.BDP(G160&amp;" ISIN", $BG$1),"")</f>
        <v>0.79594470487026125</v>
      </c>
      <c r="BH160" s="140">
        <f>IF(OR(AS160="Corporate",AS160="Government"),BG160*BN160/'SFC Report'!$C$20,"")</f>
        <v>3.3883183112487112E-3</v>
      </c>
      <c r="BI160" s="140">
        <f>IF(OR(AS160="Corporate",AS160="Government"),_xll.BDP(G160&amp;" ISIN", $BI$1),"")</f>
        <v>7.9264053001960093</v>
      </c>
      <c r="BJ160" s="140">
        <f>IF(OR(AS160="Corporate",AS160="Government"),BI160*AB160/'SFC Report'!$C$20,"")</f>
        <v>3.3742525148666817E-2</v>
      </c>
      <c r="BK160" s="153" t="str">
        <f>IF(OR(T160="Cash",T160="Cash Adjustments"),"-",_xll.BDP(R160&amp;" FIGI",$BK$1))</f>
        <v>XS1973241125</v>
      </c>
      <c r="BL160" s="11" t="str">
        <f>IF(OR(AS160="Cash", AS160="Cash Adjustments"),"-",IF(ISNA(VLOOKUP(BK160,'BBG - VaR Data (Sample, Indus )'!C:N,5,0)),"-",VLOOKUP(BK160,'BBG - VaR Data (Sample, Indus )'!C:N,5,0)))</f>
        <v>-</v>
      </c>
      <c r="BM160" s="11">
        <f>IF(OR(AS160="Cash", AS160="Cash Adjustments"),"-",IF(ISNA(VLOOKUP(BK160,'BBG - Scenarios (Sample View)'!C:Z,14,0)),"-",VLOOKUP(BK160,'BBG - Scenarios (Sample View)'!C:Z,14,0)))</f>
        <v>-2.08</v>
      </c>
      <c r="BN160" s="14">
        <f t="shared" si="53"/>
        <v>2343169.5420536636</v>
      </c>
      <c r="BO160" s="1">
        <f t="shared" si="54"/>
        <v>4.5964758901959144E-3</v>
      </c>
      <c r="BP160" t="str">
        <f>IF(BC160&lt;&gt;0,MaturityBucket(BG160),"")</f>
        <v>0 - 1 yr</v>
      </c>
      <c r="BQ160" s="11" t="str">
        <f>IF(OR(T160="Cash",T160="Cash Adjustments"),T160,VLOOKUP(AL160,'SFC Classifcation'!$A:$C,2,0))</f>
        <v>China</v>
      </c>
      <c r="BR160" s="1" t="e">
        <f>IF(S160="Bond",BH160/'SFC Report'!$B$7,"")</f>
        <v>#VALUE!</v>
      </c>
      <c r="BS160" t="str">
        <f>IF(OR(T160="Cash",T160="Cash Adjustments"),"-",_xll.BDP(R160&amp;" FIGI",$BS$1))</f>
        <v>#N/A N/A</v>
      </c>
      <c r="BT160" t="str">
        <f>IF(OR(T160="Cash",T160="Cash Adjustments"),"-",_xll.BDP(R160&amp;" FIGI",$BT$1))</f>
        <v>#N/A N/A</v>
      </c>
      <c r="BU160" t="str">
        <f>IF(OR(T160="Cash",T160="Cash Adjustments"),"-",_xll.BDP(R160&amp;" FIGI",$BU$1))</f>
        <v>9/11/2019</v>
      </c>
    </row>
    <row r="161" spans="1:73">
      <c r="A161" s="254" t="s">
        <v>15</v>
      </c>
      <c r="B161" s="254" t="s">
        <v>25</v>
      </c>
      <c r="C161" s="254" t="s">
        <v>46</v>
      </c>
      <c r="D161" s="254" t="s">
        <v>22</v>
      </c>
      <c r="E161" s="254"/>
      <c r="F161" s="254" t="s">
        <v>1351</v>
      </c>
      <c r="G161" s="254" t="s">
        <v>1352</v>
      </c>
      <c r="H161" s="270">
        <v>1500000</v>
      </c>
      <c r="I161" s="270">
        <v>98.450999999999993</v>
      </c>
      <c r="J161" s="270">
        <v>1200000</v>
      </c>
      <c r="K161" s="270">
        <v>9303240</v>
      </c>
      <c r="L161" s="270">
        <v>2141984.1</v>
      </c>
      <c r="M161" s="270">
        <v>226693.35</v>
      </c>
      <c r="N161" s="270">
        <v>11445224.1</v>
      </c>
      <c r="O161" s="255">
        <v>2.5000000000000001E-3</v>
      </c>
      <c r="Q161" s="1" t="str">
        <f t="shared" si="46"/>
        <v>Investments</v>
      </c>
      <c r="R161" s="1" t="str">
        <f>_xll.BDP(G161&amp;" ISIN",$R$1)</f>
        <v>BBG00PNSNLZ7</v>
      </c>
      <c r="S161" s="1" t="str">
        <f>IF(Q161="Cash",Q161,IF(OR(Q161="Receivable Investments",Q161="Payable Investments"),"Cash Adjustments",_xll.BDP(R161&amp;" FIGI",$S$1)))</f>
        <v>BOND</v>
      </c>
      <c r="T161" s="1" t="str">
        <f>IF(Q161="Cash",Q161,IF(OR(Q161="Receivable Investments",Q161="Payable Investments"),"Cash Adjustments",VLOOKUP(R161,LQA!E:S,3,0)))</f>
        <v>Corp</v>
      </c>
      <c r="U161" s="1" t="str">
        <f>IF(Q161="Cash",Q161,IF(OR(Q161="Receivable Investments",Q161="Payable Investments"),"Cash Adjustments",_xll.BDP(R161&amp;" FIGI",$U$1)))</f>
        <v>#N/A Field Not Applicable</v>
      </c>
      <c r="V161" s="10">
        <f>IF(OR(Q161="Cash",Q161="Receivable Investments",Q161="Payable Investments"),0,IF(Q161="Investments",VLOOKUP(R161,LQA!E:Q,12,0),"Not Covered"))</f>
        <v>0.2</v>
      </c>
      <c r="W161" s="76">
        <f>IF(OR(Q161="Cash",Q161="Receivable Investments",Q161="Payable Investments"),0,IF(Q161="Investments",VLOOKUP(R161,LQA!E:Q,9,0),"Not Covered"))</f>
        <v>1.1683000000000001E-2</v>
      </c>
      <c r="X161" s="13" t="str">
        <f>IF(OR(H161=0,T164="Comdty"),"High",IF(V161&lt;='Liquidity Bucket'!$A$4,'Liquidity Bucket'!$I$4,IF(V161&lt;='Liquidity Bucket'!$A$5,'Liquidity Bucket'!$I$5,IF(V161&lt;='Liquidity Bucket'!$A$6,'Liquidity Bucket'!$I$6,IF(V161='Liquidity Bucket'!$A$8,'Liquidity Bucket'!$I$8,'Liquidity Bucket'!$I$7)))))</f>
        <v>High</v>
      </c>
      <c r="Y161" s="153">
        <f>IF(OR(Q161="Cash",Q161="Receivable Investments",Q161="Payable Investments"),0,IF(Q161="Investments",VLOOKUP(R161,'LQA Stress'!E:Q,12,0),"Not Covered"))</f>
        <v>0.5</v>
      </c>
      <c r="Z161" s="75">
        <f>IF(OR(Q161="Cash",Q161="Receivable Investments",Q161="Payable Investments"),0,IF(Q161="Investments",VLOOKUP(R161,'LQA Stress'!E:Q,9,0),"Not Covered"))</f>
        <v>3.1913999999999998E-2</v>
      </c>
      <c r="AA161" s="13" t="str">
        <f>IF(T164="Comdty","High",IF(Y161&lt;='Liquidity Bucket'!$A$4,'Liquidity Bucket'!$I$4,IF(Y161&lt;='Liquidity Bucket'!$A$5,'Liquidity Bucket'!$I$5,IF(Y161&lt;='Liquidity Bucket'!$A$6,'Liquidity Bucket'!$I$6,IF(Y161='Liquidity Bucket'!$A$8,'Liquidity Bucket'!$I$8,'Liquidity Bucket'!$I$7)))))</f>
        <v>High</v>
      </c>
      <c r="AB161" s="14">
        <f>(N161+M161)/'FX Rates'!$C$5</f>
        <v>1505665.305727554</v>
      </c>
      <c r="AC161" s="15" t="str">
        <f>IF(X161="Not Covered", (H161/_xll.BDP(R161&amp;" FIGI",$AC$1)),"")</f>
        <v/>
      </c>
      <c r="AD161" s="16" t="str">
        <f>IF(X161="Not Covered", _xll.BDP(R161&amp;" FIGI",$AD$1),"")</f>
        <v/>
      </c>
      <c r="AE161" s="16" t="str">
        <f>IF(OR(T161="Corp",T161="Govt"),IF(_xll.BDP(R161&amp;" FIGI",$AE$1)="#N/A N/A","",_xll.BDP(R161&amp;" FIGI",$AE$1)),"")</f>
        <v>B+</v>
      </c>
      <c r="AF161" s="1" t="str">
        <f>IF(OR(T161="Corp",T161="Govt"),IF(_xll.BDP(R161&amp;" FIGI",$AF$1)="#N/A N/A","",_xll.BDP(R161&amp;" FIGI",$AF$1)),"")</f>
        <v>B1</v>
      </c>
      <c r="AG161" s="16" t="str">
        <f>IF(OR(T161="Corp",T161="Govt"),IF(_xll.BDP(R161&amp;" FIGI",$AG$1)="#N/A N/A","",_xll.BDP(R161&amp;" FIGI",$AG$1)),"")</f>
        <v>BB-</v>
      </c>
      <c r="AH161" s="125">
        <f>IF(OR(S161="Cash",S161="M-Mkt"),21,IF(AE161="",0,VLOOKUP(AE161,'Rating Scale'!A:B,2,0)))</f>
        <v>8</v>
      </c>
      <c r="AI161" s="125">
        <f>IF(OR(S161="Cash",S161="M-Mkt"),21,IF(AF161="",0,VLOOKUP(AF161,'Rating Scale'!D:E,2,0)))</f>
        <v>8</v>
      </c>
      <c r="AJ161" s="125">
        <f>IF(OR(S161="Cash",S161="M-Mkt"),21,IF(AG161="",0,VLOOKUP(AG161,'Rating Scale'!G:H,2,0)))</f>
        <v>9</v>
      </c>
      <c r="AK161">
        <f t="shared" si="47"/>
        <v>8</v>
      </c>
      <c r="AL161" s="1" t="str">
        <f>IF(OR(U161="Cash",U161="Cash Adjustments"),_xll.BDP(G161&amp;" Curncy","Country"),IF(T161="Equity",_xll.BDP(R161&amp;" FIGI","CNTRY_ISSUE_ISO"),_xll.BDP(R161&amp;" FIGI",$AL$1)))</f>
        <v>CN</v>
      </c>
      <c r="AM161" s="126" t="str">
        <f>IF(OR(T161="Cash",T161="Cash Adjustments",T161="M-Mkt"), T161, IF(T161="Comdty",AS161, _xll.BDP(R161&amp;" FIGI", $AM$1)))</f>
        <v>Financial</v>
      </c>
      <c r="AN161" s="126" t="str">
        <f>IF(OR(T161="Cash",T161="Cash Adjustments",T161="M-Mkt"), T161,  IF(T161="Comdty",AS161,_xll.BDP(R161&amp;" FIGI", $AN$1)))</f>
        <v>Real Estate</v>
      </c>
      <c r="AO161" s="126" t="str">
        <f>IF(OR(T161="Cash",T161="Cash Adjustments",T161="M-Mkt"), T161,  IF(T161="Comdty",AS161,_xll.BDP(R161&amp;" FIGI", $AO$1)))</f>
        <v>Real Estate Oper/Develop</v>
      </c>
      <c r="AP161" s="13" t="str">
        <f>IF(OR(T161="Cash",T161="Cash Adjustments"), T161, IF(_xll.BDP(R161&amp;" FIGI", $AP$1)="#N/A Field Not Applicable","N",_xll.BDP(R161&amp;" FIGI", $AP$1)))</f>
        <v>N</v>
      </c>
      <c r="AQ161" s="1" t="str">
        <f>IF(OR(T161="Cash",T161="Cash Adjustments"), T161, IF(_xll.BDP(R161&amp;" FIGI", $AQ$1)="#N/A Field Not Applicable"," ",_xll.BDP(R161&amp;" FIGI", $AQ$1)))</f>
        <v xml:space="preserve"> </v>
      </c>
      <c r="AR161" s="1" t="str">
        <f>IF(OR(T161="Cash",T161="Cash Adjustments"), T161, IF(_xll.BDP(R161&amp;" FIGI", $AR$1)="#N/A Field Not Applicable"," ",_xll.BDP(R161&amp;" FIGI", $AR$1)))</f>
        <v>ACTV</v>
      </c>
      <c r="AS161" s="1" t="str">
        <f>VLOOKUP(T161,'SFC Classifcation'!$F$2:$H$7,3,0)</f>
        <v>Corporate</v>
      </c>
      <c r="AT161" s="22" t="str">
        <f t="shared" si="48"/>
        <v>Financial</v>
      </c>
      <c r="AU161" s="1" t="str">
        <f t="shared" si="49"/>
        <v>Non-Investment Grade</v>
      </c>
      <c r="AV161" s="1" t="str">
        <f>IF(OR(T161="Cash",T161="Cash Adjustments"),T161,VLOOKUP(AL161,'SFC Classifcation'!$A:$C,3,0))</f>
        <v>China</v>
      </c>
      <c r="AW161" s="22" t="str">
        <f t="shared" si="50"/>
        <v>High</v>
      </c>
      <c r="AX161" s="22" t="str">
        <f t="shared" si="51"/>
        <v>High</v>
      </c>
      <c r="AY161" s="45" t="str">
        <f>IF(OR(T161="Cash",T161="Cash Adjustments"), T161, _xll.BDP(R161&amp;" FIGI", $AY$1))</f>
        <v>Real Estate</v>
      </c>
      <c r="AZ161" s="45" t="str">
        <f>IF(OR(T161="Cash",T161="Cash Adjustments"), T161, _xll.BDP(R161&amp;" FIGI", $AZ$1))</f>
        <v>FINANCIAL</v>
      </c>
      <c r="BA161" s="45" t="str">
        <f>IF(OR(T161="Cash",T161="Cash Adjustments"), T161, _xll.BDP(R161&amp;" FIGI", $BA$1))</f>
        <v>#N/A Field Not Applicable</v>
      </c>
      <c r="BB161" s="45">
        <f>IF(OR(AS161="Government",AS161="Corporate"),(AK161*AB161/'SFC Report'!$C$20),"")</f>
        <v>2.1883461623485246E-2</v>
      </c>
      <c r="BC161" s="174" t="str">
        <f>IF(OR(T161="Cash",T161="Cash Adjustments", T161="FX Forward", T161="Repo", T161="Equity", T161="M-Mkt"), "", _xll.BDP(R161&amp;" FIGI", $BC$1))</f>
        <v>7/16/2023</v>
      </c>
      <c r="BD161" s="125">
        <f ca="1">IF(OR(T161="Cash",T161="Cash Adjustments",T161="FX Forward",T161="Repo", T161="Equity", T161="M-Mkt"),"",(BC161-'SFC Report'!$B$13)/365)</f>
        <v>3.2109589041095892</v>
      </c>
      <c r="BE161" s="82" t="str">
        <f t="shared" ca="1" si="52"/>
        <v>3 - 5 yrs</v>
      </c>
      <c r="BF161" s="5">
        <f ca="1">IF(BC161="","",BD161*AB161/'SFC Report'!$C$20)</f>
        <v>8.7833619940838048E-3</v>
      </c>
      <c r="BG161" s="14" cm="1">
        <f t="array" ref="BG161">IF(OR(AS161="Corporate",AS161="Government"),_xll.BDP(G161&amp;" ISIN", $BG$1),"")</f>
        <v>2.7194619606034447</v>
      </c>
      <c r="BH161" s="140">
        <f>IF(OR(AS161="Corporate",AS161="Government"),BG161*BN161/'SFC Report'!$C$20,"")</f>
        <v>7.4389051814241778E-3</v>
      </c>
      <c r="BI161" s="140">
        <f>IF(OR(AS161="Corporate",AS161="Government"),_xll.BDP(G161&amp;" ISIN", $BI$1),"")</f>
        <v>6.7560575617395537</v>
      </c>
      <c r="BJ161" s="140">
        <f>IF(OR(AS161="Corporate",AS161="Government"),BI161*AB161/'SFC Report'!$C$20,"")</f>
        <v>1.8480740797298102E-2</v>
      </c>
      <c r="BK161" s="153" t="str">
        <f>IF(OR(T161="Cash",T161="Cash Adjustments"),"-",_xll.BDP(R161&amp;" FIGI",$BK$1))</f>
        <v>XS2027426027</v>
      </c>
      <c r="BL161" s="11" t="str">
        <f>IF(OR(AS161="Cash", AS161="Cash Adjustments"),"-",IF(ISNA(VLOOKUP(BK161,'BBG - VaR Data (Sample, Indus )'!C:N,5,0)),"-",VLOOKUP(BK161,'BBG - VaR Data (Sample, Indus )'!C:N,5,0)))</f>
        <v>-</v>
      </c>
      <c r="BM161" s="11" t="str">
        <f>IF(OR(AS161="Cash", AS161="Cash Adjustments"),"-",IF(ISNA(VLOOKUP(BK161,'BBG - Scenarios (Sample View)'!C:Z,14,0)),"-",VLOOKUP(BK161,'BBG - Scenarios (Sample View)'!C:Z,14,0)))</f>
        <v>-</v>
      </c>
      <c r="BN161" s="14">
        <f t="shared" si="53"/>
        <v>1505665.305727554</v>
      </c>
      <c r="BO161" s="1">
        <f t="shared" si="54"/>
        <v>2.9535866493106979E-3</v>
      </c>
      <c r="BP161" t="str">
        <f>IF(BC161&lt;&gt;0,MaturityBucket(BG161),"")</f>
        <v>2 - 3 yrs</v>
      </c>
      <c r="BQ161" s="11" t="str">
        <f>IF(OR(T161="Cash",T161="Cash Adjustments"),T161,VLOOKUP(AL161,'SFC Classifcation'!$A:$C,2,0))</f>
        <v>China</v>
      </c>
      <c r="BR161" s="1" t="e">
        <f>IF(S161="Bond",BH161/'SFC Report'!$B$7,"")</f>
        <v>#VALUE!</v>
      </c>
      <c r="BS161" t="str">
        <f>IF(OR(T161="Cash",T161="Cash Adjustments"),"-",_xll.BDP(R161&amp;" FIGI",$BS$1))</f>
        <v>7/8/2019</v>
      </c>
      <c r="BT161" t="str">
        <f>IF(OR(T161="Cash",T161="Cash Adjustments"),"-",_xll.BDP(R161&amp;" FIGI",$BT$1))</f>
        <v>7/9/2019</v>
      </c>
      <c r="BU161" t="str">
        <f>IF(OR(T161="Cash",T161="Cash Adjustments"),"-",_xll.BDP(R161&amp;" FIGI",$BU$1))</f>
        <v>7/10/2019</v>
      </c>
    </row>
    <row r="162" spans="1:73">
      <c r="A162" s="254" t="s">
        <v>15</v>
      </c>
      <c r="B162" s="254" t="s">
        <v>25</v>
      </c>
      <c r="C162" s="254" t="s">
        <v>46</v>
      </c>
      <c r="D162" s="254" t="s">
        <v>22</v>
      </c>
      <c r="E162" s="254"/>
      <c r="F162" s="254" t="s">
        <v>110</v>
      </c>
      <c r="G162" s="254" t="s">
        <v>111</v>
      </c>
      <c r="H162" s="270">
        <v>5000000</v>
      </c>
      <c r="I162" s="270">
        <v>101.51900000000001</v>
      </c>
      <c r="J162" s="270">
        <v>4994791.66</v>
      </c>
      <c r="K162" s="270">
        <v>39195129.159999996</v>
      </c>
      <c r="L162" s="270">
        <v>144498.53</v>
      </c>
      <c r="M162" s="270">
        <v>566329.72</v>
      </c>
      <c r="N162" s="270">
        <v>39339627.689999998</v>
      </c>
      <c r="O162" s="255">
        <v>8.6E-3</v>
      </c>
      <c r="Q162" s="1" t="str">
        <f t="shared" si="46"/>
        <v>Investments</v>
      </c>
      <c r="R162" s="1" t="str">
        <f>_xll.BDP(G162&amp;" ISIN",$R$1)</f>
        <v>BBG00NB7K829</v>
      </c>
      <c r="S162" s="1" t="str">
        <f>IF(Q162="Cash",Q162,IF(OR(Q162="Receivable Investments",Q162="Payable Investments"),"Cash Adjustments",_xll.BDP(R162&amp;" FIGI",$S$1)))</f>
        <v>BOND</v>
      </c>
      <c r="T162" s="1" t="str">
        <f>IF(Q162="Cash",Q162,IF(OR(Q162="Receivable Investments",Q162="Payable Investments"),"Cash Adjustments",VLOOKUP(R162,LQA!E:S,3,0)))</f>
        <v>Corp</v>
      </c>
      <c r="U162" s="1" t="str">
        <f>IF(Q162="Cash",Q162,IF(OR(Q162="Receivable Investments",Q162="Payable Investments"),"Cash Adjustments",_xll.BDP(R162&amp;" FIGI",$U$1)))</f>
        <v>#N/A Field Not Applicable</v>
      </c>
      <c r="V162" s="10">
        <f>IF(OR(Q162="Cash",Q162="Receivable Investments",Q162="Payable Investments"),0,IF(Q162="Investments",VLOOKUP(R162,LQA!E:Q,12,0),"Not Covered"))</f>
        <v>0.3</v>
      </c>
      <c r="W162" s="76">
        <f>IF(OR(Q162="Cash",Q162="Receivable Investments",Q162="Payable Investments"),0,IF(Q162="Investments",VLOOKUP(R162,LQA!E:Q,9,0),"Not Covered"))</f>
        <v>8.0129999999999993E-3</v>
      </c>
      <c r="X162" s="13" t="str">
        <f>IF(OR(H162=0,T165="Comdty"),"High",IF(V162&lt;='Liquidity Bucket'!$A$4,'Liquidity Bucket'!$I$4,IF(V162&lt;='Liquidity Bucket'!$A$5,'Liquidity Bucket'!$I$5,IF(V162&lt;='Liquidity Bucket'!$A$6,'Liquidity Bucket'!$I$6,IF(V162='Liquidity Bucket'!$A$8,'Liquidity Bucket'!$I$8,'Liquidity Bucket'!$I$7)))))</f>
        <v>High</v>
      </c>
      <c r="Y162" s="153">
        <f>IF(OR(Q162="Cash",Q162="Receivable Investments",Q162="Payable Investments"),0,IF(Q162="Investments",VLOOKUP(R162,'LQA Stress'!E:Q,12,0),"Not Covered"))</f>
        <v>2</v>
      </c>
      <c r="Z162" s="75">
        <f>IF(OR(Q162="Cash",Q162="Receivable Investments",Q162="Payable Investments"),0,IF(Q162="Investments",VLOOKUP(R162,'LQA Stress'!E:Q,9,0),"Not Covered"))</f>
        <v>2.1260000000000001E-2</v>
      </c>
      <c r="AA162" s="13" t="str">
        <f>IF(T165="Comdty","High",IF(Y162&lt;='Liquidity Bucket'!$A$4,'Liquidity Bucket'!$I$4,IF(Y162&lt;='Liquidity Bucket'!$A$5,'Liquidity Bucket'!$I$5,IF(Y162&lt;='Liquidity Bucket'!$A$6,'Liquidity Bucket'!$I$6,IF(Y162='Liquidity Bucket'!$A$8,'Liquidity Bucket'!$I$8,'Liquidity Bucket'!$I$7)))))</f>
        <v>High</v>
      </c>
      <c r="AB162" s="14">
        <f>(N162+M162)/'FX Rates'!$C$5</f>
        <v>5147827.3232714133</v>
      </c>
      <c r="AC162" s="15" t="str">
        <f>IF(X162="Not Covered", (H162/_xll.BDP(R162&amp;" FIGI",$AC$1)),"")</f>
        <v/>
      </c>
      <c r="AD162" s="16" t="str">
        <f>IF(X162="Not Covered", _xll.BDP(R162&amp;" FIGI",$AD$1),"")</f>
        <v/>
      </c>
      <c r="AE162" s="16" t="str">
        <f>IF(OR(T162="Corp",T162="Govt"),IF(_xll.BDP(R162&amp;" FIGI",$AE$1)="#N/A N/A","",_xll.BDP(R162&amp;" FIGI",$AE$1)),"")</f>
        <v/>
      </c>
      <c r="AF162" s="1" t="str">
        <f>IF(OR(T162="Corp",T162="Govt"),IF(_xll.BDP(R162&amp;" FIGI",$AF$1)="#N/A N/A","",_xll.BDP(R162&amp;" FIGI",$AF$1)),"")</f>
        <v>B1</v>
      </c>
      <c r="AG162" s="16" t="str">
        <f>IF(OR(T162="Corp",T162="Govt"),IF(_xll.BDP(R162&amp;" FIGI",$AG$1)="#N/A N/A","",_xll.BDP(R162&amp;" FIGI",$AG$1)),"")</f>
        <v>BB-</v>
      </c>
      <c r="AH162" s="125">
        <f>IF(OR(S162="Cash",S162="M-Mkt"),21,IF(AE162="",0,VLOOKUP(AE162,'Rating Scale'!A:B,2,0)))</f>
        <v>0</v>
      </c>
      <c r="AI162" s="125">
        <f>IF(OR(S162="Cash",S162="M-Mkt"),21,IF(AF162="",0,VLOOKUP(AF162,'Rating Scale'!D:E,2,0)))</f>
        <v>8</v>
      </c>
      <c r="AJ162" s="125">
        <f>IF(OR(S162="Cash",S162="M-Mkt"),21,IF(AG162="",0,VLOOKUP(AG162,'Rating Scale'!G:H,2,0)))</f>
        <v>9</v>
      </c>
      <c r="AK162">
        <f t="shared" si="47"/>
        <v>8</v>
      </c>
      <c r="AL162" s="1" t="str">
        <f>IF(OR(U162="Cash",U162="Cash Adjustments"),_xll.BDP(G162&amp;" Curncy","Country"),IF(T162="Equity",_xll.BDP(R162&amp;" FIGI","CNTRY_ISSUE_ISO"),_xll.BDP(R162&amp;" FIGI",$AL$1)))</f>
        <v>CN</v>
      </c>
      <c r="AM162" s="126" t="str">
        <f>IF(OR(T162="Cash",T162="Cash Adjustments",T162="M-Mkt"), T162, IF(T162="Comdty",AS162, _xll.BDP(R162&amp;" FIGI", $AM$1)))</f>
        <v>Financial</v>
      </c>
      <c r="AN162" s="126" t="str">
        <f>IF(OR(T162="Cash",T162="Cash Adjustments",T162="M-Mkt"), T162,  IF(T162="Comdty",AS162,_xll.BDP(R162&amp;" FIGI", $AN$1)))</f>
        <v>Real Estate</v>
      </c>
      <c r="AO162" s="126" t="str">
        <f>IF(OR(T162="Cash",T162="Cash Adjustments",T162="M-Mkt"), T162,  IF(T162="Comdty",AS162,_xll.BDP(R162&amp;" FIGI", $AO$1)))</f>
        <v>Real Estate Oper/Develop</v>
      </c>
      <c r="AP162" s="13" t="str">
        <f>IF(OR(T162="Cash",T162="Cash Adjustments"), T162, IF(_xll.BDP(R162&amp;" FIGI", $AP$1)="#N/A Field Not Applicable","N",_xll.BDP(R162&amp;" FIGI", $AP$1)))</f>
        <v>N</v>
      </c>
      <c r="AQ162" s="1" t="str">
        <f>IF(OR(T162="Cash",T162="Cash Adjustments"), T162, IF(_xll.BDP(R162&amp;" FIGI", $AQ$1)="#N/A Field Not Applicable"," ",_xll.BDP(R162&amp;" FIGI", $AQ$1)))</f>
        <v xml:space="preserve"> </v>
      </c>
      <c r="AR162" s="1" t="str">
        <f>IF(OR(T162="Cash",T162="Cash Adjustments"), T162, IF(_xll.BDP(R162&amp;" FIGI", $AR$1)="#N/A Field Not Applicable"," ",_xll.BDP(R162&amp;" FIGI", $AR$1)))</f>
        <v>ACTV</v>
      </c>
      <c r="AS162" s="1" t="str">
        <f>VLOOKUP(T162,'SFC Classifcation'!$F$2:$H$7,3,0)</f>
        <v>Corporate</v>
      </c>
      <c r="AT162" s="22" t="str">
        <f t="shared" si="48"/>
        <v>Financial</v>
      </c>
      <c r="AU162" s="1" t="str">
        <f t="shared" si="49"/>
        <v>Non-Investment Grade</v>
      </c>
      <c r="AV162" s="1" t="str">
        <f>IF(OR(T162="Cash",T162="Cash Adjustments"),T162,VLOOKUP(AL162,'SFC Classifcation'!$A:$C,3,0))</f>
        <v>China</v>
      </c>
      <c r="AW162" s="22" t="str">
        <f t="shared" si="50"/>
        <v>High</v>
      </c>
      <c r="AX162" s="22" t="str">
        <f t="shared" si="51"/>
        <v>High</v>
      </c>
      <c r="AY162" s="45" t="str">
        <f>IF(OR(T162="Cash",T162="Cash Adjustments"), T162, _xll.BDP(R162&amp;" FIGI", $AY$1))</f>
        <v>Real Estate</v>
      </c>
      <c r="AZ162" s="45" t="str">
        <f>IF(OR(T162="Cash",T162="Cash Adjustments"), T162, _xll.BDP(R162&amp;" FIGI", $AZ$1))</f>
        <v>FINANCIAL</v>
      </c>
      <c r="BA162" s="45" t="str">
        <f>IF(OR(T162="Cash",T162="Cash Adjustments"), T162, _xll.BDP(R162&amp;" FIGI", $BA$1))</f>
        <v>#N/A Field Not Applicable</v>
      </c>
      <c r="BB162" s="45">
        <f>IF(OR(AS162="Government",AS162="Corporate"),(AK162*AB162/'SFC Report'!$C$20),"")</f>
        <v>7.481893967046277E-2</v>
      </c>
      <c r="BC162" s="174" t="str">
        <f>IF(OR(T162="Cash",T162="Cash Adjustments", T162="FX Forward", T162="Repo", T162="Equity", T162="M-Mkt"), "", _xll.BDP(R162&amp;" FIGI", $BC$1))</f>
        <v>2/21/2022</v>
      </c>
      <c r="BD162" s="125">
        <f ca="1">IF(OR(T162="Cash",T162="Cash Adjustments",T162="FX Forward",T162="Repo", T162="Equity", T162="M-Mkt"),"",(BC162-'SFC Report'!$B$13)/365)</f>
        <v>1.8136986301369864</v>
      </c>
      <c r="BE162" s="82" t="str">
        <f t="shared" ca="1" si="52"/>
        <v>1 - 2 yrs</v>
      </c>
      <c r="BF162" s="5">
        <f ca="1">IF(BC162="","",BD162*AB162/'SFC Report'!$C$20)</f>
        <v>1.6962376048577518E-2</v>
      </c>
      <c r="BG162" s="14" cm="1">
        <f t="array" ref="BG162">IF(OR(AS162="Corporate",AS162="Government"),_xll.BDP(G162&amp;" ISIN", $BG$1),"")</f>
        <v>0.69370282103818759</v>
      </c>
      <c r="BH162" s="140">
        <f>IF(OR(AS162="Corporate",AS162="Government"),BG162*BN162/'SFC Report'!$C$20,"")</f>
        <v>6.4877636895607485E-3</v>
      </c>
      <c r="BI162" s="140">
        <f>IF(OR(AS162="Corporate",AS162="Government"),_xll.BDP(G162&amp;" ISIN", $BI$1),"")</f>
        <v>6.4168030382869619</v>
      </c>
      <c r="BJ162" s="140">
        <f>IF(OR(AS162="Corporate",AS162="Government"),BI162*AB162/'SFC Report'!$C$20,"")</f>
        <v>6.0012299924854302E-2</v>
      </c>
      <c r="BK162" s="153" t="str">
        <f>IF(OR(T162="Cash",T162="Cash Adjustments"),"-",_xll.BDP(R162&amp;" FIGI",$BK$1))</f>
        <v>XS1945401674</v>
      </c>
      <c r="BL162" s="11" t="str">
        <f>IF(OR(AS162="Cash", AS162="Cash Adjustments"),"-",IF(ISNA(VLOOKUP(BK162,'BBG - VaR Data (Sample, Indus )'!C:N,5,0)),"-",VLOOKUP(BK162,'BBG - VaR Data (Sample, Indus )'!C:N,5,0)))</f>
        <v>-</v>
      </c>
      <c r="BM162" s="11">
        <f>IF(OR(AS162="Cash", AS162="Cash Adjustments"),"-",IF(ISNA(VLOOKUP(BK162,'BBG - Scenarios (Sample View)'!C:Z,14,0)),"-",VLOOKUP(BK162,'BBG - Scenarios (Sample View)'!C:Z,14,0)))</f>
        <v>-1.75</v>
      </c>
      <c r="BN162" s="14">
        <f t="shared" si="53"/>
        <v>5147827.3232714133</v>
      </c>
      <c r="BO162" s="1">
        <f t="shared" si="54"/>
        <v>1.0098229664410222E-2</v>
      </c>
      <c r="BP162" t="str">
        <f>IF(BC162&lt;&gt;0,MaturityBucket(BG162),"")</f>
        <v>0 - 1 yr</v>
      </c>
      <c r="BQ162" s="11" t="str">
        <f>IF(OR(T162="Cash",T162="Cash Adjustments"),T162,VLOOKUP(AL162,'SFC Classifcation'!$A:$C,2,0))</f>
        <v>China</v>
      </c>
      <c r="BR162" s="1" t="e">
        <f>IF(S162="Bond",BH162/'SFC Report'!$B$7,"")</f>
        <v>#VALUE!</v>
      </c>
      <c r="BS162" t="str">
        <f>IF(OR(T162="Cash",T162="Cash Adjustments"),"-",_xll.BDP(R162&amp;" FIGI",$BS$1))</f>
        <v>#N/A N/A</v>
      </c>
      <c r="BT162" t="str">
        <f>IF(OR(T162="Cash",T162="Cash Adjustments"),"-",_xll.BDP(R162&amp;" FIGI",$BT$1))</f>
        <v>2/13/2019</v>
      </c>
      <c r="BU162" t="str">
        <f>IF(OR(T162="Cash",T162="Cash Adjustments"),"-",_xll.BDP(R162&amp;" FIGI",$BU$1))</f>
        <v>2/14/2019</v>
      </c>
    </row>
    <row r="163" spans="1:73">
      <c r="A163" s="254" t="s">
        <v>15</v>
      </c>
      <c r="B163" s="254" t="s">
        <v>25</v>
      </c>
      <c r="C163" s="254" t="s">
        <v>46</v>
      </c>
      <c r="D163" s="254" t="s">
        <v>22</v>
      </c>
      <c r="E163" s="254"/>
      <c r="F163" s="254" t="s">
        <v>1353</v>
      </c>
      <c r="G163" s="254" t="s">
        <v>1354</v>
      </c>
      <c r="H163" s="270">
        <v>2000000</v>
      </c>
      <c r="I163" s="270">
        <v>101.461</v>
      </c>
      <c r="J163" s="270">
        <v>1846333.34</v>
      </c>
      <c r="K163" s="270">
        <v>14321083.439999999</v>
      </c>
      <c r="L163" s="270">
        <v>1405777.4</v>
      </c>
      <c r="M163" s="270">
        <v>493472.46</v>
      </c>
      <c r="N163" s="270">
        <v>15726860.84</v>
      </c>
      <c r="O163" s="255">
        <v>3.5000000000000001E-3</v>
      </c>
      <c r="Q163" s="1" t="str">
        <f t="shared" ref="Q163:Q167" si="55">IF(B163="Cash Long","Cash",A163)</f>
        <v>Investments</v>
      </c>
      <c r="R163" s="1" t="str">
        <f>_xll.BDP(G163&amp;" ISIN",$R$1)</f>
        <v>BBG00L1B1VB5</v>
      </c>
      <c r="S163" s="1" t="str">
        <f>IF(Q163="Cash",Q163,IF(OR(Q163="Receivable Investments",Q163="Payable Investments"),"Cash Adjustments",_xll.BDP(R163&amp;" FIGI",$S$1)))</f>
        <v>BOND</v>
      </c>
      <c r="T163" s="1" t="str">
        <f>IF(Q163="Cash",Q163,IF(OR(Q163="Receivable Investments",Q163="Payable Investments"),"Cash Adjustments",VLOOKUP(R163,LQA!E:S,3,0)))</f>
        <v>Corp</v>
      </c>
      <c r="U163" s="1" t="str">
        <f>IF(Q163="Cash",Q163,IF(OR(Q163="Receivable Investments",Q163="Payable Investments"),"Cash Adjustments",_xll.BDP(R163&amp;" FIGI",$U$1)))</f>
        <v>#N/A Field Not Applicable</v>
      </c>
      <c r="V163" s="10">
        <f>IF(OR(Q163="Cash",Q163="Receivable Investments",Q163="Payable Investments"),0,IF(Q163="Investments",VLOOKUP(R163,LQA!E:Q,12,0),"Not Covered"))</f>
        <v>0.3</v>
      </c>
      <c r="W163" s="76">
        <f>IF(OR(Q163="Cash",Q163="Receivable Investments",Q163="Payable Investments"),0,IF(Q163="Investments",VLOOKUP(R163,LQA!E:Q,9,0),"Not Covered"))</f>
        <v>5.3670000000000002E-3</v>
      </c>
      <c r="X163" s="13" t="str">
        <f>IF(OR(H163=0,T166="Comdty"),"High",IF(V163&lt;='Liquidity Bucket'!$A$4,'Liquidity Bucket'!$I$4,IF(V163&lt;='Liquidity Bucket'!$A$5,'Liquidity Bucket'!$I$5,IF(V163&lt;='Liquidity Bucket'!$A$6,'Liquidity Bucket'!$I$6,IF(V163='Liquidity Bucket'!$A$8,'Liquidity Bucket'!$I$8,'Liquidity Bucket'!$I$7)))))</f>
        <v>High</v>
      </c>
      <c r="Y163" s="153">
        <f>IF(OR(Q163="Cash",Q163="Receivable Investments",Q163="Payable Investments"),0,IF(Q163="Investments",VLOOKUP(R163,'LQA Stress'!E:Q,12,0),"Not Covered"))</f>
        <v>0.6</v>
      </c>
      <c r="Z163" s="75">
        <f>IF(OR(Q163="Cash",Q163="Receivable Investments",Q163="Payable Investments"),0,IF(Q163="Investments",VLOOKUP(R163,'LQA Stress'!E:Q,9,0),"Not Covered"))</f>
        <v>1.4429000000000001E-2</v>
      </c>
      <c r="AA163" s="13" t="str">
        <f>IF(T166="Comdty","High",IF(Y163&lt;='Liquidity Bucket'!$A$4,'Liquidity Bucket'!$I$4,IF(Y163&lt;='Liquidity Bucket'!$A$5,'Liquidity Bucket'!$I$5,IF(Y163&lt;='Liquidity Bucket'!$A$6,'Liquidity Bucket'!$I$6,IF(Y163='Liquidity Bucket'!$A$8,'Liquidity Bucket'!$I$8,'Liquidity Bucket'!$I$7)))))</f>
        <v>High</v>
      </c>
      <c r="AB163" s="14">
        <f>(N163+M163)/'FX Rates'!$C$5</f>
        <v>2092406.2564499485</v>
      </c>
      <c r="AC163" s="15" t="str">
        <f>IF(X163="Not Covered", (H163/_xll.BDP(R163&amp;" FIGI",$AC$1)),"")</f>
        <v/>
      </c>
      <c r="AD163" s="16" t="str">
        <f>IF(X163="Not Covered", _xll.BDP(R163&amp;" FIGI",$AD$1),"")</f>
        <v/>
      </c>
      <c r="AE163" s="16" t="str">
        <f>IF(OR(T163="Corp",T163="Govt"),IF(_xll.BDP(R163&amp;" FIGI",$AE$1)="#N/A N/A","",_xll.BDP(R163&amp;" FIGI",$AE$1)),"")</f>
        <v/>
      </c>
      <c r="AF163" s="1" t="str">
        <f>IF(OR(T163="Corp",T163="Govt"),IF(_xll.BDP(R163&amp;" FIGI",$AF$1)="#N/A N/A","",_xll.BDP(R163&amp;" FIGI",$AF$1)),"")</f>
        <v>B1</v>
      </c>
      <c r="AG163" s="16" t="str">
        <f>IF(OR(T163="Corp",T163="Govt"),IF(_xll.BDP(R163&amp;" FIGI",$AG$1)="#N/A N/A","",_xll.BDP(R163&amp;" FIGI",$AG$1)),"")</f>
        <v>BB-</v>
      </c>
      <c r="AH163" s="125">
        <f>IF(OR(S163="Cash",S163="M-Mkt"),21,IF(AE163="",0,VLOOKUP(AE163,'Rating Scale'!A:B,2,0)))</f>
        <v>0</v>
      </c>
      <c r="AI163" s="125">
        <f>IF(OR(S163="Cash",S163="M-Mkt"),21,IF(AF163="",0,VLOOKUP(AF163,'Rating Scale'!D:E,2,0)))</f>
        <v>8</v>
      </c>
      <c r="AJ163" s="125">
        <f>IF(OR(S163="Cash",S163="M-Mkt"),21,IF(AG163="",0,VLOOKUP(AG163,'Rating Scale'!G:H,2,0)))</f>
        <v>9</v>
      </c>
      <c r="AK163">
        <f t="shared" ref="AK163:AK167" si="56">Rating(AH163,AI163,AJ163)</f>
        <v>8</v>
      </c>
      <c r="AL163" s="1" t="str">
        <f>IF(OR(U163="Cash",U163="Cash Adjustments"),_xll.BDP(G163&amp;" Curncy","Country"),IF(T163="Equity",_xll.BDP(R163&amp;" FIGI","CNTRY_ISSUE_ISO"),_xll.BDP(R163&amp;" FIGI",$AL$1)))</f>
        <v>CN</v>
      </c>
      <c r="AM163" s="126" t="str">
        <f>IF(OR(T163="Cash",T163="Cash Adjustments",T163="M-Mkt"), T163, IF(T163="Comdty",AS163, _xll.BDP(R163&amp;" FIGI", $AM$1)))</f>
        <v>Financial</v>
      </c>
      <c r="AN163" s="126" t="str">
        <f>IF(OR(T163="Cash",T163="Cash Adjustments",T163="M-Mkt"), T163,  IF(T163="Comdty",AS163,_xll.BDP(R163&amp;" FIGI", $AN$1)))</f>
        <v>Real Estate</v>
      </c>
      <c r="AO163" s="126" t="str">
        <f>IF(OR(T163="Cash",T163="Cash Adjustments",T163="M-Mkt"), T163,  IF(T163="Comdty",AS163,_xll.BDP(R163&amp;" FIGI", $AO$1)))</f>
        <v>Real Estate Oper/Develop</v>
      </c>
      <c r="AP163" s="13" t="str">
        <f>IF(OR(T163="Cash",T163="Cash Adjustments"), T163, IF(_xll.BDP(R163&amp;" FIGI", $AP$1)="#N/A Field Not Applicable","N",_xll.BDP(R163&amp;" FIGI", $AP$1)))</f>
        <v>N</v>
      </c>
      <c r="AQ163" s="1" t="str">
        <f>IF(OR(T163="Cash",T163="Cash Adjustments"), T163, IF(_xll.BDP(R163&amp;" FIGI", $AQ$1)="#N/A Field Not Applicable"," ",_xll.BDP(R163&amp;" FIGI", $AQ$1)))</f>
        <v xml:space="preserve"> </v>
      </c>
      <c r="AR163" s="1" t="str">
        <f>IF(OR(T163="Cash",T163="Cash Adjustments"), T163, IF(_xll.BDP(R163&amp;" FIGI", $AR$1)="#N/A Field Not Applicable"," ",_xll.BDP(R163&amp;" FIGI", $AR$1)))</f>
        <v>ACTV</v>
      </c>
      <c r="AS163" s="1" t="str">
        <f>VLOOKUP(T163,'SFC Classifcation'!$F$2:$H$7,3,0)</f>
        <v>Corporate</v>
      </c>
      <c r="AT163" s="22" t="str">
        <f t="shared" ref="AT163:AT167" si="57">IF(OR(T163="Cash",T163="Cash Adjustments"),T163, IF(AM163&lt;&gt;"Financial","Non-Financial","Financial"))</f>
        <v>Financial</v>
      </c>
      <c r="AU163" s="1" t="str">
        <f t="shared" ref="AU163:AU167" si="58">IF(OR(T163="Cash",T163="Cash Adjustments",T163="Equity", T163="Comdty"),"",IF(AK163&gt;=12,"Investment Grade", "Non-Investment Grade"))</f>
        <v>Non-Investment Grade</v>
      </c>
      <c r="AV163" s="1" t="str">
        <f>IF(OR(T163="Cash",T163="Cash Adjustments"),T163,VLOOKUP(AL163,'SFC Classifcation'!$A:$C,3,0))</f>
        <v>China</v>
      </c>
      <c r="AW163" s="22" t="str">
        <f t="shared" ref="AW163:AW167" si="59">LQBucket(X163,AK163,AD163,AC163)</f>
        <v>High</v>
      </c>
      <c r="AX163" s="22" t="str">
        <f t="shared" ref="AX163:AX167" si="60">LQBucket(AA163,AK163,AD163,AC163)</f>
        <v>High</v>
      </c>
      <c r="AY163" s="45" t="str">
        <f>IF(OR(T163="Cash",T163="Cash Adjustments"), T163, _xll.BDP(R163&amp;" FIGI", $AY$1))</f>
        <v>Real Estate</v>
      </c>
      <c r="AZ163" s="45" t="str">
        <f>IF(OR(T163="Cash",T163="Cash Adjustments"), T163, _xll.BDP(R163&amp;" FIGI", $AZ$1))</f>
        <v>FINANCIAL</v>
      </c>
      <c r="BA163" s="45" t="str">
        <f>IF(OR(T163="Cash",T163="Cash Adjustments"), T163, _xll.BDP(R163&amp;" FIGI", $BA$1))</f>
        <v>#N/A Field Not Applicable</v>
      </c>
      <c r="BB163" s="45">
        <f>IF(OR(AS163="Government",AS163="Corporate"),(AK163*AB163/'SFC Report'!$C$20),"")</f>
        <v>3.0411202170615922E-2</v>
      </c>
      <c r="BC163" s="174" t="str">
        <f>IF(OR(T163="Cash",T163="Cash Adjustments", T163="FX Forward", T163="Repo", T163="Equity", T163="M-Mkt"), "", _xll.BDP(R163&amp;" FIGI", $BC$1))</f>
        <v>6/4/2021</v>
      </c>
      <c r="BD163" s="125">
        <f ca="1">IF(OR(T163="Cash",T163="Cash Adjustments",T163="FX Forward",T163="Repo", T163="Equity", T163="M-Mkt"),"",(BC163-'SFC Report'!$B$13)/365)</f>
        <v>1.095890410958904</v>
      </c>
      <c r="BE163" s="82" t="str">
        <f t="shared" ref="BE163:BE167" ca="1" si="61">IF(BC163&lt;&gt;0,MaturityBucket(BD163),"")</f>
        <v>1 - 2 yrs</v>
      </c>
      <c r="BF163" s="5">
        <f ca="1">IF(BC163="","",BD163*AB163/'SFC Report'!$C$20)</f>
        <v>4.1659181055638244E-3</v>
      </c>
      <c r="BG163" s="14" cm="1">
        <f t="array" ref="BG163">IF(OR(AS163="Corporate",AS163="Government"),_xll.BDP(G163&amp;" ISIN", $BG$1),"")</f>
        <v>6.8564699366669341E-2</v>
      </c>
      <c r="BH163" s="140">
        <f>IF(OR(AS163="Corporate",AS163="Government"),BG163*BN163/'SFC Report'!$C$20,"")</f>
        <v>2.6064186677591036E-4</v>
      </c>
      <c r="BI163" s="140">
        <f>IF(OR(AS163="Corporate",AS163="Government"),_xll.BDP(G163&amp;" ISIN", $BI$1),"")</f>
        <v>6.0512860522973684</v>
      </c>
      <c r="BJ163" s="140">
        <f>IF(OR(AS163="Corporate",AS163="Government"),BI163*AB163/'SFC Report'!$C$20,"")</f>
        <v>2.3003360441080447E-2</v>
      </c>
      <c r="BK163" s="153" t="str">
        <f>IF(OR(T163="Cash",T163="Cash Adjustments"),"-",_xll.BDP(R163&amp;" FIGI",$BK$1))</f>
        <v>XS1831884702</v>
      </c>
      <c r="BL163" s="11" t="str">
        <f>IF(OR(AS163="Cash", AS163="Cash Adjustments"),"-",IF(ISNA(VLOOKUP(BK163,'BBG - VaR Data (Sample, Indus )'!C:N,5,0)),"-",VLOOKUP(BK163,'BBG - VaR Data (Sample, Indus )'!C:N,5,0)))</f>
        <v>-</v>
      </c>
      <c r="BM163" s="11">
        <f>IF(OR(AS163="Cash", AS163="Cash Adjustments"),"-",IF(ISNA(VLOOKUP(BK163,'BBG - Scenarios (Sample View)'!C:Z,14,0)),"-",VLOOKUP(BK163,'BBG - Scenarios (Sample View)'!C:Z,14,0)))</f>
        <v>-0.17</v>
      </c>
      <c r="BN163" s="14">
        <f t="shared" ref="BN163:BN167" si="62">AB163</f>
        <v>2092406.2564499485</v>
      </c>
      <c r="BO163" s="1">
        <f t="shared" ref="BO163:BO167" si="63">BN163/SUM($BN$2:$BN$154)</f>
        <v>4.1045663737323415E-3</v>
      </c>
      <c r="BP163" t="str">
        <f>IF(BC163&lt;&gt;0,MaturityBucket(BG163),"")</f>
        <v>0 - 1 yr</v>
      </c>
      <c r="BQ163" s="11" t="str">
        <f>IF(OR(T163="Cash",T163="Cash Adjustments"),T163,VLOOKUP(AL163,'SFC Classifcation'!$A:$C,2,0))</f>
        <v>China</v>
      </c>
      <c r="BR163" s="1" t="e">
        <f>IF(S163="Bond",BH163/'SFC Report'!$B$7,"")</f>
        <v>#VALUE!</v>
      </c>
      <c r="BS163" t="str">
        <f>IF(OR(T163="Cash",T163="Cash Adjustments"),"-",_xll.BDP(R163&amp;" FIGI",$BS$1))</f>
        <v>#N/A N/A</v>
      </c>
      <c r="BT163" t="str">
        <f>IF(OR(T163="Cash",T163="Cash Adjustments"),"-",_xll.BDP(R163&amp;" FIGI",$BT$1))</f>
        <v>5/28/2018</v>
      </c>
      <c r="BU163" t="str">
        <f>IF(OR(T163="Cash",T163="Cash Adjustments"),"-",_xll.BDP(R163&amp;" FIGI",$BU$1))</f>
        <v>5/29/2018</v>
      </c>
    </row>
    <row r="164" spans="1:73">
      <c r="A164" s="254" t="s">
        <v>15</v>
      </c>
      <c r="B164" s="254" t="s">
        <v>25</v>
      </c>
      <c r="C164" s="254" t="s">
        <v>46</v>
      </c>
      <c r="D164" s="254" t="s">
        <v>22</v>
      </c>
      <c r="E164" s="254"/>
      <c r="F164" s="254" t="s">
        <v>1954</v>
      </c>
      <c r="G164" s="254" t="s">
        <v>1955</v>
      </c>
      <c r="H164" s="270">
        <v>1300000</v>
      </c>
      <c r="I164" s="270">
        <v>91.524000000000001</v>
      </c>
      <c r="J164" s="270">
        <v>1138000</v>
      </c>
      <c r="K164" s="270">
        <v>8821729</v>
      </c>
      <c r="L164" s="270">
        <v>399551.96</v>
      </c>
      <c r="M164" s="270">
        <v>209341.51</v>
      </c>
      <c r="N164" s="270">
        <v>9221280.9600000009</v>
      </c>
      <c r="O164" s="255">
        <v>2E-3</v>
      </c>
      <c r="Q164" s="1" t="str">
        <f t="shared" si="55"/>
        <v>Investments</v>
      </c>
      <c r="R164" s="1" t="str">
        <f>_xll.BDP(G164&amp;" ISIN",$R$1)</f>
        <v>BBG00PKGTF65</v>
      </c>
      <c r="S164" s="1" t="str">
        <f>IF(Q164="Cash",Q164,IF(OR(Q164="Receivable Investments",Q164="Payable Investments"),"Cash Adjustments",_xll.BDP(R164&amp;" FIGI",$S$1)))</f>
        <v>BOND</v>
      </c>
      <c r="T164" s="1" t="str">
        <f>IF(Q164="Cash",Q164,IF(OR(Q164="Receivable Investments",Q164="Payable Investments"),"Cash Adjustments",VLOOKUP(R164,LQA!E:S,3,0)))</f>
        <v>Corp</v>
      </c>
      <c r="U164" s="1" t="str">
        <f>IF(Q164="Cash",Q164,IF(OR(Q164="Receivable Investments",Q164="Payable Investments"),"Cash Adjustments",_xll.BDP(R164&amp;" FIGI",$U$1)))</f>
        <v>#N/A Field Not Applicable</v>
      </c>
      <c r="V164" s="10">
        <f>IF(OR(Q164="Cash",Q164="Receivable Investments",Q164="Payable Investments"),0,IF(Q164="Investments",VLOOKUP(R164,LQA!E:Q,12,0),"Not Covered"))</f>
        <v>0.5</v>
      </c>
      <c r="W164" s="76">
        <f>IF(OR(Q164="Cash",Q164="Receivable Investments",Q164="Payable Investments"),0,IF(Q164="Investments",VLOOKUP(R164,LQA!E:Q,9,0),"Not Covered"))</f>
        <v>2.7869999999999999E-2</v>
      </c>
      <c r="X164" s="13" t="str">
        <f>IF(OR(H164=0,T167="Comdty"),"High",IF(V164&lt;='Liquidity Bucket'!$A$4,'Liquidity Bucket'!$I$4,IF(V164&lt;='Liquidity Bucket'!$A$5,'Liquidity Bucket'!$I$5,IF(V164&lt;='Liquidity Bucket'!$A$6,'Liquidity Bucket'!$I$6,IF(V164='Liquidity Bucket'!$A$8,'Liquidity Bucket'!$I$8,'Liquidity Bucket'!$I$7)))))</f>
        <v>High</v>
      </c>
      <c r="Y164" s="153">
        <f>IF(OR(Q164="Cash",Q164="Receivable Investments",Q164="Payable Investments"),0,IF(Q164="Investments",VLOOKUP(R164,'LQA Stress'!E:Q,12,0),"Not Covered"))</f>
        <v>2</v>
      </c>
      <c r="Z164" s="75">
        <f>IF(OR(Q164="Cash",Q164="Receivable Investments",Q164="Payable Investments"),0,IF(Q164="Investments",VLOOKUP(R164,'LQA Stress'!E:Q,9,0),"Not Covered"))</f>
        <v>6.9287000000000001E-2</v>
      </c>
      <c r="AA164" s="13" t="str">
        <f>IF(T167="Comdty","High",IF(Y164&lt;='Liquidity Bucket'!$A$4,'Liquidity Bucket'!$I$4,IF(Y164&lt;='Liquidity Bucket'!$A$5,'Liquidity Bucket'!$I$5,IF(Y164&lt;='Liquidity Bucket'!$A$6,'Liquidity Bucket'!$I$6,IF(Y164='Liquidity Bucket'!$A$8,'Liquidity Bucket'!$I$8,'Liquidity Bucket'!$I$7)))))</f>
        <v>High</v>
      </c>
      <c r="AB164" s="14">
        <f>(N164+M164)/'FX Rates'!$C$5</f>
        <v>1216540.5663054697</v>
      </c>
      <c r="AC164" s="15" t="str">
        <f>IF(X164="Not Covered", (H164/_xll.BDP(R164&amp;" FIGI",$AC$1)),"")</f>
        <v/>
      </c>
      <c r="AD164" s="16" t="str">
        <f>IF(X164="Not Covered", _xll.BDP(R164&amp;" FIGI",$AD$1),"")</f>
        <v/>
      </c>
      <c r="AE164" s="16" t="str">
        <f>IF(OR(T164="Corp",T164="Govt"),IF(_xll.BDP(R164&amp;" FIGI",$AE$1)="#N/A N/A","",_xll.BDP(R164&amp;" FIGI",$AE$1)),"")</f>
        <v/>
      </c>
      <c r="AF164" s="1" t="str">
        <f>IF(OR(T164="Corp",T164="Govt"),IF(_xll.BDP(R164&amp;" FIGI",$AF$1)="#N/A N/A","",_xll.BDP(R164&amp;" FIGI",$AF$1)),"")</f>
        <v/>
      </c>
      <c r="AG164" s="16" t="str">
        <f>IF(OR(T164="Corp",T164="Govt"),IF(_xll.BDP(R164&amp;" FIGI",$AG$1)="#N/A N/A","",_xll.BDP(R164&amp;" FIGI",$AG$1)),"")</f>
        <v/>
      </c>
      <c r="AH164" s="125">
        <f>IF(OR(S164="Cash",S164="M-Mkt"),21,IF(AE164="",0,VLOOKUP(AE164,'Rating Scale'!A:B,2,0)))</f>
        <v>0</v>
      </c>
      <c r="AI164" s="125">
        <f>IF(OR(S164="Cash",S164="M-Mkt"),21,IF(AF164="",0,VLOOKUP(AF164,'Rating Scale'!D:E,2,0)))</f>
        <v>0</v>
      </c>
      <c r="AJ164" s="125">
        <f>IF(OR(S164="Cash",S164="M-Mkt"),21,IF(AG164="",0,VLOOKUP(AG164,'Rating Scale'!G:H,2,0)))</f>
        <v>0</v>
      </c>
      <c r="AK164">
        <f t="shared" si="56"/>
        <v>0</v>
      </c>
      <c r="AL164" s="1" t="str">
        <f>IF(OR(U164="Cash",U164="Cash Adjustments"),_xll.BDP(G164&amp;" Curncy","Country"),IF(T164="Equity",_xll.BDP(R164&amp;" FIGI","CNTRY_ISSUE_ISO"),_xll.BDP(R164&amp;" FIGI",$AL$1)))</f>
        <v>CN</v>
      </c>
      <c r="AM164" s="126" t="str">
        <f>IF(OR(T164="Cash",T164="Cash Adjustments",T164="M-Mkt"), T164, IF(T164="Comdty",AS164, _xll.BDP(R164&amp;" FIGI", $AM$1)))</f>
        <v>Technology</v>
      </c>
      <c r="AN164" s="126" t="str">
        <f>IF(OR(T164="Cash",T164="Cash Adjustments",T164="M-Mkt"), T164,  IF(T164="Comdty",AS164,_xll.BDP(R164&amp;" FIGI", $AN$1)))</f>
        <v>Computers</v>
      </c>
      <c r="AO164" s="126" t="str">
        <f>IF(OR(T164="Cash",T164="Cash Adjustments",T164="M-Mkt"), T164,  IF(T164="Comdty",AS164,_xll.BDP(R164&amp;" FIGI", $AO$1)))</f>
        <v>Computers</v>
      </c>
      <c r="AP164" s="13" t="str">
        <f>IF(OR(T164="Cash",T164="Cash Adjustments"), T164, IF(_xll.BDP(R164&amp;" FIGI", $AP$1)="#N/A Field Not Applicable","N",_xll.BDP(R164&amp;" FIGI", $AP$1)))</f>
        <v>N</v>
      </c>
      <c r="AQ164" s="1" t="str">
        <f>IF(OR(T164="Cash",T164="Cash Adjustments"), T164, IF(_xll.BDP(R164&amp;" FIGI", $AQ$1)="#N/A Field Not Applicable"," ",_xll.BDP(R164&amp;" FIGI", $AQ$1)))</f>
        <v xml:space="preserve"> </v>
      </c>
      <c r="AR164" s="1" t="str">
        <f>IF(OR(T164="Cash",T164="Cash Adjustments"), T164, IF(_xll.BDP(R164&amp;" FIGI", $AR$1)="#N/A Field Not Applicable"," ",_xll.BDP(R164&amp;" FIGI", $AR$1)))</f>
        <v>ACTV</v>
      </c>
      <c r="AS164" s="1" t="str">
        <f>VLOOKUP(T164,'SFC Classifcation'!$F$2:$H$7,3,0)</f>
        <v>Corporate</v>
      </c>
      <c r="AT164" s="22" t="str">
        <f t="shared" si="57"/>
        <v>Non-Financial</v>
      </c>
      <c r="AU164" s="1" t="str">
        <f t="shared" si="58"/>
        <v>Non-Investment Grade</v>
      </c>
      <c r="AV164" s="1" t="str">
        <f>IF(OR(T164="Cash",T164="Cash Adjustments"),T164,VLOOKUP(AL164,'SFC Classifcation'!$A:$C,3,0))</f>
        <v>China</v>
      </c>
      <c r="AW164" s="22" t="str">
        <f t="shared" si="59"/>
        <v>High</v>
      </c>
      <c r="AX164" s="22" t="str">
        <f t="shared" si="60"/>
        <v>High</v>
      </c>
      <c r="AY164" s="45" t="str">
        <f>IF(OR(T164="Cash",T164="Cash Adjustments"), T164, _xll.BDP(R164&amp;" FIGI", $AY$1))</f>
        <v>#N/A Field Not Applicable</v>
      </c>
      <c r="AZ164" s="45" t="str">
        <f>IF(OR(T164="Cash",T164="Cash Adjustments"), T164, _xll.BDP(R164&amp;" FIGI", $AZ$1))</f>
        <v>SPECIAL PURPOSE</v>
      </c>
      <c r="BA164" s="45" t="str">
        <f>IF(OR(T164="Cash",T164="Cash Adjustments"), T164, _xll.BDP(R164&amp;" FIGI", $BA$1))</f>
        <v>#N/A Field Not Applicable</v>
      </c>
      <c r="BB164" s="45">
        <f>IF(OR(AS164="Government",AS164="Corporate"),(AK164*AB164/'SFC Report'!$C$20),"")</f>
        <v>0</v>
      </c>
      <c r="BC164" s="174" t="str">
        <f>IF(OR(T164="Cash",T164="Cash Adjustments", T164="FX Forward", T164="Repo", T164="Equity", T164="M-Mkt"), "", _xll.BDP(R164&amp;" FIGI", $BC$1))</f>
        <v>1/10/2022</v>
      </c>
      <c r="BD164" s="125">
        <f ca="1">IF(OR(T164="Cash",T164="Cash Adjustments",T164="FX Forward",T164="Repo", T164="Equity", T164="M-Mkt"),"",(BC164-'SFC Report'!$B$13)/365)</f>
        <v>1.6986301369863013</v>
      </c>
      <c r="BE164" s="82" t="str">
        <f t="shared" ca="1" si="61"/>
        <v>1 - 2 yrs</v>
      </c>
      <c r="BF164" s="5">
        <f ca="1">IF(BC164="","",BD164*AB164/'SFC Report'!$C$20)</f>
        <v>3.7542484645793658E-3</v>
      </c>
      <c r="BG164" s="14" cm="1">
        <f t="array" ref="BG164">IF(OR(AS164="Corporate",AS164="Government"),_xll.BDP(G164&amp;" ISIN", $BG$1),"")</f>
        <v>1.4307546366028916</v>
      </c>
      <c r="BH164" s="140">
        <f>IF(OR(AS164="Corporate",AS164="Government"),BG164*BN164/'SFC Report'!$C$20,"")</f>
        <v>3.1622001050718041E-3</v>
      </c>
      <c r="BI164" s="140">
        <f>IF(OR(AS164="Corporate",AS164="Government"),_xll.BDP(G164&amp;" ISIN", $BI$1),"")</f>
        <v>12.125080215461811</v>
      </c>
      <c r="BJ164" s="140">
        <f>IF(OR(AS164="Corporate",AS164="Government"),BI164*AB164/'SFC Report'!$C$20,"")</f>
        <v>2.6798396419930148E-2</v>
      </c>
      <c r="BK164" s="153" t="str">
        <f>IF(OR(T164="Cash",T164="Cash Adjustments"),"-",_xll.BDP(R164&amp;" FIGI",$BK$1))</f>
        <v>XS2021226985</v>
      </c>
      <c r="BL164" s="11" t="str">
        <f>IF(OR(AS164="Cash", AS164="Cash Adjustments"),"-",IF(ISNA(VLOOKUP(BK164,'BBG - VaR Data (Sample, Indus )'!C:N,5,0)),"-",VLOOKUP(BK164,'BBG - VaR Data (Sample, Indus )'!C:N,5,0)))</f>
        <v>-</v>
      </c>
      <c r="BM164" s="11">
        <f>IF(OR(AS164="Cash", AS164="Cash Adjustments"),"-",IF(ISNA(VLOOKUP(BK164,'BBG - Scenarios (Sample View)'!C:Z,14,0)),"-",VLOOKUP(BK164,'BBG - Scenarios (Sample View)'!C:Z,14,0)))</f>
        <v>-2.8</v>
      </c>
      <c r="BN164" s="14">
        <f t="shared" si="62"/>
        <v>1216540.5663054697</v>
      </c>
      <c r="BO164" s="1">
        <f t="shared" si="63"/>
        <v>2.3864254302176789E-3</v>
      </c>
      <c r="BP164" t="str">
        <f>IF(BC164&lt;&gt;0,MaturityBucket(BG164),"")</f>
        <v>1 - 2 yrs</v>
      </c>
      <c r="BQ164" s="11" t="str">
        <f>IF(OR(T164="Cash",T164="Cash Adjustments"),T164,VLOOKUP(AL164,'SFC Classifcation'!$A:$C,2,0))</f>
        <v>China</v>
      </c>
      <c r="BR164" s="1" t="e">
        <f>IF(S164="Bond",BH164/'SFC Report'!$B$7,"")</f>
        <v>#VALUE!</v>
      </c>
      <c r="BS164" t="str">
        <f>IF(OR(T164="Cash",T164="Cash Adjustments"),"-",_xll.BDP(R164&amp;" FIGI",$BS$1))</f>
        <v>#N/A N/A</v>
      </c>
      <c r="BT164" t="str">
        <f>IF(OR(T164="Cash",T164="Cash Adjustments"),"-",_xll.BDP(R164&amp;" FIGI",$BT$1))</f>
        <v>#N/A N/A</v>
      </c>
      <c r="BU164" t="str">
        <f>IF(OR(T164="Cash",T164="Cash Adjustments"),"-",_xll.BDP(R164&amp;" FIGI",$BU$1))</f>
        <v>#N/A N/A</v>
      </c>
    </row>
    <row r="165" spans="1:73">
      <c r="A165" s="254" t="s">
        <v>15</v>
      </c>
      <c r="B165" s="254" t="s">
        <v>25</v>
      </c>
      <c r="C165" s="254" t="s">
        <v>46</v>
      </c>
      <c r="D165" s="254" t="s">
        <v>22</v>
      </c>
      <c r="E165" s="254"/>
      <c r="F165" s="254" t="s">
        <v>774</v>
      </c>
      <c r="G165" s="254" t="s">
        <v>768</v>
      </c>
      <c r="H165" s="270">
        <v>5500000</v>
      </c>
      <c r="I165" s="270">
        <v>92.75</v>
      </c>
      <c r="J165" s="270">
        <v>5523862.5099999998</v>
      </c>
      <c r="K165" s="270">
        <v>43293036.490000002</v>
      </c>
      <c r="L165" s="270">
        <v>-3757328.67</v>
      </c>
      <c r="M165" s="270">
        <v>139866.88</v>
      </c>
      <c r="N165" s="270">
        <v>39535707.82</v>
      </c>
      <c r="O165" s="255">
        <v>8.6999999999999994E-3</v>
      </c>
      <c r="Q165" s="1" t="str">
        <f t="shared" si="55"/>
        <v>Investments</v>
      </c>
      <c r="R165" s="1" t="str">
        <f>_xll.BDP(G165&amp;" ISIN",$R$1)</f>
        <v>BBG00NV0G541</v>
      </c>
      <c r="S165" s="1" t="str">
        <f>IF(Q165="Cash",Q165,IF(OR(Q165="Receivable Investments",Q165="Payable Investments"),"Cash Adjustments",_xll.BDP(R165&amp;" FIGI",$S$1)))</f>
        <v>BOND</v>
      </c>
      <c r="T165" s="1" t="str">
        <f>IF(Q165="Cash",Q165,IF(OR(Q165="Receivable Investments",Q165="Payable Investments"),"Cash Adjustments",VLOOKUP(R165,LQA!E:S,3,0)))</f>
        <v>Corp</v>
      </c>
      <c r="U165" s="1" t="str">
        <f>IF(Q165="Cash",Q165,IF(OR(Q165="Receivable Investments",Q165="Payable Investments"),"Cash Adjustments",_xll.BDP(R165&amp;" FIGI",$U$1)))</f>
        <v>#N/A Field Not Applicable</v>
      </c>
      <c r="V165" s="10">
        <f>IF(OR(Q165="Cash",Q165="Receivable Investments",Q165="Payable Investments"),0,IF(Q165="Investments",VLOOKUP(R165,LQA!E:Q,12,0),"Not Covered"))</f>
        <v>0.6</v>
      </c>
      <c r="W165" s="76">
        <f>IF(OR(Q165="Cash",Q165="Receivable Investments",Q165="Payable Investments"),0,IF(Q165="Investments",VLOOKUP(R165,LQA!E:Q,9,0),"Not Covered"))</f>
        <v>9.1730000000000006E-3</v>
      </c>
      <c r="X165" s="13" t="str">
        <f>IF(OR(H165=0,T168="Comdty"),"High",IF(V165&lt;='Liquidity Bucket'!$A$4,'Liquidity Bucket'!$I$4,IF(V165&lt;='Liquidity Bucket'!$A$5,'Liquidity Bucket'!$I$5,IF(V165&lt;='Liquidity Bucket'!$A$6,'Liquidity Bucket'!$I$6,IF(V165='Liquidity Bucket'!$A$8,'Liquidity Bucket'!$I$8,'Liquidity Bucket'!$I$7)))))</f>
        <v>High</v>
      </c>
      <c r="Y165" s="153">
        <f>IF(OR(Q165="Cash",Q165="Receivable Investments",Q165="Payable Investments"),0,IF(Q165="Investments",VLOOKUP(R165,'LQA Stress'!E:Q,12,0),"Not Covered"))</f>
        <v>2.1</v>
      </c>
      <c r="Z165" s="75">
        <f>IF(OR(Q165="Cash",Q165="Receivable Investments",Q165="Payable Investments"),0,IF(Q165="Investments",VLOOKUP(R165,'LQA Stress'!E:Q,9,0),"Not Covered"))</f>
        <v>2.2839000000000002E-2</v>
      </c>
      <c r="AA165" s="13" t="str">
        <f>IF(T168="Comdty","High",IF(Y165&lt;='Liquidity Bucket'!$A$4,'Liquidity Bucket'!$I$4,IF(Y165&lt;='Liquidity Bucket'!$A$5,'Liquidity Bucket'!$I$5,IF(Y165&lt;='Liquidity Bucket'!$A$6,'Liquidity Bucket'!$I$6,IF(Y165='Liquidity Bucket'!$A$8,'Liquidity Bucket'!$I$8,'Liquidity Bucket'!$I$7)))))</f>
        <v>High</v>
      </c>
      <c r="AB165" s="14">
        <f>(N165+M165)/'FX Rates'!$C$5</f>
        <v>5118108.1914344691</v>
      </c>
      <c r="AC165" s="15" t="str">
        <f>IF(X165="Not Covered", (H165/_xll.BDP(R165&amp;" FIGI",$AC$1)),"")</f>
        <v/>
      </c>
      <c r="AD165" s="16" t="str">
        <f>IF(X165="Not Covered", _xll.BDP(R165&amp;" FIGI",$AD$1),"")</f>
        <v/>
      </c>
      <c r="AE165" s="16" t="str">
        <f>IF(OR(T165="Corp",T165="Govt"),IF(_xll.BDP(R165&amp;" FIGI",$AE$1)="#N/A N/A","",_xll.BDP(R165&amp;" FIGI",$AE$1)),"")</f>
        <v>B+</v>
      </c>
      <c r="AF165" s="1" t="str">
        <f>IF(OR(T165="Corp",T165="Govt"),IF(_xll.BDP(R165&amp;" FIGI",$AF$1)="#N/A N/A","",_xll.BDP(R165&amp;" FIGI",$AF$1)),"")</f>
        <v>B2</v>
      </c>
      <c r="AG165" s="16" t="str">
        <f>IF(OR(T165="Corp",T165="Govt"),IF(_xll.BDP(R165&amp;" FIGI",$AG$1)="#N/A N/A","",_xll.BDP(R165&amp;" FIGI",$AG$1)),"")</f>
        <v>B+</v>
      </c>
      <c r="AH165" s="125">
        <f>IF(OR(S165="Cash",S165="M-Mkt"),21,IF(AE165="",0,VLOOKUP(AE165,'Rating Scale'!A:B,2,0)))</f>
        <v>8</v>
      </c>
      <c r="AI165" s="125">
        <f>IF(OR(S165="Cash",S165="M-Mkt"),21,IF(AF165="",0,VLOOKUP(AF165,'Rating Scale'!D:E,2,0)))</f>
        <v>7</v>
      </c>
      <c r="AJ165" s="125">
        <f>IF(OR(S165="Cash",S165="M-Mkt"),21,IF(AG165="",0,VLOOKUP(AG165,'Rating Scale'!G:H,2,0)))</f>
        <v>8</v>
      </c>
      <c r="AK165">
        <f t="shared" si="56"/>
        <v>8</v>
      </c>
      <c r="AL165" s="1" t="str">
        <f>IF(OR(U165="Cash",U165="Cash Adjustments"),_xll.BDP(G165&amp;" Curncy","Country"),IF(T165="Equity",_xll.BDP(R165&amp;" FIGI","CNTRY_ISSUE_ISO"),_xll.BDP(R165&amp;" FIGI",$AL$1)))</f>
        <v>CN</v>
      </c>
      <c r="AM165" s="126" t="str">
        <f>IF(OR(T165="Cash",T165="Cash Adjustments",T165="M-Mkt"), T165, IF(T165="Comdty",AS165, _xll.BDP(R165&amp;" FIGI", $AM$1)))</f>
        <v>Communications</v>
      </c>
      <c r="AN165" s="126" t="str">
        <f>IF(OR(T165="Cash",T165="Cash Adjustments",T165="M-Mkt"), T165,  IF(T165="Comdty",AS165,_xll.BDP(R165&amp;" FIGI", $AN$1)))</f>
        <v>Internet</v>
      </c>
      <c r="AO165" s="126" t="str">
        <f>IF(OR(T165="Cash",T165="Cash Adjustments",T165="M-Mkt"), T165,  IF(T165="Comdty",AS165,_xll.BDP(R165&amp;" FIGI", $AO$1)))</f>
        <v>Internet Connectiv Svcs</v>
      </c>
      <c r="AP165" s="13" t="str">
        <f>IF(OR(T165="Cash",T165="Cash Adjustments"), T165, IF(_xll.BDP(R165&amp;" FIGI", $AP$1)="#N/A Field Not Applicable","N",_xll.BDP(R165&amp;" FIGI", $AP$1)))</f>
        <v>N</v>
      </c>
      <c r="AQ165" s="1" t="str">
        <f>IF(OR(T165="Cash",T165="Cash Adjustments"), T165, IF(_xll.BDP(R165&amp;" FIGI", $AQ$1)="#N/A Field Not Applicable"," ",_xll.BDP(R165&amp;" FIGI", $AQ$1)))</f>
        <v xml:space="preserve"> </v>
      </c>
      <c r="AR165" s="1" t="str">
        <f>IF(OR(T165="Cash",T165="Cash Adjustments"), T165, IF(_xll.BDP(R165&amp;" FIGI", $AR$1)="#N/A Field Not Applicable"," ",_xll.BDP(R165&amp;" FIGI", $AR$1)))</f>
        <v>ACTV</v>
      </c>
      <c r="AS165" s="1" t="str">
        <f>VLOOKUP(T165,'SFC Classifcation'!$F$2:$H$7,3,0)</f>
        <v>Corporate</v>
      </c>
      <c r="AT165" s="22" t="str">
        <f t="shared" si="57"/>
        <v>Non-Financial</v>
      </c>
      <c r="AU165" s="1" t="str">
        <f t="shared" si="58"/>
        <v>Non-Investment Grade</v>
      </c>
      <c r="AV165" s="1" t="str">
        <f>IF(OR(T165="Cash",T165="Cash Adjustments"),T165,VLOOKUP(AL165,'SFC Classifcation'!$A:$C,3,0))</f>
        <v>China</v>
      </c>
      <c r="AW165" s="22" t="str">
        <f t="shared" si="59"/>
        <v>High</v>
      </c>
      <c r="AX165" s="22" t="str">
        <f t="shared" si="60"/>
        <v>High</v>
      </c>
      <c r="AY165" s="45" t="str">
        <f>IF(OR(T165="Cash",T165="Cash Adjustments"), T165, _xll.BDP(R165&amp;" FIGI", $AY$1))</f>
        <v>Information Technology</v>
      </c>
      <c r="AZ165" s="45" t="str">
        <f>IF(OR(T165="Cash",T165="Cash Adjustments"), T165, _xll.BDP(R165&amp;" FIGI", $AZ$1))</f>
        <v>INDUSTRIAL</v>
      </c>
      <c r="BA165" s="45" t="str">
        <f>IF(OR(T165="Cash",T165="Cash Adjustments"), T165, _xll.BDP(R165&amp;" FIGI", $BA$1))</f>
        <v>#N/A Field Not Applicable</v>
      </c>
      <c r="BB165" s="45">
        <f>IF(OR(AS165="Government",AS165="Corporate"),(AK165*AB165/'SFC Report'!$C$20),"")</f>
        <v>7.4386999398901019E-2</v>
      </c>
      <c r="BC165" s="174" t="str">
        <f>IF(OR(T165="Cash",T165="Cash Adjustments", T165="FX Forward", T165="Repo", T165="Equity", T165="M-Mkt"), "", _xll.BDP(R165&amp;" FIGI", $BC$1))</f>
        <v>10/15/2021</v>
      </c>
      <c r="BD165" s="125">
        <f ca="1">IF(OR(T165="Cash",T165="Cash Adjustments",T165="FX Forward",T165="Repo", T165="Equity", T165="M-Mkt"),"",(BC165-'SFC Report'!$B$13)/365)</f>
        <v>1.4602739726027398</v>
      </c>
      <c r="BE165" s="82" t="str">
        <f t="shared" ca="1" si="61"/>
        <v>1 - 2 yrs</v>
      </c>
      <c r="BF165" s="5">
        <f ca="1">IF(BC165="","",BD165*AB165/'SFC Report'!$C$20)</f>
        <v>1.3578174890278851E-2</v>
      </c>
      <c r="BG165" s="14" cm="1">
        <f t="array" ref="BG165">IF(OR(AS165="Corporate",AS165="Government"),_xll.BDP(G165&amp;" ISIN", $BG$1),"")</f>
        <v>1.2684812087050925</v>
      </c>
      <c r="BH165" s="140">
        <f>IF(OR(AS165="Corporate",AS165="Government"),BG165*BN165/'SFC Report'!$C$20,"")</f>
        <v>1.1794813863682869E-2</v>
      </c>
      <c r="BI165" s="140">
        <f>IF(OR(AS165="Corporate",AS165="Government"),_xll.BDP(G165&amp;" ISIN", $BI$1),"")</f>
        <v>9.1755444129536521</v>
      </c>
      <c r="BJ165" s="140">
        <f>IF(OR(AS165="Corporate",AS165="Government"),BI165*AB165/'SFC Report'!$C$20,"")</f>
        <v>8.5317652091371612E-2</v>
      </c>
      <c r="BK165" s="153" t="str">
        <f>IF(OR(T165="Cash",T165="Cash Adjustments"),"-",_xll.BDP(R165&amp;" FIGI",$BK$1))</f>
        <v>XS1976766045</v>
      </c>
      <c r="BL165" s="11" t="str">
        <f>IF(OR(AS165="Cash", AS165="Cash Adjustments"),"-",IF(ISNA(VLOOKUP(BK165,'BBG - VaR Data (Sample, Indus )'!C:N,5,0)),"-",VLOOKUP(BK165,'BBG - VaR Data (Sample, Indus )'!C:N,5,0)))</f>
        <v>-</v>
      </c>
      <c r="BM165" s="11">
        <f>IF(OR(AS165="Cash", AS165="Cash Adjustments"),"-",IF(ISNA(VLOOKUP(BK165,'BBG - Scenarios (Sample View)'!C:Z,14,0)),"-",VLOOKUP(BK165,'BBG - Scenarios (Sample View)'!C:Z,14,0)))</f>
        <v>-2.69</v>
      </c>
      <c r="BN165" s="14">
        <f t="shared" si="62"/>
        <v>5118108.1914344691</v>
      </c>
      <c r="BO165" s="1">
        <f t="shared" si="63"/>
        <v>1.0039931162951236E-2</v>
      </c>
      <c r="BP165" t="str">
        <f>IF(BC165&lt;&gt;0,MaturityBucket(BG165),"")</f>
        <v>1 - 2 yrs</v>
      </c>
      <c r="BQ165" s="11" t="str">
        <f>IF(OR(T165="Cash",T165="Cash Adjustments"),T165,VLOOKUP(AL165,'SFC Classifcation'!$A:$C,2,0))</f>
        <v>China</v>
      </c>
      <c r="BR165" s="1" t="e">
        <f>IF(S165="Bond",BH165/'SFC Report'!$B$7,"")</f>
        <v>#VALUE!</v>
      </c>
      <c r="BS165" t="str">
        <f>IF(OR(T165="Cash",T165="Cash Adjustments"),"-",_xll.BDP(R165&amp;" FIGI",$BS$1))</f>
        <v>3/29/2019</v>
      </c>
      <c r="BT165" t="str">
        <f>IF(OR(T165="Cash",T165="Cash Adjustments"),"-",_xll.BDP(R165&amp;" FIGI",$BT$1))</f>
        <v>3/24/2020</v>
      </c>
      <c r="BU165" t="str">
        <f>IF(OR(T165="Cash",T165="Cash Adjustments"),"-",_xll.BDP(R165&amp;" FIGI",$BU$1))</f>
        <v>5/6/2019</v>
      </c>
    </row>
    <row r="166" spans="1:73">
      <c r="A166" s="254" t="s">
        <v>15</v>
      </c>
      <c r="B166" s="254" t="s">
        <v>25</v>
      </c>
      <c r="C166" s="254" t="s">
        <v>46</v>
      </c>
      <c r="D166" s="254" t="s">
        <v>22</v>
      </c>
      <c r="E166" s="254"/>
      <c r="F166" s="254" t="s">
        <v>1355</v>
      </c>
      <c r="G166" s="254" t="s">
        <v>1356</v>
      </c>
      <c r="H166" s="270">
        <v>2000000</v>
      </c>
      <c r="I166" s="270">
        <v>101.492</v>
      </c>
      <c r="J166" s="270">
        <v>1947708.72</v>
      </c>
      <c r="K166" s="270">
        <v>15100001.4</v>
      </c>
      <c r="L166" s="270">
        <v>631664.56999999995</v>
      </c>
      <c r="M166" s="270">
        <v>173303.09</v>
      </c>
      <c r="N166" s="270">
        <v>15731665.970000001</v>
      </c>
      <c r="O166" s="255">
        <v>3.5000000000000001E-3</v>
      </c>
      <c r="Q166" s="1" t="str">
        <f t="shared" si="55"/>
        <v>Investments</v>
      </c>
      <c r="R166" s="1" t="str">
        <f>_xll.BDP(G166&amp;" ISIN",$R$1)</f>
        <v>BBG00PKGT0Y7</v>
      </c>
      <c r="S166" s="1" t="str">
        <f>IF(Q166="Cash",Q166,IF(OR(Q166="Receivable Investments",Q166="Payable Investments"),"Cash Adjustments",_xll.BDP(R166&amp;" FIGI",$S$1)))</f>
        <v>BOND</v>
      </c>
      <c r="T166" s="1" t="str">
        <f>IF(Q166="Cash",Q166,IF(OR(Q166="Receivable Investments",Q166="Payable Investments"),"Cash Adjustments",VLOOKUP(R166,LQA!E:S,3,0)))</f>
        <v>Corp</v>
      </c>
      <c r="U166" s="1" t="str">
        <f>IF(Q166="Cash",Q166,IF(OR(Q166="Receivable Investments",Q166="Payable Investments"),"Cash Adjustments",_xll.BDP(R166&amp;" FIGI",$U$1)))</f>
        <v>#N/A Field Not Applicable</v>
      </c>
      <c r="V166" s="10">
        <f>IF(OR(Q166="Cash",Q166="Receivable Investments",Q166="Payable Investments"),0,IF(Q166="Investments",VLOOKUP(R166,LQA!E:Q,12,0),"Not Covered"))</f>
        <v>0.3</v>
      </c>
      <c r="W166" s="76">
        <f>IF(OR(Q166="Cash",Q166="Receivable Investments",Q166="Payable Investments"),0,IF(Q166="Investments",VLOOKUP(R166,LQA!E:Q,9,0),"Not Covered"))</f>
        <v>5.5490000000000001E-3</v>
      </c>
      <c r="X166" s="13" t="str">
        <f>IF(OR(H166=0,T169="Comdty"),"High",IF(V166&lt;='Liquidity Bucket'!$A$4,'Liquidity Bucket'!$I$4,IF(V166&lt;='Liquidity Bucket'!$A$5,'Liquidity Bucket'!$I$5,IF(V166&lt;='Liquidity Bucket'!$A$6,'Liquidity Bucket'!$I$6,IF(V166='Liquidity Bucket'!$A$8,'Liquidity Bucket'!$I$8,'Liquidity Bucket'!$I$7)))))</f>
        <v>High</v>
      </c>
      <c r="Y166" s="153">
        <f>IF(OR(Q166="Cash",Q166="Receivable Investments",Q166="Payable Investments"),0,IF(Q166="Investments",VLOOKUP(R166,'LQA Stress'!E:Q,12,0),"Not Covered"))</f>
        <v>0.8</v>
      </c>
      <c r="Z166" s="75">
        <f>IF(OR(Q166="Cash",Q166="Receivable Investments",Q166="Payable Investments"),0,IF(Q166="Investments",VLOOKUP(R166,'LQA Stress'!E:Q,9,0),"Not Covered"))</f>
        <v>1.5402000000000001E-2</v>
      </c>
      <c r="AA166" s="13" t="str">
        <f>IF(T169="Comdty","High",IF(Y166&lt;='Liquidity Bucket'!$A$4,'Liquidity Bucket'!$I$4,IF(Y166&lt;='Liquidity Bucket'!$A$5,'Liquidity Bucket'!$I$5,IF(Y166&lt;='Liquidity Bucket'!$A$6,'Liquidity Bucket'!$I$6,IF(Y166='Liquidity Bucket'!$A$8,'Liquidity Bucket'!$I$8,'Liquidity Bucket'!$I$7)))))</f>
        <v>High</v>
      </c>
      <c r="AB166" s="14">
        <f>(N166+M166)/'FX Rates'!$C$5</f>
        <v>2051724.5949432405</v>
      </c>
      <c r="AC166" s="15" t="str">
        <f>IF(X166="Not Covered", (H166/_xll.BDP(R166&amp;" FIGI",$AC$1)),"")</f>
        <v/>
      </c>
      <c r="AD166" s="16" t="str">
        <f>IF(X166="Not Covered", _xll.BDP(R166&amp;" FIGI",$AD$1),"")</f>
        <v/>
      </c>
      <c r="AE166" s="16" t="str">
        <f>IF(OR(T166="Corp",T166="Govt"),IF(_xll.BDP(R166&amp;" FIGI",$AE$1)="#N/A N/A","",_xll.BDP(R166&amp;" FIGI",$AE$1)),"")</f>
        <v>BBB</v>
      </c>
      <c r="AF166" s="1" t="str">
        <f>IF(OR(T166="Corp",T166="Govt"),IF(_xll.BDP(R166&amp;" FIGI",$AF$1)="#N/A N/A","",_xll.BDP(R166&amp;" FIGI",$AF$1)),"")</f>
        <v>Baa1</v>
      </c>
      <c r="AG166" s="16" t="str">
        <f>IF(OR(T166="Corp",T166="Govt"),IF(_xll.BDP(R166&amp;" FIGI",$AG$1)="#N/A N/A","",_xll.BDP(R166&amp;" FIGI",$AG$1)),"")</f>
        <v/>
      </c>
      <c r="AH166" s="125">
        <f>IF(OR(S166="Cash",S166="M-Mkt"),21,IF(AE166="",0,VLOOKUP(AE166,'Rating Scale'!A:B,2,0)))</f>
        <v>13</v>
      </c>
      <c r="AI166" s="125">
        <f>IF(OR(S166="Cash",S166="M-Mkt"),21,IF(AF166="",0,VLOOKUP(AF166,'Rating Scale'!D:E,2,0)))</f>
        <v>14</v>
      </c>
      <c r="AJ166" s="125">
        <f>IF(OR(S166="Cash",S166="M-Mkt"),21,IF(AG166="",0,VLOOKUP(AG166,'Rating Scale'!G:H,2,0)))</f>
        <v>0</v>
      </c>
      <c r="AK166">
        <f t="shared" si="56"/>
        <v>13</v>
      </c>
      <c r="AL166" s="1" t="str">
        <f>IF(OR(U166="Cash",U166="Cash Adjustments"),_xll.BDP(G166&amp;" Curncy","Country"),IF(T166="Equity",_xll.BDP(R166&amp;" FIGI","CNTRY_ISSUE_ISO"),_xll.BDP(R166&amp;" FIGI",$AL$1)))</f>
        <v>CN</v>
      </c>
      <c r="AM166" s="126" t="str">
        <f>IF(OR(T166="Cash",T166="Cash Adjustments",T166="M-Mkt"), T166, IF(T166="Comdty",AS166, _xll.BDP(R166&amp;" FIGI", $AM$1)))</f>
        <v>Communications</v>
      </c>
      <c r="AN166" s="126" t="str">
        <f>IF(OR(T166="Cash",T166="Cash Adjustments",T166="M-Mkt"), T166,  IF(T166="Comdty",AS166,_xll.BDP(R166&amp;" FIGI", $AN$1)))</f>
        <v>Internet</v>
      </c>
      <c r="AO166" s="126" t="str">
        <f>IF(OR(T166="Cash",T166="Cash Adjustments",T166="M-Mkt"), T166,  IF(T166="Comdty",AS166,_xll.BDP(R166&amp;" FIGI", $AO$1)))</f>
        <v>Internet Content-Entmnt</v>
      </c>
      <c r="AP166" s="13" t="str">
        <f>IF(OR(T166="Cash",T166="Cash Adjustments"), T166, IF(_xll.BDP(R166&amp;" FIGI", $AP$1)="#N/A Field Not Applicable","N",_xll.BDP(R166&amp;" FIGI", $AP$1)))</f>
        <v>N</v>
      </c>
      <c r="AQ166" s="1" t="str">
        <f>IF(OR(T166="Cash",T166="Cash Adjustments"), T166, IF(_xll.BDP(R166&amp;" FIGI", $AQ$1)="#N/A Field Not Applicable"," ",_xll.BDP(R166&amp;" FIGI", $AQ$1)))</f>
        <v xml:space="preserve"> </v>
      </c>
      <c r="AR166" s="1" t="str">
        <f>IF(OR(T166="Cash",T166="Cash Adjustments"), T166, IF(_xll.BDP(R166&amp;" FIGI", $AR$1)="#N/A Field Not Applicable"," ",_xll.BDP(R166&amp;" FIGI", $AR$1)))</f>
        <v>ACTV</v>
      </c>
      <c r="AS166" s="1" t="str">
        <f>VLOOKUP(T166,'SFC Classifcation'!$F$2:$H$7,3,0)</f>
        <v>Corporate</v>
      </c>
      <c r="AT166" s="22" t="str">
        <f t="shared" si="57"/>
        <v>Non-Financial</v>
      </c>
      <c r="AU166" s="1" t="str">
        <f t="shared" si="58"/>
        <v>Investment Grade</v>
      </c>
      <c r="AV166" s="1" t="str">
        <f>IF(OR(T166="Cash",T166="Cash Adjustments"),T166,VLOOKUP(AL166,'SFC Classifcation'!$A:$C,3,0))</f>
        <v>China</v>
      </c>
      <c r="AW166" s="22" t="str">
        <f t="shared" si="59"/>
        <v>High</v>
      </c>
      <c r="AX166" s="22" t="str">
        <f t="shared" si="60"/>
        <v>High</v>
      </c>
      <c r="AY166" s="45" t="str">
        <f>IF(OR(T166="Cash",T166="Cash Adjustments"), T166, _xll.BDP(R166&amp;" FIGI", $AY$1))</f>
        <v>Communication Services</v>
      </c>
      <c r="AZ166" s="45" t="str">
        <f>IF(OR(T166="Cash",T166="Cash Adjustments"), T166, _xll.BDP(R166&amp;" FIGI", $AZ$1))</f>
        <v>INDUSTRIAL</v>
      </c>
      <c r="BA166" s="45" t="str">
        <f>IF(OR(T166="Cash",T166="Cash Adjustments"), T166, _xll.BDP(R166&amp;" FIGI", $BA$1))</f>
        <v>#N/A Field Not Applicable</v>
      </c>
      <c r="BB166" s="45">
        <f>IF(OR(AS166="Government",AS166="Corporate"),(AK166*AB166/'SFC Report'!$C$20),"")</f>
        <v>4.8457388856596922E-2</v>
      </c>
      <c r="BC166" s="174" t="str">
        <f>IF(OR(T166="Cash",T166="Cash Adjustments", T166="FX Forward", T166="Repo", T166="Equity", T166="M-Mkt"), "", _xll.BDP(R166&amp;" FIGI", $BC$1))</f>
        <v>7/5/2024</v>
      </c>
      <c r="BD166" s="125">
        <f ca="1">IF(OR(T166="Cash",T166="Cash Adjustments",T166="FX Forward",T166="Repo", T166="Equity", T166="M-Mkt"),"",(BC166-'SFC Report'!$B$13)/365)</f>
        <v>4.183561643835616</v>
      </c>
      <c r="BE166" s="82" t="str">
        <f t="shared" ca="1" si="61"/>
        <v>3 - 5 yrs</v>
      </c>
      <c r="BF166" s="5">
        <f ca="1">IF(BC166="","",BD166*AB166/'SFC Report'!$C$20)</f>
        <v>1.5594190260068174E-2</v>
      </c>
      <c r="BG166" s="14" cm="1">
        <f t="array" ref="BG166">IF(OR(AS166="Corporate",AS166="Government"),_xll.BDP(G166&amp;" ISIN", $BG$1),"")</f>
        <v>3.69328394151642</v>
      </c>
      <c r="BH166" s="140">
        <f>IF(OR(AS166="Corporate",AS166="Government"),BG166*BN166/'SFC Report'!$C$20,"")</f>
        <v>1.3766684316298933E-2</v>
      </c>
      <c r="BI166" s="140">
        <f>IF(OR(AS166="Corporate",AS166="Government"),_xll.BDP(G166&amp;" ISIN", $BI$1),"")</f>
        <v>2.6391158974667377</v>
      </c>
      <c r="BJ166" s="140">
        <f>IF(OR(AS166="Corporate",AS166="Government"),BI166*AB166/'SFC Report'!$C$20,"")</f>
        <v>9.8372819447055757E-3</v>
      </c>
      <c r="BK166" s="153" t="str">
        <f>IF(OR(T166="Cash",T166="Cash Adjustments"),"-",_xll.BDP(R166&amp;" FIGI",$BK$1))</f>
        <v>US948596AD39</v>
      </c>
      <c r="BL166" s="11" t="str">
        <f>IF(OR(AS166="Cash", AS166="Cash Adjustments"),"-",IF(ISNA(VLOOKUP(BK166,'BBG - VaR Data (Sample, Indus )'!C:N,5,0)),"-",VLOOKUP(BK166,'BBG - VaR Data (Sample, Indus )'!C:N,5,0)))</f>
        <v>-</v>
      </c>
      <c r="BM166" s="11">
        <f>IF(OR(AS166="Cash", AS166="Cash Adjustments"),"-",IF(ISNA(VLOOKUP(BK166,'BBG - Scenarios (Sample View)'!C:Z,14,0)),"-",VLOOKUP(BK166,'BBG - Scenarios (Sample View)'!C:Z,14,0)))</f>
        <v>-2.25</v>
      </c>
      <c r="BN166" s="14">
        <f t="shared" si="62"/>
        <v>2051724.5949432405</v>
      </c>
      <c r="BO166" s="1">
        <f t="shared" si="63"/>
        <v>4.024763238307149E-3</v>
      </c>
      <c r="BP166" t="str">
        <f>IF(BC166&lt;&gt;0,MaturityBucket(BG166),"")</f>
        <v>3 - 5 yrs</v>
      </c>
      <c r="BQ166" s="11" t="str">
        <f>IF(OR(T166="Cash",T166="Cash Adjustments"),T166,VLOOKUP(AL166,'SFC Classifcation'!$A:$C,2,0))</f>
        <v>China</v>
      </c>
      <c r="BR166" s="1" t="e">
        <f>IF(S166="Bond",BH166/'SFC Report'!$B$7,"")</f>
        <v>#VALUE!</v>
      </c>
      <c r="BS166" t="str">
        <f>IF(OR(T166="Cash",T166="Cash Adjustments"),"-",_xll.BDP(R166&amp;" FIGI",$BS$1))</f>
        <v>6/20/2019</v>
      </c>
      <c r="BT166" t="str">
        <f>IF(OR(T166="Cash",T166="Cash Adjustments"),"-",_xll.BDP(R166&amp;" FIGI",$BT$1))</f>
        <v>6/20/2019</v>
      </c>
      <c r="BU166" t="str">
        <f>IF(OR(T166="Cash",T166="Cash Adjustments"),"-",_xll.BDP(R166&amp;" FIGI",$BU$1))</f>
        <v>#N/A N/A</v>
      </c>
    </row>
    <row r="167" spans="1:73">
      <c r="A167" s="254" t="s">
        <v>15</v>
      </c>
      <c r="B167" s="254" t="s">
        <v>25</v>
      </c>
      <c r="C167" s="254" t="s">
        <v>46</v>
      </c>
      <c r="D167" s="254" t="s">
        <v>22</v>
      </c>
      <c r="E167" s="254"/>
      <c r="F167" s="254" t="s">
        <v>1956</v>
      </c>
      <c r="G167" s="254" t="s">
        <v>1957</v>
      </c>
      <c r="H167" s="270">
        <v>2000000</v>
      </c>
      <c r="I167" s="270">
        <v>99.052999999999997</v>
      </c>
      <c r="J167" s="270">
        <v>1977860</v>
      </c>
      <c r="K167" s="270">
        <v>15328810.560000001</v>
      </c>
      <c r="L167" s="270">
        <v>24800.65</v>
      </c>
      <c r="M167" s="270">
        <v>0</v>
      </c>
      <c r="N167" s="270">
        <v>15353611.210000001</v>
      </c>
      <c r="O167" s="255">
        <v>3.3999999999999998E-3</v>
      </c>
      <c r="Q167" s="1" t="str">
        <f t="shared" si="55"/>
        <v>Investments</v>
      </c>
      <c r="R167" s="1" t="str">
        <f>_xll.BDP(G167&amp;" ISIN",$R$1)</f>
        <v>BBG00TJ8VS75</v>
      </c>
      <c r="S167" s="1" t="str">
        <f>IF(Q167="Cash",Q167,IF(OR(Q167="Receivable Investments",Q167="Payable Investments"),"Cash Adjustments",_xll.BDP(R167&amp;" FIGI",$S$1)))</f>
        <v>BOND</v>
      </c>
      <c r="T167" s="1" t="str">
        <f>IF(Q167="Cash",Q167,IF(OR(Q167="Receivable Investments",Q167="Payable Investments"),"Cash Adjustments",VLOOKUP(R167,LQA!E:S,3,0)))</f>
        <v>Corp</v>
      </c>
      <c r="U167" s="1" t="str">
        <f>IF(Q167="Cash",Q167,IF(OR(Q167="Receivable Investments",Q167="Payable Investments"),"Cash Adjustments",_xll.BDP(R167&amp;" FIGI",$U$1)))</f>
        <v>#N/A Field Not Applicable</v>
      </c>
      <c r="V167" s="10" t="str">
        <f>IF(OR(Q167="Cash",Q167="Receivable Investments",Q167="Payable Investments"),0,IF(Q167="Investments",VLOOKUP(R167,LQA!E:Q,12,0),"Not Covered"))</f>
        <v>N.A.</v>
      </c>
      <c r="W167" s="76" t="str">
        <f>IF(OR(Q167="Cash",Q167="Receivable Investments",Q167="Payable Investments"),0,IF(Q167="Investments",VLOOKUP(R167,LQA!E:Q,9,0),"Not Covered"))</f>
        <v>N.A.</v>
      </c>
      <c r="X167" s="13" t="str">
        <f>IF(OR(H167=0,T170="Comdty"),"High",IF(V167&lt;='Liquidity Bucket'!$A$4,'Liquidity Bucket'!$I$4,IF(V167&lt;='Liquidity Bucket'!$A$5,'Liquidity Bucket'!$I$5,IF(V167&lt;='Liquidity Bucket'!$A$6,'Liquidity Bucket'!$I$6,IF(V167='Liquidity Bucket'!$A$8,'Liquidity Bucket'!$I$8,'Liquidity Bucket'!$I$7)))))</f>
        <v>Not Covered</v>
      </c>
      <c r="Y167" s="153" t="str">
        <f>IF(OR(Q167="Cash",Q167="Receivable Investments",Q167="Payable Investments"),0,IF(Q167="Investments",VLOOKUP(R167,'LQA Stress'!E:Q,12,0),"Not Covered"))</f>
        <v>N.A.</v>
      </c>
      <c r="Z167" s="75" t="str">
        <f>IF(OR(Q167="Cash",Q167="Receivable Investments",Q167="Payable Investments"),0,IF(Q167="Investments",VLOOKUP(R167,'LQA Stress'!E:Q,9,0),"Not Covered"))</f>
        <v>N.A.</v>
      </c>
      <c r="AA167" s="13" t="str">
        <f>IF(T170="Comdty","High",IF(Y167&lt;='Liquidity Bucket'!$A$4,'Liquidity Bucket'!$I$4,IF(Y167&lt;='Liquidity Bucket'!$A$5,'Liquidity Bucket'!$I$5,IF(Y167&lt;='Liquidity Bucket'!$A$6,'Liquidity Bucket'!$I$6,IF(Y167='Liquidity Bucket'!$A$8,'Liquidity Bucket'!$I$8,'Liquidity Bucket'!$I$7)))))</f>
        <v>Not Covered</v>
      </c>
      <c r="AB167" s="14">
        <f>(N167+M167)/'FX Rates'!$C$5</f>
        <v>1980600.0012899898</v>
      </c>
      <c r="AC167" s="15">
        <f>IF(X167="Not Covered", (H167/_xll.BDP(R167&amp;" FIGI",$AC$1)),"")</f>
        <v>6.6666666666666671E-3</v>
      </c>
      <c r="AD167" s="16">
        <f>IF(X167="Not Covered", _xll.BDP(R167&amp;" FIGI",$AD$1),"")</f>
        <v>4.7885010266940453</v>
      </c>
      <c r="AE167" s="16" t="str">
        <f>IF(OR(T167="Corp",T167="Govt"),IF(_xll.BDP(R167&amp;" FIGI",$AE$1)="#N/A N/A","",_xll.BDP(R167&amp;" FIGI",$AE$1)),"")</f>
        <v/>
      </c>
      <c r="AF167" s="1" t="str">
        <f>IF(OR(T167="Corp",T167="Govt"),IF(_xll.BDP(R167&amp;" FIGI",$AF$1)="#N/A N/A","",_xll.BDP(R167&amp;" FIGI",$AF$1)),"")</f>
        <v>A2</v>
      </c>
      <c r="AG167" s="16" t="str">
        <f>IF(OR(T167="Corp",T167="Govt"),IF(_xll.BDP(R167&amp;" FIGI",$AG$1)="#N/A N/A","",_xll.BDP(R167&amp;" FIGI",$AG$1)),"")</f>
        <v/>
      </c>
      <c r="AH167" s="125">
        <f>IF(OR(S167="Cash",S167="M-Mkt"),21,IF(AE167="",0,VLOOKUP(AE167,'Rating Scale'!A:B,2,0)))</f>
        <v>0</v>
      </c>
      <c r="AI167" s="125">
        <f>IF(OR(S167="Cash",S167="M-Mkt"),21,IF(AF167="",0,VLOOKUP(AF167,'Rating Scale'!D:E,2,0)))</f>
        <v>16</v>
      </c>
      <c r="AJ167" s="125">
        <f>IF(OR(S167="Cash",S167="M-Mkt"),21,IF(AG167="",0,VLOOKUP(AG167,'Rating Scale'!G:H,2,0)))</f>
        <v>0</v>
      </c>
      <c r="AK167">
        <f t="shared" si="56"/>
        <v>16</v>
      </c>
      <c r="AL167" s="1" t="str">
        <f>IF(OR(U167="Cash",U167="Cash Adjustments"),_xll.BDP(G167&amp;" Curncy","Country"),IF(T167="Equity",_xll.BDP(R167&amp;" FIGI","CNTRY_ISSUE_ISO"),_xll.BDP(R167&amp;" FIGI",$AL$1)))</f>
        <v>HK</v>
      </c>
      <c r="AM167" s="126" t="str">
        <f>IF(OR(T167="Cash",T167="Cash Adjustments",T167="M-Mkt"), T167, IF(T167="Comdty",AS167, _xll.BDP(R167&amp;" FIGI", $AM$1)))</f>
        <v>Financial</v>
      </c>
      <c r="AN167" s="126" t="str">
        <f>IF(OR(T167="Cash",T167="Cash Adjustments",T167="M-Mkt"), T167,  IF(T167="Comdty",AS167,_xll.BDP(R167&amp;" FIGI", $AN$1)))</f>
        <v>Real Estate</v>
      </c>
      <c r="AO167" s="126" t="str">
        <f>IF(OR(T167="Cash",T167="Cash Adjustments",T167="M-Mkt"), T167,  IF(T167="Comdty",AS167,_xll.BDP(R167&amp;" FIGI", $AO$1)))</f>
        <v>Real Estate Oper/Develop</v>
      </c>
      <c r="AP167" s="13" t="str">
        <f>IF(OR(T167="Cash",T167="Cash Adjustments"), T167, IF(_xll.BDP(R167&amp;" FIGI", $AP$1)="#N/A Field Not Applicable","N",_xll.BDP(R167&amp;" FIGI", $AP$1)))</f>
        <v>N</v>
      </c>
      <c r="AQ167" s="1" t="str">
        <f>IF(OR(T167="Cash",T167="Cash Adjustments"), T167, IF(_xll.BDP(R167&amp;" FIGI", $AQ$1)="#N/A Field Not Applicable"," ",_xll.BDP(R167&amp;" FIGI", $AQ$1)))</f>
        <v xml:space="preserve"> </v>
      </c>
      <c r="AR167" s="1" t="str">
        <f>IF(OR(T167="Cash",T167="Cash Adjustments"), T167, IF(_xll.BDP(R167&amp;" FIGI", $AR$1)="#N/A Field Not Applicable"," ",_xll.BDP(R167&amp;" FIGI", $AR$1)))</f>
        <v>ACTV</v>
      </c>
      <c r="AS167" s="1" t="str">
        <f>VLOOKUP(T167,'SFC Classifcation'!$F$2:$H$7,3,0)</f>
        <v>Corporate</v>
      </c>
      <c r="AT167" s="22" t="str">
        <f t="shared" si="57"/>
        <v>Financial</v>
      </c>
      <c r="AU167" s="1" t="str">
        <f t="shared" si="58"/>
        <v>Investment Grade</v>
      </c>
      <c r="AV167" s="1" t="str">
        <f>IF(OR(T167="Cash",T167="Cash Adjustments"),T167,VLOOKUP(AL167,'SFC Classifcation'!$A:$C,3,0))</f>
        <v>Hong Kong</v>
      </c>
      <c r="AW167" s="22" t="str">
        <f t="shared" si="59"/>
        <v>Medium</v>
      </c>
      <c r="AX167" s="22" t="str">
        <f t="shared" si="60"/>
        <v>Medium</v>
      </c>
      <c r="AY167" s="45" t="str">
        <f>IF(OR(T167="Cash",T167="Cash Adjustments"), T167, _xll.BDP(R167&amp;" FIGI", $AY$1))</f>
        <v>#N/A Field Not Applicable</v>
      </c>
      <c r="AZ167" s="45" t="str">
        <f>IF(OR(T167="Cash",T167="Cash Adjustments"), T167, _xll.BDP(R167&amp;" FIGI", $AZ$1))</f>
        <v>FINANCIAL</v>
      </c>
      <c r="BA167" s="45" t="str">
        <f>IF(OR(T167="Cash",T167="Cash Adjustments"), T167, _xll.BDP(R167&amp;" FIGI", $BA$1))</f>
        <v>#N/A Field Not Applicable</v>
      </c>
      <c r="BB167" s="45">
        <f>IF(OR(AS167="Government",AS167="Corporate"),(AK167*AB167/'SFC Report'!$C$20),"")</f>
        <v>5.7572401987121304E-2</v>
      </c>
      <c r="BC167" s="174" t="str">
        <f>IF(OR(T167="Cash",T167="Cash Adjustments", T167="FX Forward", T167="Repo", T167="Equity", T167="M-Mkt"), "", _xll.BDP(R167&amp;" FIGI", $BC$1))</f>
        <v>5/7/2030</v>
      </c>
      <c r="BD167" s="125">
        <f ca="1">IF(OR(T167="Cash",T167="Cash Adjustments",T167="FX Forward",T167="Repo", T167="Equity", T167="M-Mkt"),"",(BC167-'SFC Report'!$B$13)/365)</f>
        <v>10.024657534246575</v>
      </c>
      <c r="BE167" s="82" t="str">
        <f t="shared" ca="1" si="61"/>
        <v>10 yrs or Above</v>
      </c>
      <c r="BF167" s="5">
        <f ca="1">IF(BC167="","",BD167*AB167/'SFC Report'!$C$20)</f>
        <v>3.6071475834054255E-2</v>
      </c>
      <c r="BG167" s="14" cm="1">
        <f t="array" ref="BG167">IF(OR(AS167="Corporate",AS167="Government"),_xll.BDP(G167&amp;" ISIN", $BG$1),"")</f>
        <v>8.5538530950029905</v>
      </c>
      <c r="BH167" s="140">
        <f>IF(OR(AS167="Corporate",AS167="Government"),BG167*BN167/'SFC Report'!$C$20,"")</f>
        <v>3.0779116807768372E-2</v>
      </c>
      <c r="BI167" s="140">
        <f>IF(OR(AS167="Corporate",AS167="Government"),_xll.BDP(G167&amp;" ISIN", $BI$1),"")</f>
        <v>3.1427320308560063</v>
      </c>
      <c r="BJ167" s="140">
        <f>IF(OR(AS167="Corporate",AS167="Government"),BI167*AB167/'SFC Report'!$C$20,"")</f>
        <v>1.1308414488640256E-2</v>
      </c>
      <c r="BK167" s="153" t="str">
        <f>IF(OR(T167="Cash",T167="Cash Adjustments"),"-",_xll.BDP(R167&amp;" FIGI",$BK$1))</f>
        <v>XS2161921338</v>
      </c>
      <c r="BL167" s="11" t="str">
        <f>IF(OR(AS167="Cash", AS167="Cash Adjustments"),"-",IF(ISNA(VLOOKUP(BK167,'BBG - VaR Data (Sample, Indus )'!C:N,5,0)),"-",VLOOKUP(BK167,'BBG - VaR Data (Sample, Indus )'!C:N,5,0)))</f>
        <v>-</v>
      </c>
      <c r="BM167" s="11">
        <f>IF(OR(AS167="Cash", AS167="Cash Adjustments"),"-",IF(ISNA(VLOOKUP(BK167,'BBG - Scenarios (Sample View)'!C:Z,14,0)),"-",VLOOKUP(BK167,'BBG - Scenarios (Sample View)'!C:Z,14,0)))</f>
        <v>-4.6399999999999997</v>
      </c>
      <c r="BN167" s="14">
        <f t="shared" si="62"/>
        <v>1980600.0012899898</v>
      </c>
      <c r="BO167" s="1">
        <f t="shared" si="63"/>
        <v>3.8852417593617469E-3</v>
      </c>
      <c r="BP167" t="str">
        <f>IF(BC167&lt;&gt;0,MaturityBucket(BG167),"")</f>
        <v>7 - 10 yrs</v>
      </c>
      <c r="BQ167" s="11" t="str">
        <f>IF(OR(T167="Cash",T167="Cash Adjustments"),T167,VLOOKUP(AL167,'SFC Classifcation'!$A:$C,2,0))</f>
        <v>Hong Kong</v>
      </c>
      <c r="BR167" s="1" t="e">
        <f>IF(S167="Bond",BH167/'SFC Report'!$B$7,"")</f>
        <v>#VALUE!</v>
      </c>
      <c r="BS167" t="str">
        <f>IF(OR(T167="Cash",T167="Cash Adjustments"),"-",_xll.BDP(R167&amp;" FIGI",$BS$1))</f>
        <v>#N/A N/A</v>
      </c>
      <c r="BT167" t="str">
        <f>IF(OR(T167="Cash",T167="Cash Adjustments"),"-",_xll.BDP(R167&amp;" FIGI",$BT$1))</f>
        <v>4/27/2020</v>
      </c>
      <c r="BU167" t="str">
        <f>IF(OR(T167="Cash",T167="Cash Adjustments"),"-",_xll.BDP(R167&amp;" FIGI",$BU$1))</f>
        <v>#N/A N/A</v>
      </c>
    </row>
    <row r="168" spans="1:73">
      <c r="A168" s="254" t="s">
        <v>15</v>
      </c>
      <c r="B168" s="254" t="s">
        <v>25</v>
      </c>
      <c r="C168" s="254" t="s">
        <v>46</v>
      </c>
      <c r="D168" s="254" t="s">
        <v>22</v>
      </c>
      <c r="E168" s="254"/>
      <c r="F168" s="254" t="s">
        <v>775</v>
      </c>
      <c r="G168" s="254" t="s">
        <v>770</v>
      </c>
      <c r="H168" s="270">
        <v>2500000</v>
      </c>
      <c r="I168" s="270">
        <v>101.18300000000001</v>
      </c>
      <c r="J168" s="270">
        <v>2493075</v>
      </c>
      <c r="K168" s="270">
        <v>19536982.239999998</v>
      </c>
      <c r="L168" s="270">
        <v>67729.929999999993</v>
      </c>
      <c r="M168" s="270">
        <v>31485.19</v>
      </c>
      <c r="N168" s="270">
        <v>19604712.170000002</v>
      </c>
      <c r="O168" s="255">
        <v>4.3E-3</v>
      </c>
      <c r="Q168" s="1" t="str">
        <f t="shared" ref="Q168:Q173" si="64">IF(B168="Cash Long","Cash",A168)</f>
        <v>Investments</v>
      </c>
      <c r="R168" s="1" t="str">
        <f>_xll.BDP(G168&amp;" ISIN",$R$1)</f>
        <v>BBG00NV899R9</v>
      </c>
      <c r="S168" s="1" t="str">
        <f>IF(Q168="Cash",Q168,IF(OR(Q168="Receivable Investments",Q168="Payable Investments"),"Cash Adjustments",_xll.BDP(R168&amp;" FIGI",$S$1)))</f>
        <v>BOND</v>
      </c>
      <c r="T168" s="1" t="str">
        <f>IF(Q168="Cash",Q168,IF(OR(Q168="Receivable Investments",Q168="Payable Investments"),"Cash Adjustments",VLOOKUP(R168,LQA!E:S,3,0)))</f>
        <v>Corp</v>
      </c>
      <c r="U168" s="1" t="str">
        <f>IF(Q168="Cash",Q168,IF(OR(Q168="Receivable Investments",Q168="Payable Investments"),"Cash Adjustments",_xll.BDP(R168&amp;" FIGI",$U$1)))</f>
        <v>#N/A Field Not Applicable</v>
      </c>
      <c r="V168" s="10">
        <f>IF(OR(Q168="Cash",Q168="Receivable Investments",Q168="Payable Investments"),0,IF(Q168="Investments",VLOOKUP(R168,LQA!E:Q,12,0),"Not Covered"))</f>
        <v>0.5</v>
      </c>
      <c r="W168" s="76">
        <f>IF(OR(Q168="Cash",Q168="Receivable Investments",Q168="Payable Investments"),0,IF(Q168="Investments",VLOOKUP(R168,LQA!E:Q,9,0),"Not Covered"))</f>
        <v>1.0071E-2</v>
      </c>
      <c r="X168" s="13" t="str">
        <f>IF(OR(H168=0,T171="Comdty"),"High",IF(V168&lt;='Liquidity Bucket'!$A$4,'Liquidity Bucket'!$I$4,IF(V168&lt;='Liquidity Bucket'!$A$5,'Liquidity Bucket'!$I$5,IF(V168&lt;='Liquidity Bucket'!$A$6,'Liquidity Bucket'!$I$6,IF(V168='Liquidity Bucket'!$A$8,'Liquidity Bucket'!$I$8,'Liquidity Bucket'!$I$7)))))</f>
        <v>High</v>
      </c>
      <c r="Y168" s="153">
        <f>IF(OR(Q168="Cash",Q168="Receivable Investments",Q168="Payable Investments"),0,IF(Q168="Investments",VLOOKUP(R168,'LQA Stress'!E:Q,12,0),"Not Covered"))</f>
        <v>1.6</v>
      </c>
      <c r="Z168" s="75">
        <f>IF(OR(Q168="Cash",Q168="Receivable Investments",Q168="Payable Investments"),0,IF(Q168="Investments",VLOOKUP(R168,'LQA Stress'!E:Q,9,0),"Not Covered"))</f>
        <v>3.8126E-2</v>
      </c>
      <c r="AA168" s="13" t="str">
        <f>IF(T171="Comdty","High",IF(Y168&lt;='Liquidity Bucket'!$A$4,'Liquidity Bucket'!$I$4,IF(Y168&lt;='Liquidity Bucket'!$A$5,'Liquidity Bucket'!$I$5,IF(Y168&lt;='Liquidity Bucket'!$A$6,'Liquidity Bucket'!$I$6,IF(Y168='Liquidity Bucket'!$A$8,'Liquidity Bucket'!$I$8,'Liquidity Bucket'!$I$7)))))</f>
        <v>High</v>
      </c>
      <c r="AB168" s="14">
        <f>(N168+M168)/'FX Rates'!$C$5</f>
        <v>2533049.1950464402</v>
      </c>
      <c r="AC168" s="15" t="str">
        <f>IF(X168="Not Covered", (H168/_xll.BDP(R168&amp;" FIGI",$AC$1)),"")</f>
        <v/>
      </c>
      <c r="AD168" s="16" t="str">
        <f>IF(X168="Not Covered", _xll.BDP(R168&amp;" FIGI",$AD$1),"")</f>
        <v/>
      </c>
      <c r="AE168" s="16" t="str">
        <f>IF(OR(T168="Corp",T168="Govt"),IF(_xll.BDP(R168&amp;" FIGI",$AE$1)="#N/A N/A","",_xll.BDP(R168&amp;" FIGI",$AE$1)),"")</f>
        <v/>
      </c>
      <c r="AF168" s="1" t="str">
        <f>IF(OR(T168="Corp",T168="Govt"),IF(_xll.BDP(R168&amp;" FIGI",$AF$1)="#N/A N/A","",_xll.BDP(R168&amp;" FIGI",$AF$1)),"")</f>
        <v/>
      </c>
      <c r="AG168" s="16" t="str">
        <f>IF(OR(T168="Corp",T168="Govt"),IF(_xll.BDP(R168&amp;" FIGI",$AG$1)="#N/A N/A","",_xll.BDP(R168&amp;" FIGI",$AG$1)),"")</f>
        <v>BBB+</v>
      </c>
      <c r="AH168" s="125">
        <f>IF(OR(S168="Cash",S168="M-Mkt"),21,IF(AE168="",0,VLOOKUP(AE168,'Rating Scale'!A:B,2,0)))</f>
        <v>0</v>
      </c>
      <c r="AI168" s="125">
        <f>IF(OR(S168="Cash",S168="M-Mkt"),21,IF(AF168="",0,VLOOKUP(AF168,'Rating Scale'!D:E,2,0)))</f>
        <v>0</v>
      </c>
      <c r="AJ168" s="125">
        <f>IF(OR(S168="Cash",S168="M-Mkt"),21,IF(AG168="",0,VLOOKUP(AG168,'Rating Scale'!G:H,2,0)))</f>
        <v>14</v>
      </c>
      <c r="AK168">
        <f t="shared" ref="AK168:AK173" si="65">Rating(AH168,AI168,AJ168)</f>
        <v>14</v>
      </c>
      <c r="AL168" s="1" t="str">
        <f>IF(OR(U168="Cash",U168="Cash Adjustments"),_xll.BDP(G168&amp;" Curncy","Country"),IF(T168="Equity",_xll.BDP(R168&amp;" FIGI","CNTRY_ISSUE_ISO"),_xll.BDP(R168&amp;" FIGI",$AL$1)))</f>
        <v>CN</v>
      </c>
      <c r="AM168" s="126" t="str">
        <f>IF(OR(T168="Cash",T168="Cash Adjustments",T168="M-Mkt"), T168, IF(T168="Comdty",AS168, _xll.BDP(R168&amp;" FIGI", $AM$1)))</f>
        <v>Industrial</v>
      </c>
      <c r="AN168" s="126" t="str">
        <f>IF(OR(T168="Cash",T168="Cash Adjustments",T168="M-Mkt"), T168,  IF(T168="Comdty",AS168,_xll.BDP(R168&amp;" FIGI", $AN$1)))</f>
        <v>Engineering&amp;Construction</v>
      </c>
      <c r="AO168" s="126" t="str">
        <f>IF(OR(T168="Cash",T168="Cash Adjustments",T168="M-Mkt"), T168,  IF(T168="Comdty",AS168,_xll.BDP(R168&amp;" FIGI", $AO$1)))</f>
        <v>Building-Heavy Construct</v>
      </c>
      <c r="AP168" s="13" t="str">
        <f>IF(OR(T168="Cash",T168="Cash Adjustments"), T168, IF(_xll.BDP(R168&amp;" FIGI", $AP$1)="#N/A Field Not Applicable","N",_xll.BDP(R168&amp;" FIGI", $AP$1)))</f>
        <v>N</v>
      </c>
      <c r="AQ168" s="1" t="str">
        <f>IF(OR(T168="Cash",T168="Cash Adjustments"), T168, IF(_xll.BDP(R168&amp;" FIGI", $AQ$1)="#N/A Field Not Applicable"," ",_xll.BDP(R168&amp;" FIGI", $AQ$1)))</f>
        <v xml:space="preserve"> </v>
      </c>
      <c r="AR168" s="1" t="str">
        <f>IF(OR(T168="Cash",T168="Cash Adjustments"), T168, IF(_xll.BDP(R168&amp;" FIGI", $AR$1)="#N/A Field Not Applicable"," ",_xll.BDP(R168&amp;" FIGI", $AR$1)))</f>
        <v>ACTV</v>
      </c>
      <c r="AS168" s="1" t="str">
        <f>VLOOKUP(T168,'SFC Classifcation'!$F$2:$H$7,3,0)</f>
        <v>Corporate</v>
      </c>
      <c r="AT168" s="22" t="str">
        <f t="shared" ref="AT168:AT173" si="66">IF(OR(T168="Cash",T168="Cash Adjustments"),T168, IF(AM168&lt;&gt;"Financial","Non-Financial","Financial"))</f>
        <v>Non-Financial</v>
      </c>
      <c r="AU168" s="1" t="str">
        <f t="shared" ref="AU168:AU173" si="67">IF(OR(T168="Cash",T168="Cash Adjustments",T168="Equity", T168="Comdty"),"",IF(AK168&gt;=12,"Investment Grade", "Non-Investment Grade"))</f>
        <v>Investment Grade</v>
      </c>
      <c r="AV168" s="1" t="str">
        <f>IF(OR(T168="Cash",T168="Cash Adjustments"),T168,VLOOKUP(AL168,'SFC Classifcation'!$A:$C,3,0))</f>
        <v>China</v>
      </c>
      <c r="AW168" s="22" t="str">
        <f t="shared" ref="AW168:AW173" si="68">LQBucket(X168,AK168,AD168,AC168)</f>
        <v>High</v>
      </c>
      <c r="AX168" s="22" t="str">
        <f t="shared" ref="AX168:AX173" si="69">LQBucket(AA168,AK168,AD168,AC168)</f>
        <v>High</v>
      </c>
      <c r="AY168" s="45" t="str">
        <f>IF(OR(T168="Cash",T168="Cash Adjustments"), T168, _xll.BDP(R168&amp;" FIGI", $AY$1))</f>
        <v>#N/A Field Not Applicable</v>
      </c>
      <c r="AZ168" s="45" t="str">
        <f>IF(OR(T168="Cash",T168="Cash Adjustments"), T168, _xll.BDP(R168&amp;" FIGI", $AZ$1))</f>
        <v>SPECIAL PURPOSE</v>
      </c>
      <c r="BA168" s="45" t="str">
        <f>IF(OR(T168="Cash",T168="Cash Adjustments"), T168, _xll.BDP(R168&amp;" FIGI", $BA$1))</f>
        <v>Chengtou Bond</v>
      </c>
      <c r="BB168" s="45">
        <f>IF(OR(AS168="Government",AS168="Corporate"),(AK168*AB168/'SFC Report'!$C$20),"")</f>
        <v>6.4427199138372873E-2</v>
      </c>
      <c r="BC168" s="174" t="str">
        <f>IF(OR(T168="Cash",T168="Cash Adjustments", T168="FX Forward", T168="Repo", T168="Equity", T168="M-Mkt"), "", _xll.BDP(R168&amp;" FIGI", $BC$1))</f>
        <v>4/17/2022</v>
      </c>
      <c r="BD168" s="125">
        <f ca="1">IF(OR(T168="Cash",T168="Cash Adjustments",T168="FX Forward",T168="Repo", T168="Equity", T168="M-Mkt"),"",(BC168-'SFC Report'!$B$13)/365)</f>
        <v>1.9643835616438357</v>
      </c>
      <c r="BE168" s="82" t="str">
        <f t="shared" ref="BE168:BE173" ca="1" si="70">IF(BC168&lt;&gt;0,MaturityBucket(BD168),"")</f>
        <v>1 - 2 yrs</v>
      </c>
      <c r="BF168" s="5">
        <f ca="1">IF(BC168="","",BD168*AB168/'SFC Report'!$C$20)</f>
        <v>9.03998077929811E-3</v>
      </c>
      <c r="BG168" s="14" cm="1">
        <f t="array" ref="BG168">IF(OR(AS168="Corporate",AS168="Government"),_xll.BDP(G168&amp;" ISIN", $BG$1),"")</f>
        <v>1.7907856594485676</v>
      </c>
      <c r="BH168" s="140">
        <f>IF(OR(AS168="Corporate",AS168="Government"),BG168*BN168/'SFC Report'!$C$20,"")</f>
        <v>8.2410931639596598E-3</v>
      </c>
      <c r="BI168" s="140">
        <f>IF(OR(AS168="Corporate",AS168="Government"),_xll.BDP(G168&amp;" ISIN", $BI$1),"")</f>
        <v>3.7501790914003252</v>
      </c>
      <c r="BJ168" s="140">
        <f>IF(OR(AS168="Corporate",AS168="Government"),BI168*AB168/'SFC Report'!$C$20,"")</f>
        <v>1.7258109651872213E-2</v>
      </c>
      <c r="BK168" s="153" t="str">
        <f>IF(OR(T168="Cash",T168="Cash Adjustments"),"-",_xll.BDP(R168&amp;" FIGI",$BK$1))</f>
        <v>XS1958219922</v>
      </c>
      <c r="BL168" s="11" t="str">
        <f>IF(OR(AS168="Cash", AS168="Cash Adjustments"),"-",IF(ISNA(VLOOKUP(BK168,'BBG - VaR Data (Sample, Indus )'!C:N,5,0)),"-",VLOOKUP(BK168,'BBG - VaR Data (Sample, Indus )'!C:N,5,0)))</f>
        <v>-</v>
      </c>
      <c r="BM168" s="11">
        <f>IF(OR(AS168="Cash", AS168="Cash Adjustments"),"-",IF(ISNA(VLOOKUP(BK168,'BBG - Scenarios (Sample View)'!C:Z,14,0)),"-",VLOOKUP(BK168,'BBG - Scenarios (Sample View)'!C:Z,14,0)))</f>
        <v>-1.39</v>
      </c>
      <c r="BN168" s="14">
        <f t="shared" ref="BN168:BN173" si="71">AB168</f>
        <v>2533049.1950464402</v>
      </c>
      <c r="BO168" s="1">
        <f t="shared" ref="BO168:BO173" si="72">BN168/SUM($BN$2:$BN$154)</f>
        <v>4.9689530973958344E-3</v>
      </c>
      <c r="BP168" t="str">
        <f>IF(BC168&lt;&gt;0,MaturityBucket(BG168),"")</f>
        <v>1 - 2 yrs</v>
      </c>
      <c r="BQ168" s="11" t="str">
        <f>IF(OR(T168="Cash",T168="Cash Adjustments"),T168,VLOOKUP(AL168,'SFC Classifcation'!$A:$C,2,0))</f>
        <v>China</v>
      </c>
      <c r="BR168" s="1" t="e">
        <f>IF(S168="Bond",BH168/'SFC Report'!$B$7,"")</f>
        <v>#VALUE!</v>
      </c>
      <c r="BS168" t="str">
        <f>IF(OR(T168="Cash",T168="Cash Adjustments"),"-",_xll.BDP(R168&amp;" FIGI",$BS$1))</f>
        <v>#N/A N/A</v>
      </c>
      <c r="BT168" t="str">
        <f>IF(OR(T168="Cash",T168="Cash Adjustments"),"-",_xll.BDP(R168&amp;" FIGI",$BT$1))</f>
        <v>#N/A N/A</v>
      </c>
      <c r="BU168" t="str">
        <f>IF(OR(T168="Cash",T168="Cash Adjustments"),"-",_xll.BDP(R168&amp;" FIGI",$BU$1))</f>
        <v>4/12/2019</v>
      </c>
    </row>
    <row r="169" spans="1:73">
      <c r="A169" s="254" t="s">
        <v>15</v>
      </c>
      <c r="B169" s="254" t="s">
        <v>25</v>
      </c>
      <c r="C169" s="254" t="s">
        <v>46</v>
      </c>
      <c r="D169" s="254" t="s">
        <v>22</v>
      </c>
      <c r="E169" s="254"/>
      <c r="F169" s="254" t="s">
        <v>1357</v>
      </c>
      <c r="G169" s="254" t="s">
        <v>1358</v>
      </c>
      <c r="H169" s="270">
        <v>500000</v>
      </c>
      <c r="I169" s="270">
        <v>97.757000000000005</v>
      </c>
      <c r="J169" s="270">
        <v>514750</v>
      </c>
      <c r="K169" s="270">
        <v>4000894.38</v>
      </c>
      <c r="L169" s="270">
        <v>-212712.87</v>
      </c>
      <c r="M169" s="270">
        <v>5086.07</v>
      </c>
      <c r="N169" s="270">
        <v>3788181.51</v>
      </c>
      <c r="O169" s="255">
        <v>8.0000000000000004E-4</v>
      </c>
      <c r="Q169" s="1" t="str">
        <f t="shared" si="64"/>
        <v>Investments</v>
      </c>
      <c r="R169" s="1" t="str">
        <f>_xll.BDP(G169&amp;" ISIN",$R$1)</f>
        <v>BBG00KMQKL04</v>
      </c>
      <c r="S169" s="1" t="str">
        <f>IF(Q169="Cash",Q169,IF(OR(Q169="Receivable Investments",Q169="Payable Investments"),"Cash Adjustments",_xll.BDP(R169&amp;" FIGI",$S$1)))</f>
        <v>BOND</v>
      </c>
      <c r="T169" s="1" t="str">
        <f>IF(Q169="Cash",Q169,IF(OR(Q169="Receivable Investments",Q169="Payable Investments"),"Cash Adjustments",VLOOKUP(R169,LQA!E:S,3,0)))</f>
        <v>Corp</v>
      </c>
      <c r="U169" s="1" t="str">
        <f>IF(Q169="Cash",Q169,IF(OR(Q169="Receivable Investments",Q169="Payable Investments"),"Cash Adjustments",_xll.BDP(R169&amp;" FIGI",$U$1)))</f>
        <v>#N/A Field Not Applicable</v>
      </c>
      <c r="V169" s="10">
        <f>IF(OR(Q169="Cash",Q169="Receivable Investments",Q169="Payable Investments"),0,IF(Q169="Investments",VLOOKUP(R169,LQA!E:Q,12,0),"Not Covered"))</f>
        <v>0.3</v>
      </c>
      <c r="W169" s="76">
        <f>IF(OR(Q169="Cash",Q169="Receivable Investments",Q169="Payable Investments"),0,IF(Q169="Investments",VLOOKUP(R169,LQA!E:Q,9,0),"Not Covered"))</f>
        <v>7.8429999999999993E-3</v>
      </c>
      <c r="X169" s="13" t="str">
        <f>IF(OR(H169=0,T172="Comdty"),"High",IF(V169&lt;='Liquidity Bucket'!$A$4,'Liquidity Bucket'!$I$4,IF(V169&lt;='Liquidity Bucket'!$A$5,'Liquidity Bucket'!$I$5,IF(V169&lt;='Liquidity Bucket'!$A$6,'Liquidity Bucket'!$I$6,IF(V169='Liquidity Bucket'!$A$8,'Liquidity Bucket'!$I$8,'Liquidity Bucket'!$I$7)))))</f>
        <v>High</v>
      </c>
      <c r="Y169" s="153">
        <f>IF(OR(Q169="Cash",Q169="Receivable Investments",Q169="Payable Investments"),0,IF(Q169="Investments",VLOOKUP(R169,'LQA Stress'!E:Q,12,0),"Not Covered"))</f>
        <v>0.7</v>
      </c>
      <c r="Z169" s="75">
        <f>IF(OR(Q169="Cash",Q169="Receivable Investments",Q169="Payable Investments"),0,IF(Q169="Investments",VLOOKUP(R169,'LQA Stress'!E:Q,9,0),"Not Covered"))</f>
        <v>2.0823999999999999E-2</v>
      </c>
      <c r="AA169" s="13" t="str">
        <f>IF(T172="Comdty","High",IF(Y169&lt;='Liquidity Bucket'!$A$4,'Liquidity Bucket'!$I$4,IF(Y169&lt;='Liquidity Bucket'!$A$5,'Liquidity Bucket'!$I$5,IF(Y169&lt;='Liquidity Bucket'!$A$6,'Liquidity Bucket'!$I$6,IF(Y169='Liquidity Bucket'!$A$8,'Liquidity Bucket'!$I$8,'Liquidity Bucket'!$I$7)))))</f>
        <v>High</v>
      </c>
      <c r="AB169" s="14">
        <f>(N169+M169)/'FX Rates'!$C$5</f>
        <v>489327.60319917439</v>
      </c>
      <c r="AC169" s="15" t="str">
        <f>IF(X169="Not Covered", (H169/_xll.BDP(R169&amp;" FIGI",$AC$1)),"")</f>
        <v/>
      </c>
      <c r="AD169" s="16" t="str">
        <f>IF(X169="Not Covered", _xll.BDP(R169&amp;" FIGI",$AD$1),"")</f>
        <v/>
      </c>
      <c r="AE169" s="16" t="str">
        <f>IF(OR(T169="Corp",T169="Govt"),IF(_xll.BDP(R169&amp;" FIGI",$AE$1)="#N/A N/A","",_xll.BDP(R169&amp;" FIGI",$AE$1)),"")</f>
        <v>B+</v>
      </c>
      <c r="AF169" s="1" t="str">
        <f>IF(OR(T169="Corp",T169="Govt"),IF(_xll.BDP(R169&amp;" FIGI",$AF$1)="#N/A N/A","",_xll.BDP(R169&amp;" FIGI",$AF$1)),"")</f>
        <v>Ba3</v>
      </c>
      <c r="AG169" s="16" t="str">
        <f>IF(OR(T169="Corp",T169="Govt"),IF(_xll.BDP(R169&amp;" FIGI",$AG$1)="#N/A N/A","",_xll.BDP(R169&amp;" FIGI",$AG$1)),"")</f>
        <v/>
      </c>
      <c r="AH169" s="125">
        <f>IF(OR(S169="Cash",S169="M-Mkt"),21,IF(AE169="",0,VLOOKUP(AE169,'Rating Scale'!A:B,2,0)))</f>
        <v>8</v>
      </c>
      <c r="AI169" s="125">
        <f>IF(OR(S169="Cash",S169="M-Mkt"),21,IF(AF169="",0,VLOOKUP(AF169,'Rating Scale'!D:E,2,0)))</f>
        <v>9</v>
      </c>
      <c r="AJ169" s="125">
        <f>IF(OR(S169="Cash",S169="M-Mkt"),21,IF(AG169="",0,VLOOKUP(AG169,'Rating Scale'!G:H,2,0)))</f>
        <v>0</v>
      </c>
      <c r="AK169">
        <f t="shared" si="65"/>
        <v>8</v>
      </c>
      <c r="AL169" s="1" t="str">
        <f>IF(OR(U169="Cash",U169="Cash Adjustments"),_xll.BDP(G169&amp;" Curncy","Country"),IF(T169="Equity",_xll.BDP(R169&amp;" FIGI","CNTRY_ISSUE_ISO"),_xll.BDP(R169&amp;" FIGI",$AL$1)))</f>
        <v>SG</v>
      </c>
      <c r="AM169" s="126" t="str">
        <f>IF(OR(T169="Cash",T169="Cash Adjustments",T169="M-Mkt"), T169, IF(T169="Comdty",AS169, _xll.BDP(R169&amp;" FIGI", $AM$1)))</f>
        <v>Financial</v>
      </c>
      <c r="AN169" s="126" t="str">
        <f>IF(OR(T169="Cash",T169="Cash Adjustments",T169="M-Mkt"), T169,  IF(T169="Comdty",AS169,_xll.BDP(R169&amp;" FIGI", $AN$1)))</f>
        <v>Real Estate</v>
      </c>
      <c r="AO169" s="126" t="str">
        <f>IF(OR(T169="Cash",T169="Cash Adjustments",T169="M-Mkt"), T169,  IF(T169="Comdty",AS169,_xll.BDP(R169&amp;" FIGI", $AO$1)))</f>
        <v>Real Estate Oper/Develop</v>
      </c>
      <c r="AP169" s="13" t="str">
        <f>IF(OR(T169="Cash",T169="Cash Adjustments"), T169, IF(_xll.BDP(R169&amp;" FIGI", $AP$1)="#N/A Field Not Applicable","N",_xll.BDP(R169&amp;" FIGI", $AP$1)))</f>
        <v>N</v>
      </c>
      <c r="AQ169" s="1" t="str">
        <f>IF(OR(T169="Cash",T169="Cash Adjustments"), T169, IF(_xll.BDP(R169&amp;" FIGI", $AQ$1)="#N/A Field Not Applicable"," ",_xll.BDP(R169&amp;" FIGI", $AQ$1)))</f>
        <v xml:space="preserve"> </v>
      </c>
      <c r="AR169" s="1" t="str">
        <f>IF(OR(T169="Cash",T169="Cash Adjustments"), T169, IF(_xll.BDP(R169&amp;" FIGI", $AR$1)="#N/A Field Not Applicable"," ",_xll.BDP(R169&amp;" FIGI", $AR$1)))</f>
        <v>ACTV</v>
      </c>
      <c r="AS169" s="1" t="str">
        <f>VLOOKUP(T169,'SFC Classifcation'!$F$2:$H$7,3,0)</f>
        <v>Corporate</v>
      </c>
      <c r="AT169" s="22" t="str">
        <f t="shared" si="66"/>
        <v>Financial</v>
      </c>
      <c r="AU169" s="1" t="str">
        <f t="shared" si="67"/>
        <v>Non-Investment Grade</v>
      </c>
      <c r="AV169" s="1" t="str">
        <f>IF(OR(T169="Cash",T169="Cash Adjustments"),T169,VLOOKUP(AL169,'SFC Classifcation'!$A:$C,3,0))</f>
        <v>Singapore</v>
      </c>
      <c r="AW169" s="22" t="str">
        <f t="shared" si="68"/>
        <v>High</v>
      </c>
      <c r="AX169" s="22" t="str">
        <f t="shared" si="69"/>
        <v>High</v>
      </c>
      <c r="AY169" s="45" t="str">
        <f>IF(OR(T169="Cash",T169="Cash Adjustments"), T169, _xll.BDP(R169&amp;" FIGI", $AY$1))</f>
        <v>#N/A Field Not Applicable</v>
      </c>
      <c r="AZ169" s="45" t="str">
        <f>IF(OR(T169="Cash",T169="Cash Adjustments"), T169, _xll.BDP(R169&amp;" FIGI", $AZ$1))</f>
        <v>FINANCIAL</v>
      </c>
      <c r="BA169" s="45" t="str">
        <f>IF(OR(T169="Cash",T169="Cash Adjustments"), T169, _xll.BDP(R169&amp;" FIGI", $BA$1))</f>
        <v>#N/A Field Not Applicable</v>
      </c>
      <c r="BB169" s="45">
        <f>IF(OR(AS169="Government",AS169="Corporate"),(AK169*AB169/'SFC Report'!$C$20),"")</f>
        <v>7.1119270565557979E-3</v>
      </c>
      <c r="BC169" s="174" t="str">
        <f>IF(OR(T169="Cash",T169="Cash Adjustments", T169="FX Forward", T169="Repo", T169="Equity", T169="M-Mkt"), "", _xll.BDP(R169&amp;" FIGI", $BC$1))</f>
        <v>4/23/2023</v>
      </c>
      <c r="BD169" s="125">
        <f ca="1">IF(OR(T169="Cash",T169="Cash Adjustments",T169="FX Forward",T169="Repo", T169="Equity", T169="M-Mkt"),"",(BC169-'SFC Report'!$B$13)/365)</f>
        <v>2.9808219178082194</v>
      </c>
      <c r="BE169" s="82" t="str">
        <f t="shared" ca="1" si="70"/>
        <v>2 - 3 yrs</v>
      </c>
      <c r="BF169" s="5">
        <f ca="1">IF(BC169="","",BD169*AB169/'SFC Report'!$C$20)</f>
        <v>2.6499235060043523E-3</v>
      </c>
      <c r="BG169" s="14" cm="1">
        <f t="array" ref="BG169">IF(OR(AS169="Corporate",AS169="Government"),_xll.BDP(G169&amp;" ISIN", $BG$1),"")</f>
        <v>2.5806730844923194</v>
      </c>
      <c r="BH169" s="140">
        <f>IF(OR(AS169="Corporate",AS169="Government"),BG169*BN169/'SFC Report'!$C$20,"")</f>
        <v>2.2941948417157789E-3</v>
      </c>
      <c r="BI169" s="140">
        <f>IF(OR(AS169="Corporate",AS169="Government"),_xll.BDP(G169&amp;" ISIN", $BI$1),"")</f>
        <v>6.9504190022966492</v>
      </c>
      <c r="BJ169" s="140">
        <f>IF(OR(AS169="Corporate",AS169="Government"),BI169*AB169/'SFC Report'!$C$20,"")</f>
        <v>6.1788591196041366E-3</v>
      </c>
      <c r="BK169" s="153" t="str">
        <f>IF(OR(T169="Cash",T169="Cash Adjustments"),"-",_xll.BDP(R169&amp;" FIGI",$BK$1))</f>
        <v>XS1809258210</v>
      </c>
      <c r="BL169" s="11" t="str">
        <f>IF(OR(AS169="Cash", AS169="Cash Adjustments"),"-",IF(ISNA(VLOOKUP(BK169,'BBG - VaR Data (Sample, Indus )'!C:N,5,0)),"-",VLOOKUP(BK169,'BBG - VaR Data (Sample, Indus )'!C:N,5,0)))</f>
        <v>-</v>
      </c>
      <c r="BM169" s="11">
        <f>IF(OR(AS169="Cash", AS169="Cash Adjustments"),"-",IF(ISNA(VLOOKUP(BK169,'BBG - Scenarios (Sample View)'!C:Z,14,0)),"-",VLOOKUP(BK169,'BBG - Scenarios (Sample View)'!C:Z,14,0)))</f>
        <v>-3.26</v>
      </c>
      <c r="BN169" s="14">
        <f t="shared" si="71"/>
        <v>489327.60319917439</v>
      </c>
      <c r="BO169" s="1">
        <f t="shared" si="72"/>
        <v>9.59888941088347E-4</v>
      </c>
      <c r="BP169" t="str">
        <f>IF(BC169&lt;&gt;0,MaturityBucket(BG169),"")</f>
        <v>2 - 3 yrs</v>
      </c>
      <c r="BQ169" s="11" t="str">
        <f>IF(OR(T169="Cash",T169="Cash Adjustments"),T169,VLOOKUP(AL169,'SFC Classifcation'!$A:$C,2,0))</f>
        <v>Singapore</v>
      </c>
      <c r="BR169" s="1" t="e">
        <f>IF(S169="Bond",BH169/'SFC Report'!$B$7,"")</f>
        <v>#VALUE!</v>
      </c>
      <c r="BS169" t="str">
        <f>IF(OR(T169="Cash",T169="Cash Adjustments"),"-",_xll.BDP(R169&amp;" FIGI",$BS$1))</f>
        <v>1/21/2020</v>
      </c>
      <c r="BT169" t="str">
        <f>IF(OR(T169="Cash",T169="Cash Adjustments"),"-",_xll.BDP(R169&amp;" FIGI",$BT$1))</f>
        <v>1/23/2020</v>
      </c>
      <c r="BU169" t="str">
        <f>IF(OR(T169="Cash",T169="Cash Adjustments"),"-",_xll.BDP(R169&amp;" FIGI",$BU$1))</f>
        <v>#N/A N/A</v>
      </c>
    </row>
    <row r="170" spans="1:73">
      <c r="A170" s="254" t="s">
        <v>15</v>
      </c>
      <c r="B170" s="254" t="s">
        <v>25</v>
      </c>
      <c r="C170" s="254" t="s">
        <v>46</v>
      </c>
      <c r="D170" s="254" t="s">
        <v>22</v>
      </c>
      <c r="E170" s="254"/>
      <c r="F170" s="254" t="s">
        <v>1359</v>
      </c>
      <c r="G170" s="254" t="s">
        <v>1360</v>
      </c>
      <c r="H170" s="270">
        <v>3000000</v>
      </c>
      <c r="I170" s="270">
        <v>95.811999999999998</v>
      </c>
      <c r="J170" s="270">
        <v>3082500</v>
      </c>
      <c r="K170" s="270">
        <v>23958731.25</v>
      </c>
      <c r="L170" s="270">
        <v>-1681866.38</v>
      </c>
      <c r="M170" s="270">
        <v>276682.14</v>
      </c>
      <c r="N170" s="270">
        <v>22276864.870000001</v>
      </c>
      <c r="O170" s="255">
        <v>4.8999999999999998E-3</v>
      </c>
      <c r="Q170" s="1" t="str">
        <f t="shared" si="64"/>
        <v>Investments</v>
      </c>
      <c r="R170" s="1" t="str">
        <f>_xll.BDP(G170&amp;" ISIN",$R$1)</f>
        <v>BBG00Q2B8JR6</v>
      </c>
      <c r="S170" s="1" t="str">
        <f>IF(Q170="Cash",Q170,IF(OR(Q170="Receivable Investments",Q170="Payable Investments"),"Cash Adjustments",_xll.BDP(R170&amp;" FIGI",$S$1)))</f>
        <v>BOND</v>
      </c>
      <c r="T170" s="1" t="str">
        <f>IF(Q170="Cash",Q170,IF(OR(Q170="Receivable Investments",Q170="Payable Investments"),"Cash Adjustments",VLOOKUP(R170,LQA!E:S,3,0)))</f>
        <v>Corp</v>
      </c>
      <c r="U170" s="1" t="str">
        <f>IF(Q170="Cash",Q170,IF(OR(Q170="Receivable Investments",Q170="Payable Investments"),"Cash Adjustments",_xll.BDP(R170&amp;" FIGI",$U$1)))</f>
        <v>#N/A Field Not Applicable</v>
      </c>
      <c r="V170" s="10">
        <f>IF(OR(Q170="Cash",Q170="Receivable Investments",Q170="Payable Investments"),0,IF(Q170="Investments",VLOOKUP(R170,LQA!E:Q,12,0),"Not Covered"))</f>
        <v>0.3</v>
      </c>
      <c r="W170" s="76">
        <f>IF(OR(Q170="Cash",Q170="Receivable Investments",Q170="Payable Investments"),0,IF(Q170="Investments",VLOOKUP(R170,LQA!E:Q,9,0),"Not Covered"))</f>
        <v>1.3127E-2</v>
      </c>
      <c r="X170" s="13" t="str">
        <f>IF(OR(H170=0,T173="Comdty"),"High",IF(V170&lt;='Liquidity Bucket'!$A$4,'Liquidity Bucket'!$I$4,IF(V170&lt;='Liquidity Bucket'!$A$5,'Liquidity Bucket'!$I$5,IF(V170&lt;='Liquidity Bucket'!$A$6,'Liquidity Bucket'!$I$6,IF(V170='Liquidity Bucket'!$A$8,'Liquidity Bucket'!$I$8,'Liquidity Bucket'!$I$7)))))</f>
        <v>High</v>
      </c>
      <c r="Y170" s="153">
        <f>IF(OR(Q170="Cash",Q170="Receivable Investments",Q170="Payable Investments"),0,IF(Q170="Investments",VLOOKUP(R170,'LQA Stress'!E:Q,12,0),"Not Covered"))</f>
        <v>1.5</v>
      </c>
      <c r="Z170" s="75">
        <f>IF(OR(Q170="Cash",Q170="Receivable Investments",Q170="Payable Investments"),0,IF(Q170="Investments",VLOOKUP(R170,'LQA Stress'!E:Q,9,0),"Not Covered"))</f>
        <v>3.3623E-2</v>
      </c>
      <c r="AA170" s="13" t="str">
        <f>IF(T173="Comdty","High",IF(Y170&lt;='Liquidity Bucket'!$A$4,'Liquidity Bucket'!$I$4,IF(Y170&lt;='Liquidity Bucket'!$A$5,'Liquidity Bucket'!$I$5,IF(Y170&lt;='Liquidity Bucket'!$A$6,'Liquidity Bucket'!$I$6,IF(Y170='Liquidity Bucket'!$A$8,'Liquidity Bucket'!$I$8,'Liquidity Bucket'!$I$7)))))</f>
        <v>High</v>
      </c>
      <c r="AB170" s="14">
        <f>(N170+M170)/'FX Rates'!$C$5</f>
        <v>2909384.2892156867</v>
      </c>
      <c r="AC170" s="15" t="str">
        <f>IF(X170="Not Covered", (H170/_xll.BDP(R170&amp;" FIGI",$AC$1)),"")</f>
        <v/>
      </c>
      <c r="AD170" s="16" t="str">
        <f>IF(X170="Not Covered", _xll.BDP(R170&amp;" FIGI",$AD$1),"")</f>
        <v/>
      </c>
      <c r="AE170" s="16" t="str">
        <f>IF(OR(T170="Corp",T170="Govt"),IF(_xll.BDP(R170&amp;" FIGI",$AE$1)="#N/A N/A","",_xll.BDP(R170&amp;" FIGI",$AE$1)),"")</f>
        <v>B+</v>
      </c>
      <c r="AF170" s="1" t="str">
        <f>IF(OR(T170="Corp",T170="Govt"),IF(_xll.BDP(R170&amp;" FIGI",$AF$1)="#N/A N/A","",_xll.BDP(R170&amp;" FIGI",$AF$1)),"")</f>
        <v>Ba3</v>
      </c>
      <c r="AG170" s="16" t="str">
        <f>IF(OR(T170="Corp",T170="Govt"),IF(_xll.BDP(R170&amp;" FIGI",$AG$1)="#N/A N/A","",_xll.BDP(R170&amp;" FIGI",$AG$1)),"")</f>
        <v/>
      </c>
      <c r="AH170" s="125">
        <f>IF(OR(S170="Cash",S170="M-Mkt"),21,IF(AE170="",0,VLOOKUP(AE170,'Rating Scale'!A:B,2,0)))</f>
        <v>8</v>
      </c>
      <c r="AI170" s="125">
        <f>IF(OR(S170="Cash",S170="M-Mkt"),21,IF(AF170="",0,VLOOKUP(AF170,'Rating Scale'!D:E,2,0)))</f>
        <v>9</v>
      </c>
      <c r="AJ170" s="125">
        <f>IF(OR(S170="Cash",S170="M-Mkt"),21,IF(AG170="",0,VLOOKUP(AG170,'Rating Scale'!G:H,2,0)))</f>
        <v>0</v>
      </c>
      <c r="AK170">
        <f t="shared" si="65"/>
        <v>8</v>
      </c>
      <c r="AL170" s="1" t="str">
        <f>IF(OR(U170="Cash",U170="Cash Adjustments"),_xll.BDP(G170&amp;" Curncy","Country"),IF(T170="Equity",_xll.BDP(R170&amp;" FIGI","CNTRY_ISSUE_ISO"),_xll.BDP(R170&amp;" FIGI",$AL$1)))</f>
        <v>SG</v>
      </c>
      <c r="AM170" s="126" t="str">
        <f>IF(OR(T170="Cash",T170="Cash Adjustments",T170="M-Mkt"), T170, IF(T170="Comdty",AS170, _xll.BDP(R170&amp;" FIGI", $AM$1)))</f>
        <v>Financial</v>
      </c>
      <c r="AN170" s="126" t="str">
        <f>IF(OR(T170="Cash",T170="Cash Adjustments",T170="M-Mkt"), T170,  IF(T170="Comdty",AS170,_xll.BDP(R170&amp;" FIGI", $AN$1)))</f>
        <v>Real Estate</v>
      </c>
      <c r="AO170" s="126" t="str">
        <f>IF(OR(T170="Cash",T170="Cash Adjustments",T170="M-Mkt"), T170,  IF(T170="Comdty",AS170,_xll.BDP(R170&amp;" FIGI", $AO$1)))</f>
        <v>Real Estate Oper/Develop</v>
      </c>
      <c r="AP170" s="13" t="str">
        <f>IF(OR(T170="Cash",T170="Cash Adjustments"), T170, IF(_xll.BDP(R170&amp;" FIGI", $AP$1)="#N/A Field Not Applicable","N",_xll.BDP(R170&amp;" FIGI", $AP$1)))</f>
        <v>N</v>
      </c>
      <c r="AQ170" s="1" t="str">
        <f>IF(OR(T170="Cash",T170="Cash Adjustments"), T170, IF(_xll.BDP(R170&amp;" FIGI", $AQ$1)="#N/A Field Not Applicable"," ",_xll.BDP(R170&amp;" FIGI", $AQ$1)))</f>
        <v xml:space="preserve"> </v>
      </c>
      <c r="AR170" s="1" t="str">
        <f>IF(OR(T170="Cash",T170="Cash Adjustments"), T170, IF(_xll.BDP(R170&amp;" FIGI", $AR$1)="#N/A Field Not Applicable"," ",_xll.BDP(R170&amp;" FIGI", $AR$1)))</f>
        <v>ACTV</v>
      </c>
      <c r="AS170" s="1" t="str">
        <f>VLOOKUP(T170,'SFC Classifcation'!$F$2:$H$7,3,0)</f>
        <v>Corporate</v>
      </c>
      <c r="AT170" s="22" t="str">
        <f t="shared" si="66"/>
        <v>Financial</v>
      </c>
      <c r="AU170" s="1" t="str">
        <f t="shared" si="67"/>
        <v>Non-Investment Grade</v>
      </c>
      <c r="AV170" s="1" t="str">
        <f>IF(OR(T170="Cash",T170="Cash Adjustments"),T170,VLOOKUP(AL170,'SFC Classifcation'!$A:$C,3,0))</f>
        <v>Singapore</v>
      </c>
      <c r="AW170" s="22" t="str">
        <f t="shared" si="68"/>
        <v>High</v>
      </c>
      <c r="AX170" s="22" t="str">
        <f t="shared" si="69"/>
        <v>High</v>
      </c>
      <c r="AY170" s="45" t="str">
        <f>IF(OR(T170="Cash",T170="Cash Adjustments"), T170, _xll.BDP(R170&amp;" FIGI", $AY$1))</f>
        <v>#N/A Field Not Applicable</v>
      </c>
      <c r="AZ170" s="45" t="str">
        <f>IF(OR(T170="Cash",T170="Cash Adjustments"), T170, _xll.BDP(R170&amp;" FIGI", $AZ$1))</f>
        <v>FINANCIAL</v>
      </c>
      <c r="BA170" s="45" t="str">
        <f>IF(OR(T170="Cash",T170="Cash Adjustments"), T170, _xll.BDP(R170&amp;" FIGI", $BA$1))</f>
        <v>#N/A Field Not Applicable</v>
      </c>
      <c r="BB170" s="45">
        <f>IF(OR(AS170="Government",AS170="Corporate"),(AK170*AB170/'SFC Report'!$C$20),"")</f>
        <v>4.2285227134364757E-2</v>
      </c>
      <c r="BC170" s="174" t="str">
        <f>IF(OR(T170="Cash",T170="Cash Adjustments", T170="FX Forward", T170="Repo", T170="Equity", T170="M-Mkt"), "", _xll.BDP(R170&amp;" FIGI", $BC$1))</f>
        <v>2/27/2024</v>
      </c>
      <c r="BD170" s="125">
        <f ca="1">IF(OR(T170="Cash",T170="Cash Adjustments",T170="FX Forward",T170="Repo", T170="Equity", T170="M-Mkt"),"",(BC170-'SFC Report'!$B$13)/365)</f>
        <v>3.8301369863013699</v>
      </c>
      <c r="BE170" s="82" t="str">
        <f t="shared" ca="1" si="70"/>
        <v>3 - 5 yrs</v>
      </c>
      <c r="BF170" s="5">
        <f ca="1">IF(BC170="","",BD170*AB170/'SFC Report'!$C$20)</f>
        <v>2.0244776552685591E-2</v>
      </c>
      <c r="BG170" s="14" cm="1">
        <f t="array" ref="BG170">IF(OR(AS170="Corporate",AS170="Government"),_xll.BDP(G170&amp;" ISIN", $BG$1),"")</f>
        <v>3.1848683359331322</v>
      </c>
      <c r="BH170" s="140">
        <f>IF(OR(AS170="Corporate",AS170="Government"),BG170*BN170/'SFC Report'!$C$20,"")</f>
        <v>1.6834110122247354E-2</v>
      </c>
      <c r="BI170" s="140">
        <f>IF(OR(AS170="Corporate",AS170="Government"),_xll.BDP(G170&amp;" ISIN", $BI$1),"")</f>
        <v>7.829579536521706</v>
      </c>
      <c r="BJ170" s="140">
        <f>IF(OR(AS170="Corporate",AS170="Government"),BI170*AB170/'SFC Report'!$C$20,"")</f>
        <v>4.1384443633549338E-2</v>
      </c>
      <c r="BK170" s="153" t="str">
        <f>IF(OR(T170="Cash",T170="Cash Adjustments"),"-",_xll.BDP(R170&amp;" FIGI",$BK$1))</f>
        <v>XS2030531938</v>
      </c>
      <c r="BL170" s="11" t="str">
        <f>IF(OR(AS170="Cash", AS170="Cash Adjustments"),"-",IF(ISNA(VLOOKUP(BK170,'BBG - VaR Data (Sample, Indus )'!C:N,5,0)),"-",VLOOKUP(BK170,'BBG - VaR Data (Sample, Indus )'!C:N,5,0)))</f>
        <v>-</v>
      </c>
      <c r="BM170" s="11">
        <f>IF(OR(AS170="Cash", AS170="Cash Adjustments"),"-",IF(ISNA(VLOOKUP(BK170,'BBG - Scenarios (Sample View)'!C:Z,14,0)),"-",VLOOKUP(BK170,'BBG - Scenarios (Sample View)'!C:Z,14,0)))</f>
        <v>-4.22</v>
      </c>
      <c r="BN170" s="14">
        <f t="shared" si="71"/>
        <v>2909384.2892156867</v>
      </c>
      <c r="BO170" s="1">
        <f t="shared" si="72"/>
        <v>5.7071904105470885E-3</v>
      </c>
      <c r="BP170" t="str">
        <f>IF(BC170&lt;&gt;0,MaturityBucket(BG170),"")</f>
        <v>3 - 5 yrs</v>
      </c>
      <c r="BQ170" s="11" t="str">
        <f>IF(OR(T170="Cash",T170="Cash Adjustments"),T170,VLOOKUP(AL170,'SFC Classifcation'!$A:$C,2,0))</f>
        <v>Singapore</v>
      </c>
      <c r="BR170" s="1" t="e">
        <f>IF(S170="Bond",BH170/'SFC Report'!$B$7,"")</f>
        <v>#VALUE!</v>
      </c>
      <c r="BS170" t="str">
        <f>IF(OR(T170="Cash",T170="Cash Adjustments"),"-",_xll.BDP(R170&amp;" FIGI",$BS$1))</f>
        <v>1/21/2020</v>
      </c>
      <c r="BT170" t="str">
        <f>IF(OR(T170="Cash",T170="Cash Adjustments"),"-",_xll.BDP(R170&amp;" FIGI",$BT$1))</f>
        <v>1/23/2020</v>
      </c>
      <c r="BU170" t="str">
        <f>IF(OR(T170="Cash",T170="Cash Adjustments"),"-",_xll.BDP(R170&amp;" FIGI",$BU$1))</f>
        <v>#N/A N/A</v>
      </c>
    </row>
    <row r="171" spans="1:73">
      <c r="A171" s="254" t="s">
        <v>15</v>
      </c>
      <c r="B171" s="254" t="s">
        <v>25</v>
      </c>
      <c r="C171" s="254" t="s">
        <v>46</v>
      </c>
      <c r="D171" s="254" t="s">
        <v>22</v>
      </c>
      <c r="E171" s="254"/>
      <c r="F171" s="254" t="s">
        <v>1227</v>
      </c>
      <c r="G171" s="254" t="s">
        <v>1228</v>
      </c>
      <c r="H171" s="270">
        <v>1800000</v>
      </c>
      <c r="I171" s="270">
        <v>99.513000000000005</v>
      </c>
      <c r="J171" s="270">
        <v>1824660</v>
      </c>
      <c r="K171" s="270">
        <v>14198226.859999999</v>
      </c>
      <c r="L171" s="270">
        <v>-315805.11</v>
      </c>
      <c r="M171" s="270">
        <v>133400.32000000001</v>
      </c>
      <c r="N171" s="270">
        <v>13882421.75</v>
      </c>
      <c r="O171" s="255">
        <v>3.0999999999999999E-3</v>
      </c>
      <c r="Q171" s="1" t="str">
        <f t="shared" si="64"/>
        <v>Investments</v>
      </c>
      <c r="R171" s="1" t="str">
        <f>_xll.BDP(G171&amp;" ISIN",$R$1)</f>
        <v>BBG00K67R1J1</v>
      </c>
      <c r="S171" s="1" t="str">
        <f>IF(Q171="Cash",Q171,IF(OR(Q171="Receivable Investments",Q171="Payable Investments"),"Cash Adjustments",_xll.BDP(R171&amp;" FIGI",$S$1)))</f>
        <v>BOND</v>
      </c>
      <c r="T171" s="1" t="str">
        <f>IF(Q171="Cash",Q171,IF(OR(Q171="Receivable Investments",Q171="Payable Investments"),"Cash Adjustments",VLOOKUP(R171,LQA!E:S,3,0)))</f>
        <v>Corp</v>
      </c>
      <c r="U171" s="1" t="str">
        <f>IF(Q171="Cash",Q171,IF(OR(Q171="Receivable Investments",Q171="Payable Investments"),"Cash Adjustments",_xll.BDP(R171&amp;" FIGI",$U$1)))</f>
        <v>#N/A Field Not Applicable</v>
      </c>
      <c r="V171" s="10">
        <f>IF(OR(Q171="Cash",Q171="Receivable Investments",Q171="Payable Investments"),0,IF(Q171="Investments",VLOOKUP(R171,LQA!E:Q,12,0),"Not Covered"))</f>
        <v>0.3</v>
      </c>
      <c r="W171" s="76">
        <f>IF(OR(Q171="Cash",Q171="Receivable Investments",Q171="Payable Investments"),0,IF(Q171="Investments",VLOOKUP(R171,LQA!E:Q,9,0),"Not Covered"))</f>
        <v>5.2119999999999996E-3</v>
      </c>
      <c r="X171" s="13" t="str">
        <f>IF(OR(H171=0,T174="Comdty"),"High",IF(V171&lt;='Liquidity Bucket'!$A$4,'Liquidity Bucket'!$I$4,IF(V171&lt;='Liquidity Bucket'!$A$5,'Liquidity Bucket'!$I$5,IF(V171&lt;='Liquidity Bucket'!$A$6,'Liquidity Bucket'!$I$6,IF(V171='Liquidity Bucket'!$A$8,'Liquidity Bucket'!$I$8,'Liquidity Bucket'!$I$7)))))</f>
        <v>High</v>
      </c>
      <c r="Y171" s="153">
        <f>IF(OR(Q171="Cash",Q171="Receivable Investments",Q171="Payable Investments"),0,IF(Q171="Investments",VLOOKUP(R171,'LQA Stress'!E:Q,12,0),"Not Covered"))</f>
        <v>1.5</v>
      </c>
      <c r="Z171" s="75">
        <f>IF(OR(Q171="Cash",Q171="Receivable Investments",Q171="Payable Investments"),0,IF(Q171="Investments",VLOOKUP(R171,'LQA Stress'!E:Q,9,0),"Not Covered"))</f>
        <v>1.3295E-2</v>
      </c>
      <c r="AA171" s="13" t="str">
        <f>IF(T174="Comdty","High",IF(Y171&lt;='Liquidity Bucket'!$A$4,'Liquidity Bucket'!$I$4,IF(Y171&lt;='Liquidity Bucket'!$A$5,'Liquidity Bucket'!$I$5,IF(Y171&lt;='Liquidity Bucket'!$A$6,'Liquidity Bucket'!$I$6,IF(Y171='Liquidity Bucket'!$A$8,'Liquidity Bucket'!$I$8,'Liquidity Bucket'!$I$7)))))</f>
        <v>High</v>
      </c>
      <c r="AB171" s="14">
        <f>(N171+M171)/'FX Rates'!$C$5</f>
        <v>1808026.5828173375</v>
      </c>
      <c r="AC171" s="15" t="str">
        <f>IF(X171="Not Covered", (H171/_xll.BDP(R171&amp;" FIGI",$AC$1)),"")</f>
        <v/>
      </c>
      <c r="AD171" s="16" t="str">
        <f>IF(X171="Not Covered", _xll.BDP(R171&amp;" FIGI",$AD$1),"")</f>
        <v/>
      </c>
      <c r="AE171" s="16" t="str">
        <f>IF(OR(T171="Corp",T171="Govt"),IF(_xll.BDP(R171&amp;" FIGI",$AE$1)="#N/A N/A","",_xll.BDP(R171&amp;" FIGI",$AE$1)),"")</f>
        <v>B+</v>
      </c>
      <c r="AF171" s="1" t="str">
        <f>IF(OR(T171="Corp",T171="Govt"),IF(_xll.BDP(R171&amp;" FIGI",$AF$1)="#N/A N/A","",_xll.BDP(R171&amp;" FIGI",$AF$1)),"")</f>
        <v/>
      </c>
      <c r="AG171" s="16" t="str">
        <f>IF(OR(T171="Corp",T171="Govt"),IF(_xll.BDP(R171&amp;" FIGI",$AG$1)="#N/A N/A","",_xll.BDP(R171&amp;" FIGI",$AG$1)),"")</f>
        <v>BB-</v>
      </c>
      <c r="AH171" s="125">
        <f>IF(OR(S171="Cash",S171="M-Mkt"),21,IF(AE171="",0,VLOOKUP(AE171,'Rating Scale'!A:B,2,0)))</f>
        <v>8</v>
      </c>
      <c r="AI171" s="125">
        <f>IF(OR(S171="Cash",S171="M-Mkt"),21,IF(AF171="",0,VLOOKUP(AF171,'Rating Scale'!D:E,2,0)))</f>
        <v>0</v>
      </c>
      <c r="AJ171" s="125">
        <f>IF(OR(S171="Cash",S171="M-Mkt"),21,IF(AG171="",0,VLOOKUP(AG171,'Rating Scale'!G:H,2,0)))</f>
        <v>9</v>
      </c>
      <c r="AK171">
        <f t="shared" si="65"/>
        <v>8</v>
      </c>
      <c r="AL171" s="1" t="str">
        <f>IF(OR(U171="Cash",U171="Cash Adjustments"),_xll.BDP(G171&amp;" Curncy","Country"),IF(T171="Equity",_xll.BDP(R171&amp;" FIGI","CNTRY_ISSUE_ISO"),_xll.BDP(R171&amp;" FIGI",$AL$1)))</f>
        <v>CN</v>
      </c>
      <c r="AM171" s="126" t="str">
        <f>IF(OR(T171="Cash",T171="Cash Adjustments",T171="M-Mkt"), T171, IF(T171="Comdty",AS171, _xll.BDP(R171&amp;" FIGI", $AM$1)))</f>
        <v>Financial</v>
      </c>
      <c r="AN171" s="126" t="str">
        <f>IF(OR(T171="Cash",T171="Cash Adjustments",T171="M-Mkt"), T171,  IF(T171="Comdty",AS171,_xll.BDP(R171&amp;" FIGI", $AN$1)))</f>
        <v>Real Estate</v>
      </c>
      <c r="AO171" s="126" t="str">
        <f>IF(OR(T171="Cash",T171="Cash Adjustments",T171="M-Mkt"), T171,  IF(T171="Comdty",AS171,_xll.BDP(R171&amp;" FIGI", $AO$1)))</f>
        <v>Real Estate Oper/Develop</v>
      </c>
      <c r="AP171" s="13" t="str">
        <f>IF(OR(T171="Cash",T171="Cash Adjustments"), T171, IF(_xll.BDP(R171&amp;" FIGI", $AP$1)="#N/A Field Not Applicable","N",_xll.BDP(R171&amp;" FIGI", $AP$1)))</f>
        <v>N</v>
      </c>
      <c r="AQ171" s="1" t="str">
        <f>IF(OR(T171="Cash",T171="Cash Adjustments"), T171, IF(_xll.BDP(R171&amp;" FIGI", $AQ$1)="#N/A Field Not Applicable"," ",_xll.BDP(R171&amp;" FIGI", $AQ$1)))</f>
        <v xml:space="preserve"> </v>
      </c>
      <c r="AR171" s="1" t="str">
        <f>IF(OR(T171="Cash",T171="Cash Adjustments"), T171, IF(_xll.BDP(R171&amp;" FIGI", $AR$1)="#N/A Field Not Applicable"," ",_xll.BDP(R171&amp;" FIGI", $AR$1)))</f>
        <v>ACTV</v>
      </c>
      <c r="AS171" s="1" t="str">
        <f>VLOOKUP(T171,'SFC Classifcation'!$F$2:$H$7,3,0)</f>
        <v>Corporate</v>
      </c>
      <c r="AT171" s="22" t="str">
        <f t="shared" si="66"/>
        <v>Financial</v>
      </c>
      <c r="AU171" s="1" t="str">
        <f t="shared" si="67"/>
        <v>Non-Investment Grade</v>
      </c>
      <c r="AV171" s="1" t="str">
        <f>IF(OR(T171="Cash",T171="Cash Adjustments"),T171,VLOOKUP(AL171,'SFC Classifcation'!$A:$C,3,0))</f>
        <v>China</v>
      </c>
      <c r="AW171" s="22" t="str">
        <f t="shared" si="68"/>
        <v>High</v>
      </c>
      <c r="AX171" s="22" t="str">
        <f t="shared" si="69"/>
        <v>High</v>
      </c>
      <c r="AY171" s="45" t="str">
        <f>IF(OR(T171="Cash",T171="Cash Adjustments"), T171, _xll.BDP(R171&amp;" FIGI", $AY$1))</f>
        <v>Real Estate</v>
      </c>
      <c r="AZ171" s="45" t="str">
        <f>IF(OR(T171="Cash",T171="Cash Adjustments"), T171, _xll.BDP(R171&amp;" FIGI", $AZ$1))</f>
        <v>FINANCIAL</v>
      </c>
      <c r="BA171" s="45" t="str">
        <f>IF(OR(T171="Cash",T171="Cash Adjustments"), T171, _xll.BDP(R171&amp;" FIGI", $BA$1))</f>
        <v>#N/A Field Not Applicable</v>
      </c>
      <c r="BB171" s="45">
        <f>IF(OR(AS171="Government",AS171="Corporate"),(AK171*AB171/'SFC Report'!$C$20),"")</f>
        <v>2.6278004938292514E-2</v>
      </c>
      <c r="BC171" s="174" t="str">
        <f>IF(OR(T171="Cash",T171="Cash Adjustments", T171="FX Forward", T171="Repo", T171="Equity", T171="M-Mkt"), "", _xll.BDP(R171&amp;" FIGI", $BC$1))</f>
        <v>3/6/2021</v>
      </c>
      <c r="BD171" s="125">
        <f ca="1">IF(OR(T171="Cash",T171="Cash Adjustments",T171="FX Forward",T171="Repo", T171="Equity", T171="M-Mkt"),"",(BC171-'SFC Report'!$B$13)/365)</f>
        <v>0.84931506849315064</v>
      </c>
      <c r="BE171" s="82" t="str">
        <f t="shared" ca="1" si="70"/>
        <v>0 - 1 yr</v>
      </c>
      <c r="BF171" s="5">
        <f ca="1">IF(BC171="","",BD171*AB171/'SFC Report'!$C$20)</f>
        <v>2.7897881955036567E-3</v>
      </c>
      <c r="BG171" s="14" cm="1">
        <f t="array" ref="BG171">IF(OR(AS171="Corporate",AS171="Government"),_xll.BDP(G171&amp;" ISIN", $BG$1),"")</f>
        <v>0.73861012254936753</v>
      </c>
      <c r="BH171" s="140">
        <f>IF(OR(AS171="Corporate",AS171="Government"),BG171*BN171/'SFC Report'!$C$20,"")</f>
        <v>2.4261500559781398E-3</v>
      </c>
      <c r="BI171" s="140">
        <f>IF(OR(AS171="Corporate",AS171="Government"),_xll.BDP(G171&amp;" ISIN", $BI$1),"")</f>
        <v>5.6849342822458411</v>
      </c>
      <c r="BJ171" s="140">
        <f>IF(OR(AS171="Corporate",AS171="Government"),BI171*AB171/'SFC Report'!$C$20,"")</f>
        <v>1.8673591392840579E-2</v>
      </c>
      <c r="BK171" s="153" t="str">
        <f>IF(OR(T171="Cash",T171="Cash Adjustments"),"-",_xll.BDP(R171&amp;" FIGI",$BK$1))</f>
        <v>XS1788498167</v>
      </c>
      <c r="BL171" s="11" t="str">
        <f>IF(OR(AS171="Cash", AS171="Cash Adjustments"),"-",IF(ISNA(VLOOKUP(BK171,'BBG - VaR Data (Sample, Indus )'!C:N,5,0)),"-",VLOOKUP(BK171,'BBG - VaR Data (Sample, Indus )'!C:N,5,0)))</f>
        <v>-</v>
      </c>
      <c r="BM171" s="11">
        <f>IF(OR(AS171="Cash", AS171="Cash Adjustments"),"-",IF(ISNA(VLOOKUP(BK171,'BBG - Scenarios (Sample View)'!C:Z,14,0)),"-",VLOOKUP(BK171,'BBG - Scenarios (Sample View)'!C:Z,14,0)))</f>
        <v>-1.36</v>
      </c>
      <c r="BN171" s="14">
        <f t="shared" si="71"/>
        <v>1808026.5828173375</v>
      </c>
      <c r="BO171" s="1">
        <f t="shared" si="72"/>
        <v>3.54671330759508E-3</v>
      </c>
      <c r="BP171" t="str">
        <f>IF(BC171&lt;&gt;0,MaturityBucket(BG171),"")</f>
        <v>0 - 1 yr</v>
      </c>
      <c r="BQ171" s="11" t="str">
        <f>IF(OR(T171="Cash",T171="Cash Adjustments"),T171,VLOOKUP(AL171,'SFC Classifcation'!$A:$C,2,0))</f>
        <v>China</v>
      </c>
      <c r="BR171" s="1" t="e">
        <f>IF(S171="Bond",BH171/'SFC Report'!$B$7,"")</f>
        <v>#VALUE!</v>
      </c>
      <c r="BS171" t="str">
        <f>IF(OR(T171="Cash",T171="Cash Adjustments"),"-",_xll.BDP(R171&amp;" FIGI",$BS$1))</f>
        <v>2/26/2018</v>
      </c>
      <c r="BT171" t="str">
        <f>IF(OR(T171="Cash",T171="Cash Adjustments"),"-",_xll.BDP(R171&amp;" FIGI",$BT$1))</f>
        <v>#N/A N/A</v>
      </c>
      <c r="BU171" t="str">
        <f>IF(OR(T171="Cash",T171="Cash Adjustments"),"-",_xll.BDP(R171&amp;" FIGI",$BU$1))</f>
        <v>3/1/2018</v>
      </c>
    </row>
    <row r="172" spans="1:73">
      <c r="A172" s="254" t="s">
        <v>15</v>
      </c>
      <c r="B172" s="254" t="s">
        <v>25</v>
      </c>
      <c r="C172" s="254" t="s">
        <v>46</v>
      </c>
      <c r="D172" s="254" t="s">
        <v>22</v>
      </c>
      <c r="E172" s="254"/>
      <c r="F172" s="254" t="s">
        <v>1361</v>
      </c>
      <c r="G172" s="254" t="s">
        <v>1362</v>
      </c>
      <c r="H172" s="270">
        <v>1000000</v>
      </c>
      <c r="I172" s="270">
        <v>81.873999999999995</v>
      </c>
      <c r="J172" s="270">
        <v>690000</v>
      </c>
      <c r="K172" s="270">
        <v>5349363</v>
      </c>
      <c r="L172" s="270">
        <v>996035.75</v>
      </c>
      <c r="M172" s="270">
        <v>169885.46</v>
      </c>
      <c r="N172" s="270">
        <v>6345398.75</v>
      </c>
      <c r="O172" s="255">
        <v>1.4E-3</v>
      </c>
      <c r="Q172" s="1" t="str">
        <f t="shared" si="64"/>
        <v>Investments</v>
      </c>
      <c r="R172" s="1" t="str">
        <f>_xll.BDP(G172&amp;" ISIN",$R$1)</f>
        <v>BBG00R9LVRX4</v>
      </c>
      <c r="S172" s="1" t="str">
        <f>IF(Q172="Cash",Q172,IF(OR(Q172="Receivable Investments",Q172="Payable Investments"),"Cash Adjustments",_xll.BDP(R172&amp;" FIGI",$S$1)))</f>
        <v>BOND</v>
      </c>
      <c r="T172" s="1" t="str">
        <f>IF(Q172="Cash",Q172,IF(OR(Q172="Receivable Investments",Q172="Payable Investments"),"Cash Adjustments",VLOOKUP(R172,LQA!E:S,3,0)))</f>
        <v>Corp</v>
      </c>
      <c r="U172" s="1" t="str">
        <f>IF(Q172="Cash",Q172,IF(OR(Q172="Receivable Investments",Q172="Payable Investments"),"Cash Adjustments",_xll.BDP(R172&amp;" FIGI",$U$1)))</f>
        <v>#N/A Field Not Applicable</v>
      </c>
      <c r="V172" s="10">
        <f>IF(OR(Q172="Cash",Q172="Receivable Investments",Q172="Payable Investments"),0,IF(Q172="Investments",VLOOKUP(R172,LQA!E:Q,12,0),"Not Covered"))</f>
        <v>0.2</v>
      </c>
      <c r="W172" s="76">
        <f>IF(OR(Q172="Cash",Q172="Receivable Investments",Q172="Payable Investments"),0,IF(Q172="Investments",VLOOKUP(R172,LQA!E:Q,9,0),"Not Covered"))</f>
        <v>2.2502000000000001E-2</v>
      </c>
      <c r="X172" s="13" t="str">
        <f>IF(OR(H172=0,T175="Comdty"),"High",IF(V172&lt;='Liquidity Bucket'!$A$4,'Liquidity Bucket'!$I$4,IF(V172&lt;='Liquidity Bucket'!$A$5,'Liquidity Bucket'!$I$5,IF(V172&lt;='Liquidity Bucket'!$A$6,'Liquidity Bucket'!$I$6,IF(V172='Liquidity Bucket'!$A$8,'Liquidity Bucket'!$I$8,'Liquidity Bucket'!$I$7)))))</f>
        <v>High</v>
      </c>
      <c r="Y172" s="153">
        <f>IF(OR(Q172="Cash",Q172="Receivable Investments",Q172="Payable Investments"),0,IF(Q172="Investments",VLOOKUP(R172,'LQA Stress'!E:Q,12,0),"Not Covered"))</f>
        <v>0.5</v>
      </c>
      <c r="Z172" s="75">
        <f>IF(OR(Q172="Cash",Q172="Receivable Investments",Q172="Payable Investments"),0,IF(Q172="Investments",VLOOKUP(R172,'LQA Stress'!E:Q,9,0),"Not Covered"))</f>
        <v>6.2039999999999998E-2</v>
      </c>
      <c r="AA172" s="13" t="str">
        <f>IF(T175="Comdty","High",IF(Y172&lt;='Liquidity Bucket'!$A$4,'Liquidity Bucket'!$I$4,IF(Y172&lt;='Liquidity Bucket'!$A$5,'Liquidity Bucket'!$I$5,IF(Y172&lt;='Liquidity Bucket'!$A$6,'Liquidity Bucket'!$I$6,IF(Y172='Liquidity Bucket'!$A$8,'Liquidity Bucket'!$I$8,'Liquidity Bucket'!$I$7)))))</f>
        <v>High</v>
      </c>
      <c r="AB172" s="14">
        <f>(N172+M172)/'FX Rates'!$C$5</f>
        <v>840464.93937048502</v>
      </c>
      <c r="AC172" s="15" t="str">
        <f>IF(X172="Not Covered", (H172/_xll.BDP(R172&amp;" FIGI",$AC$1)),"")</f>
        <v/>
      </c>
      <c r="AD172" s="16" t="str">
        <f>IF(X172="Not Covered", _xll.BDP(R172&amp;" FIGI",$AD$1),"")</f>
        <v/>
      </c>
      <c r="AE172" s="16" t="str">
        <f>IF(OR(T172="Corp",T172="Govt"),IF(_xll.BDP(R172&amp;" FIGI",$AE$1)="#N/A N/A","",_xll.BDP(R172&amp;" FIGI",$AE$1)),"")</f>
        <v/>
      </c>
      <c r="AF172" s="1" t="str">
        <f>IF(OR(T172="Corp",T172="Govt"),IF(_xll.BDP(R172&amp;" FIGI",$AF$1)="#N/A N/A","",_xll.BDP(R172&amp;" FIGI",$AF$1)),"")</f>
        <v>B1 *-</v>
      </c>
      <c r="AG172" s="16" t="str">
        <f>IF(OR(T172="Corp",T172="Govt"),IF(_xll.BDP(R172&amp;" FIGI",$AG$1)="#N/A N/A","",_xll.BDP(R172&amp;" FIGI",$AG$1)),"")</f>
        <v>BB-</v>
      </c>
      <c r="AH172" s="125">
        <f>IF(OR(S172="Cash",S172="M-Mkt"),21,IF(AE172="",0,VLOOKUP(AE172,'Rating Scale'!A:B,2,0)))</f>
        <v>0</v>
      </c>
      <c r="AI172" s="125">
        <f>IF(OR(S172="Cash",S172="M-Mkt"),21,IF(AF172="",0,VLOOKUP(AF172,'Rating Scale'!D:E,2,0)))</f>
        <v>8</v>
      </c>
      <c r="AJ172" s="125">
        <f>IF(OR(S172="Cash",S172="M-Mkt"),21,IF(AG172="",0,VLOOKUP(AG172,'Rating Scale'!G:H,2,0)))</f>
        <v>9</v>
      </c>
      <c r="AK172">
        <f t="shared" si="65"/>
        <v>8</v>
      </c>
      <c r="AL172" s="1" t="str">
        <f>IF(OR(U172="Cash",U172="Cash Adjustments"),_xll.BDP(G172&amp;" Curncy","Country"),IF(T172="Equity",_xll.BDP(R172&amp;" FIGI","CNTRY_ISSUE_ISO"),_xll.BDP(R172&amp;" FIGI",$AL$1)))</f>
        <v>CN</v>
      </c>
      <c r="AM172" s="126" t="str">
        <f>IF(OR(T172="Cash",T172="Cash Adjustments",T172="M-Mkt"), T172, IF(T172="Comdty",AS172, _xll.BDP(R172&amp;" FIGI", $AM$1)))</f>
        <v>Financial</v>
      </c>
      <c r="AN172" s="126" t="str">
        <f>IF(OR(T172="Cash",T172="Cash Adjustments",T172="M-Mkt"), T172,  IF(T172="Comdty",AS172,_xll.BDP(R172&amp;" FIGI", $AN$1)))</f>
        <v>Real Estate</v>
      </c>
      <c r="AO172" s="126" t="str">
        <f>IF(OR(T172="Cash",T172="Cash Adjustments",T172="M-Mkt"), T172,  IF(T172="Comdty",AS172,_xll.BDP(R172&amp;" FIGI", $AO$1)))</f>
        <v>Real Estate Oper/Develop</v>
      </c>
      <c r="AP172" s="13" t="str">
        <f>IF(OR(T172="Cash",T172="Cash Adjustments"), T172, IF(_xll.BDP(R172&amp;" FIGI", $AP$1)="#N/A Field Not Applicable","N",_xll.BDP(R172&amp;" FIGI", $AP$1)))</f>
        <v>N</v>
      </c>
      <c r="AQ172" s="1" t="str">
        <f>IF(OR(T172="Cash",T172="Cash Adjustments"), T172, IF(_xll.BDP(R172&amp;" FIGI", $AQ$1)="#N/A Field Not Applicable"," ",_xll.BDP(R172&amp;" FIGI", $AQ$1)))</f>
        <v xml:space="preserve"> </v>
      </c>
      <c r="AR172" s="1" t="str">
        <f>IF(OR(T172="Cash",T172="Cash Adjustments"), T172, IF(_xll.BDP(R172&amp;" FIGI", $AR$1)="#N/A Field Not Applicable"," ",_xll.BDP(R172&amp;" FIGI", $AR$1)))</f>
        <v>ACTV</v>
      </c>
      <c r="AS172" s="1" t="str">
        <f>VLOOKUP(T172,'SFC Classifcation'!$F$2:$H$7,3,0)</f>
        <v>Corporate</v>
      </c>
      <c r="AT172" s="22" t="str">
        <f t="shared" si="66"/>
        <v>Financial</v>
      </c>
      <c r="AU172" s="1" t="str">
        <f t="shared" si="67"/>
        <v>Non-Investment Grade</v>
      </c>
      <c r="AV172" s="1" t="str">
        <f>IF(OR(T172="Cash",T172="Cash Adjustments"),T172,VLOOKUP(AL172,'SFC Classifcation'!$A:$C,3,0))</f>
        <v>China</v>
      </c>
      <c r="AW172" s="22" t="str">
        <f t="shared" si="68"/>
        <v>High</v>
      </c>
      <c r="AX172" s="22" t="str">
        <f t="shared" si="69"/>
        <v>High</v>
      </c>
      <c r="AY172" s="45" t="str">
        <f>IF(OR(T172="Cash",T172="Cash Adjustments"), T172, _xll.BDP(R172&amp;" FIGI", $AY$1))</f>
        <v>Real Estate</v>
      </c>
      <c r="AZ172" s="45" t="str">
        <f>IF(OR(T172="Cash",T172="Cash Adjustments"), T172, _xll.BDP(R172&amp;" FIGI", $AZ$1))</f>
        <v>FINANCIAL</v>
      </c>
      <c r="BA172" s="45" t="str">
        <f>IF(OR(T172="Cash",T172="Cash Adjustments"), T172, _xll.BDP(R172&amp;" FIGI", $BA$1))</f>
        <v>#N/A Field Not Applicable</v>
      </c>
      <c r="BB172" s="45">
        <f>IF(OR(AS172="Government",AS172="Corporate"),(AK172*AB172/'SFC Report'!$C$20),"")</f>
        <v>1.2215385568515513E-2</v>
      </c>
      <c r="BC172" s="174" t="str">
        <f>IF(OR(T172="Cash",T172="Cash Adjustments", T172="FX Forward", T172="Repo", T172="Equity", T172="M-Mkt"), "", _xll.BDP(R172&amp;" FIGI", $BC$1))</f>
        <v>1/13/2026</v>
      </c>
      <c r="BD172" s="125">
        <f ca="1">IF(OR(T172="Cash",T172="Cash Adjustments",T172="FX Forward",T172="Repo", T172="Equity", T172="M-Mkt"),"",(BC172-'SFC Report'!$B$13)/365)</f>
        <v>5.7095890410958905</v>
      </c>
      <c r="BE172" s="82" t="str">
        <f t="shared" ca="1" si="70"/>
        <v>5 - 7 yrs</v>
      </c>
      <c r="BF172" s="5">
        <f ca="1">IF(BC172="","",BD172*AB172/'SFC Report'!$C$20)</f>
        <v>8.7181039468446336E-3</v>
      </c>
      <c r="BG172" s="14" cm="1">
        <f t="array" ref="BG172">IF(OR(AS172="Corporate",AS172="Government"),_xll.BDP(G172&amp;" ISIN", $BG$1),"")</f>
        <v>4.3067411499583921</v>
      </c>
      <c r="BH172" s="140">
        <f>IF(OR(AS172="Corporate",AS172="Government"),BG172*BN172/'SFC Report'!$C$20,"")</f>
        <v>6.5760629613167065E-3</v>
      </c>
      <c r="BI172" s="140">
        <f>IF(OR(AS172="Corporate",AS172="Government"),_xll.BDP(G172&amp;" ISIN", $BI$1),"")</f>
        <v>9.6494680515140931</v>
      </c>
      <c r="BJ172" s="140">
        <f>IF(OR(AS172="Corporate",AS172="Government"),BI172*AB172/'SFC Report'!$C$20,"")</f>
        <v>1.4733996597539597E-2</v>
      </c>
      <c r="BK172" s="153" t="str">
        <f>IF(OR(T172="Cash",T172="Cash Adjustments"),"-",_xll.BDP(R172&amp;" FIGI",$BK$1))</f>
        <v>XS2100653778</v>
      </c>
      <c r="BL172" s="11" t="str">
        <f>IF(OR(AS172="Cash", AS172="Cash Adjustments"),"-",IF(ISNA(VLOOKUP(BK172,'BBG - VaR Data (Sample, Indus )'!C:N,5,0)),"-",VLOOKUP(BK172,'BBG - VaR Data (Sample, Indus )'!C:N,5,0)))</f>
        <v>-</v>
      </c>
      <c r="BM172" s="11">
        <f>IF(OR(AS172="Cash", AS172="Cash Adjustments"),"-",IF(ISNA(VLOOKUP(BK172,'BBG - Scenarios (Sample View)'!C:Z,14,0)),"-",VLOOKUP(BK172,'BBG - Scenarios (Sample View)'!C:Z,14,0)))</f>
        <v>-11.01</v>
      </c>
      <c r="BN172" s="14">
        <f t="shared" si="71"/>
        <v>840464.93937048502</v>
      </c>
      <c r="BO172" s="1">
        <f t="shared" si="72"/>
        <v>1.6486971006739598E-3</v>
      </c>
      <c r="BP172" t="str">
        <f>IF(BC172&lt;&gt;0,MaturityBucket(BG172),"")</f>
        <v>3 - 5 yrs</v>
      </c>
      <c r="BQ172" s="11" t="str">
        <f>IF(OR(T172="Cash",T172="Cash Adjustments"),T172,VLOOKUP(AL172,'SFC Classifcation'!$A:$C,2,0))</f>
        <v>China</v>
      </c>
      <c r="BR172" s="1" t="e">
        <f>IF(S172="Bond",BH172/'SFC Report'!$B$7,"")</f>
        <v>#VALUE!</v>
      </c>
      <c r="BS172" t="str">
        <f>IF(OR(T172="Cash",T172="Cash Adjustments"),"-",_xll.BDP(R172&amp;" FIGI",$BS$1))</f>
        <v>#N/A N/A</v>
      </c>
      <c r="BT172" t="str">
        <f>IF(OR(T172="Cash",T172="Cash Adjustments"),"-",_xll.BDP(R172&amp;" FIGI",$BT$1))</f>
        <v>4/9/2020</v>
      </c>
      <c r="BU172" t="str">
        <f>IF(OR(T172="Cash",T172="Cash Adjustments"),"-",_xll.BDP(R172&amp;" FIGI",$BU$1))</f>
        <v>1/5/2020</v>
      </c>
    </row>
    <row r="173" spans="1:73">
      <c r="A173" s="254" t="s">
        <v>15</v>
      </c>
      <c r="B173" s="254" t="s">
        <v>25</v>
      </c>
      <c r="C173" s="254" t="s">
        <v>46</v>
      </c>
      <c r="D173" s="254" t="s">
        <v>22</v>
      </c>
      <c r="E173" s="254"/>
      <c r="F173" s="254" t="s">
        <v>1363</v>
      </c>
      <c r="G173" s="254" t="s">
        <v>1364</v>
      </c>
      <c r="H173" s="270">
        <v>5500000</v>
      </c>
      <c r="I173" s="270">
        <v>85.697000000000003</v>
      </c>
      <c r="J173" s="270">
        <v>4939555</v>
      </c>
      <c r="K173" s="270">
        <v>38363783.229999997</v>
      </c>
      <c r="L173" s="270">
        <v>-1834494.32</v>
      </c>
      <c r="M173" s="270">
        <v>638207.43999999994</v>
      </c>
      <c r="N173" s="270">
        <v>36529288.909999996</v>
      </c>
      <c r="O173" s="255">
        <v>8.0000000000000002E-3</v>
      </c>
      <c r="Q173" s="1" t="str">
        <f t="shared" si="64"/>
        <v>Investments</v>
      </c>
      <c r="R173" s="1" t="str">
        <f>_xll.BDP(G173&amp;" ISIN",$R$1)</f>
        <v>BBG00RPXWXD8</v>
      </c>
      <c r="S173" s="1" t="str">
        <f>IF(Q173="Cash",Q173,IF(OR(Q173="Receivable Investments",Q173="Payable Investments"),"Cash Adjustments",_xll.BDP(R173&amp;" FIGI",$S$1)))</f>
        <v>BOND</v>
      </c>
      <c r="T173" s="1" t="str">
        <f>IF(Q173="Cash",Q173,IF(OR(Q173="Receivable Investments",Q173="Payable Investments"),"Cash Adjustments",VLOOKUP(R173,LQA!E:S,3,0)))</f>
        <v>Corp</v>
      </c>
      <c r="U173" s="1" t="str">
        <f>IF(Q173="Cash",Q173,IF(OR(Q173="Receivable Investments",Q173="Payable Investments"),"Cash Adjustments",_xll.BDP(R173&amp;" FIGI",$U$1)))</f>
        <v>#N/A Field Not Applicable</v>
      </c>
      <c r="V173" s="10">
        <f>IF(OR(Q173="Cash",Q173="Receivable Investments",Q173="Payable Investments"),0,IF(Q173="Investments",VLOOKUP(R173,LQA!E:Q,12,0),"Not Covered"))</f>
        <v>0.1</v>
      </c>
      <c r="W173" s="76">
        <f>IF(OR(Q173="Cash",Q173="Receivable Investments",Q173="Payable Investments"),0,IF(Q173="Investments",VLOOKUP(R173,LQA!E:Q,9,0),"Not Covered"))</f>
        <v>1.8037000000000001E-2</v>
      </c>
      <c r="X173" s="13" t="str">
        <f>IF(OR(H173=0,T176="Comdty"),"High",IF(V173&lt;='Liquidity Bucket'!$A$4,'Liquidity Bucket'!$I$4,IF(V173&lt;='Liquidity Bucket'!$A$5,'Liquidity Bucket'!$I$5,IF(V173&lt;='Liquidity Bucket'!$A$6,'Liquidity Bucket'!$I$6,IF(V173='Liquidity Bucket'!$A$8,'Liquidity Bucket'!$I$8,'Liquidity Bucket'!$I$7)))))</f>
        <v>High</v>
      </c>
      <c r="Y173" s="153">
        <f>IF(OR(Q173="Cash",Q173="Receivable Investments",Q173="Payable Investments"),0,IF(Q173="Investments",VLOOKUP(R173,'LQA Stress'!E:Q,12,0),"Not Covered"))</f>
        <v>0.9</v>
      </c>
      <c r="Z173" s="75">
        <f>IF(OR(Q173="Cash",Q173="Receivable Investments",Q173="Payable Investments"),0,IF(Q173="Investments",VLOOKUP(R173,'LQA Stress'!E:Q,9,0),"Not Covered"))</f>
        <v>4.9165E-2</v>
      </c>
      <c r="AA173" s="13" t="str">
        <f>IF(T176="Comdty","High",IF(Y173&lt;='Liquidity Bucket'!$A$4,'Liquidity Bucket'!$I$4,IF(Y173&lt;='Liquidity Bucket'!$A$5,'Liquidity Bucket'!$I$5,IF(Y173&lt;='Liquidity Bucket'!$A$6,'Liquidity Bucket'!$I$6,IF(Y173='Liquidity Bucket'!$A$8,'Liquidity Bucket'!$I$8,'Liquidity Bucket'!$I$7)))))</f>
        <v>High</v>
      </c>
      <c r="AB173" s="14">
        <f>(N173+M173)/'FX Rates'!$C$5</f>
        <v>4794568.6726006186</v>
      </c>
      <c r="AC173" s="15" t="str">
        <f>IF(X173="Not Covered", (H173/_xll.BDP(R173&amp;" FIGI",$AC$1)),"")</f>
        <v/>
      </c>
      <c r="AD173" s="16" t="str">
        <f>IF(X173="Not Covered", _xll.BDP(R173&amp;" FIGI",$AD$1),"")</f>
        <v/>
      </c>
      <c r="AE173" s="16" t="str">
        <f>IF(OR(T173="Corp",T173="Govt"),IF(_xll.BDP(R173&amp;" FIGI",$AE$1)="#N/A N/A","",_xll.BDP(R173&amp;" FIGI",$AE$1)),"")</f>
        <v/>
      </c>
      <c r="AF173" s="1" t="str">
        <f>IF(OR(T173="Corp",T173="Govt"),IF(_xll.BDP(R173&amp;" FIGI",$AF$1)="#N/A N/A","",_xll.BDP(R173&amp;" FIGI",$AF$1)),"")</f>
        <v>B1 *-</v>
      </c>
      <c r="AG173" s="16" t="str">
        <f>IF(OR(T173="Corp",T173="Govt"),IF(_xll.BDP(R173&amp;" FIGI",$AG$1)="#N/A N/A","",_xll.BDP(R173&amp;" FIGI",$AG$1)),"")</f>
        <v>BB-</v>
      </c>
      <c r="AH173" s="125">
        <f>IF(OR(S173="Cash",S173="M-Mkt"),21,IF(AE173="",0,VLOOKUP(AE173,'Rating Scale'!A:B,2,0)))</f>
        <v>0</v>
      </c>
      <c r="AI173" s="125">
        <f>IF(OR(S173="Cash",S173="M-Mkt"),21,IF(AF173="",0,VLOOKUP(AF173,'Rating Scale'!D:E,2,0)))</f>
        <v>8</v>
      </c>
      <c r="AJ173" s="125">
        <f>IF(OR(S173="Cash",S173="M-Mkt"),21,IF(AG173="",0,VLOOKUP(AG173,'Rating Scale'!G:H,2,0)))</f>
        <v>9</v>
      </c>
      <c r="AK173">
        <f t="shared" si="65"/>
        <v>8</v>
      </c>
      <c r="AL173" s="1" t="str">
        <f>IF(OR(U173="Cash",U173="Cash Adjustments"),_xll.BDP(G173&amp;" Curncy","Country"),IF(T173="Equity",_xll.BDP(R173&amp;" FIGI","CNTRY_ISSUE_ISO"),_xll.BDP(R173&amp;" FIGI",$AL$1)))</f>
        <v>CN</v>
      </c>
      <c r="AM173" s="126" t="str">
        <f>IF(OR(T173="Cash",T173="Cash Adjustments",T173="M-Mkt"), T173, IF(T173="Comdty",AS173, _xll.BDP(R173&amp;" FIGI", $AM$1)))</f>
        <v>Financial</v>
      </c>
      <c r="AN173" s="126" t="str">
        <f>IF(OR(T173="Cash",T173="Cash Adjustments",T173="M-Mkt"), T173,  IF(T173="Comdty",AS173,_xll.BDP(R173&amp;" FIGI", $AN$1)))</f>
        <v>Real Estate</v>
      </c>
      <c r="AO173" s="126" t="str">
        <f>IF(OR(T173="Cash",T173="Cash Adjustments",T173="M-Mkt"), T173,  IF(T173="Comdty",AS173,_xll.BDP(R173&amp;" FIGI", $AO$1)))</f>
        <v>Real Estate Oper/Develop</v>
      </c>
      <c r="AP173" s="13" t="str">
        <f>IF(OR(T173="Cash",T173="Cash Adjustments"), T173, IF(_xll.BDP(R173&amp;" FIGI", $AP$1)="#N/A Field Not Applicable","N",_xll.BDP(R173&amp;" FIGI", $AP$1)))</f>
        <v>N</v>
      </c>
      <c r="AQ173" s="1" t="str">
        <f>IF(OR(T173="Cash",T173="Cash Adjustments"), T173, IF(_xll.BDP(R173&amp;" FIGI", $AQ$1)="#N/A Field Not Applicable"," ",_xll.BDP(R173&amp;" FIGI", $AQ$1)))</f>
        <v xml:space="preserve"> </v>
      </c>
      <c r="AR173" s="1" t="str">
        <f>IF(OR(T173="Cash",T173="Cash Adjustments"), T173, IF(_xll.BDP(R173&amp;" FIGI", $AR$1)="#N/A Field Not Applicable"," ",_xll.BDP(R173&amp;" FIGI", $AR$1)))</f>
        <v>ACTV</v>
      </c>
      <c r="AS173" s="1" t="str">
        <f>VLOOKUP(T173,'SFC Classifcation'!$F$2:$H$7,3,0)</f>
        <v>Corporate</v>
      </c>
      <c r="AT173" s="22" t="str">
        <f t="shared" si="66"/>
        <v>Financial</v>
      </c>
      <c r="AU173" s="1" t="str">
        <f t="shared" si="67"/>
        <v>Non-Investment Grade</v>
      </c>
      <c r="AV173" s="1" t="str">
        <f>IF(OR(T173="Cash",T173="Cash Adjustments"),T173,VLOOKUP(AL173,'SFC Classifcation'!$A:$C,3,0))</f>
        <v>China</v>
      </c>
      <c r="AW173" s="22" t="str">
        <f t="shared" si="68"/>
        <v>High</v>
      </c>
      <c r="AX173" s="22" t="str">
        <f t="shared" si="69"/>
        <v>High</v>
      </c>
      <c r="AY173" s="45" t="str">
        <f>IF(OR(T173="Cash",T173="Cash Adjustments"), T173, _xll.BDP(R173&amp;" FIGI", $AY$1))</f>
        <v>Real Estate</v>
      </c>
      <c r="AZ173" s="45" t="str">
        <f>IF(OR(T173="Cash",T173="Cash Adjustments"), T173, _xll.BDP(R173&amp;" FIGI", $AZ$1))</f>
        <v>FINANCIAL</v>
      </c>
      <c r="BA173" s="45" t="str">
        <f>IF(OR(T173="Cash",T173="Cash Adjustments"), T173, _xll.BDP(R173&amp;" FIGI", $BA$1))</f>
        <v>#N/A Field Not Applicable</v>
      </c>
      <c r="BB173" s="45">
        <f>IF(OR(AS173="Government",AS173="Corporate"),(AK173*AB173/'SFC Report'!$C$20),"")</f>
        <v>6.9684649801584481E-2</v>
      </c>
      <c r="BC173" s="174" t="str">
        <f>IF(OR(T173="Cash",T173="Cash Adjustments", T173="FX Forward", T173="Repo", T173="Equity", T173="M-Mkt"), "", _xll.BDP(R173&amp;" FIGI", $BC$1))</f>
        <v>2/20/2025</v>
      </c>
      <c r="BD173" s="125">
        <f ca="1">IF(OR(T173="Cash",T173="Cash Adjustments",T173="FX Forward",T173="Repo", T173="Equity", T173="M-Mkt"),"",(BC173-'SFC Report'!$B$13)/365)</f>
        <v>4.8136986301369866</v>
      </c>
      <c r="BE173" s="82" t="str">
        <f t="shared" ca="1" si="70"/>
        <v>3 - 5 yrs</v>
      </c>
      <c r="BF173" s="5">
        <f ca="1">IF(BC173="","",BD173*AB173/'SFC Report'!$C$20)</f>
        <v>4.1930112911432858E-2</v>
      </c>
      <c r="BG173" s="14" cm="1">
        <f t="array" ref="BG173">IF(OR(AS173="Corporate",AS173="Government"),_xll.BDP(G173&amp;" ISIN", $BG$1),"")</f>
        <v>3.7696064354674088</v>
      </c>
      <c r="BH173" s="140">
        <f>IF(OR(AS173="Corporate",AS173="Government"),BG173*BN173/'SFC Report'!$C$20,"")</f>
        <v>3.2835463043168193E-2</v>
      </c>
      <c r="BI173" s="140">
        <f>IF(OR(AS173="Corporate",AS173="Government"),_xll.BDP(G173&amp;" ISIN", $BI$1),"")</f>
        <v>9.2824044778791919</v>
      </c>
      <c r="BJ173" s="140">
        <f>IF(OR(AS173="Corporate",AS173="Government"),BI173*AB173/'SFC Report'!$C$20,"")</f>
        <v>8.0855138169708879E-2</v>
      </c>
      <c r="BK173" s="153" t="str">
        <f>IF(OR(T173="Cash",T173="Cash Adjustments"),"-",_xll.BDP(R173&amp;" FIGI",$BK$1))</f>
        <v>XS2121187962</v>
      </c>
      <c r="BL173" s="11" t="str">
        <f>IF(OR(AS173="Cash", AS173="Cash Adjustments"),"-",IF(ISNA(VLOOKUP(BK173,'BBG - VaR Data (Sample, Indus )'!C:N,5,0)),"-",VLOOKUP(BK173,'BBG - VaR Data (Sample, Indus )'!C:N,5,0)))</f>
        <v>-</v>
      </c>
      <c r="BM173" s="11">
        <f>IF(OR(AS173="Cash", AS173="Cash Adjustments"),"-",IF(ISNA(VLOOKUP(BK173,'BBG - Scenarios (Sample View)'!C:Z,14,0)),"-",VLOOKUP(BK173,'BBG - Scenarios (Sample View)'!C:Z,14,0)))</f>
        <v>-9.5500000000000007</v>
      </c>
      <c r="BN173" s="14">
        <f t="shared" si="71"/>
        <v>4794568.6726006186</v>
      </c>
      <c r="BO173" s="1">
        <f t="shared" si="72"/>
        <v>9.4052602306285236E-3</v>
      </c>
      <c r="BP173" t="str">
        <f>IF(BC173&lt;&gt;0,MaturityBucket(BG173),"")</f>
        <v>3 - 5 yrs</v>
      </c>
      <c r="BQ173" s="11" t="str">
        <f>IF(OR(T173="Cash",T173="Cash Adjustments"),T173,VLOOKUP(AL173,'SFC Classifcation'!$A:$C,2,0))</f>
        <v>China</v>
      </c>
      <c r="BR173" s="1" t="e">
        <f>IF(S173="Bond",BH173/'SFC Report'!$B$7,"")</f>
        <v>#VALUE!</v>
      </c>
      <c r="BS173" t="str">
        <f>IF(OR(T173="Cash",T173="Cash Adjustments"),"-",_xll.BDP(R173&amp;" FIGI",$BS$1))</f>
        <v>#N/A N/A</v>
      </c>
      <c r="BT173" t="str">
        <f>IF(OR(T173="Cash",T173="Cash Adjustments"),"-",_xll.BDP(R173&amp;" FIGI",$BT$1))</f>
        <v>4/9/2020</v>
      </c>
      <c r="BU173" t="str">
        <f>IF(OR(T173="Cash",T173="Cash Adjustments"),"-",_xll.BDP(R173&amp;" FIGI",$BU$1))</f>
        <v>2/11/2020</v>
      </c>
    </row>
    <row r="174" spans="1:73">
      <c r="A174" s="254" t="s">
        <v>15</v>
      </c>
      <c r="B174" s="254" t="s">
        <v>25</v>
      </c>
      <c r="C174" s="254" t="s">
        <v>46</v>
      </c>
      <c r="D174" s="254" t="s">
        <v>22</v>
      </c>
      <c r="E174" s="254"/>
      <c r="F174" s="254" t="s">
        <v>1229</v>
      </c>
      <c r="G174" s="254" t="s">
        <v>1230</v>
      </c>
      <c r="H174" s="270">
        <v>4000000</v>
      </c>
      <c r="I174" s="270">
        <v>100.29</v>
      </c>
      <c r="J174" s="270">
        <v>4231250</v>
      </c>
      <c r="K174" s="270">
        <v>32881885.879999999</v>
      </c>
      <c r="L174" s="270">
        <v>-1791183.56</v>
      </c>
      <c r="M174" s="270">
        <v>720445.68</v>
      </c>
      <c r="N174" s="270">
        <v>31090702.32</v>
      </c>
      <c r="O174" s="255">
        <v>6.7999999999999996E-3</v>
      </c>
      <c r="Q174" s="1" t="str">
        <f t="shared" ref="Q174:Q183" si="73">IF(B174="Cash Long","Cash",A174)</f>
        <v>Investments</v>
      </c>
      <c r="R174" s="1" t="str">
        <f>_xll.BDP(G174&amp;" ISIN",$R$1)</f>
        <v>BBG00N2KDB12</v>
      </c>
      <c r="S174" s="1" t="str">
        <f>IF(Q174="Cash",Q174,IF(OR(Q174="Receivable Investments",Q174="Payable Investments"),"Cash Adjustments",_xll.BDP(R174&amp;" FIGI",$S$1)))</f>
        <v>BOND</v>
      </c>
      <c r="T174" s="1" t="str">
        <f>IF(Q174="Cash",Q174,IF(OR(Q174="Receivable Investments",Q174="Payable Investments"),"Cash Adjustments",VLOOKUP(R174,LQA!E:S,3,0)))</f>
        <v>Corp</v>
      </c>
      <c r="U174" s="1" t="str">
        <f>IF(Q174="Cash",Q174,IF(OR(Q174="Receivable Investments",Q174="Payable Investments"),"Cash Adjustments",_xll.BDP(R174&amp;" FIGI",$U$1)))</f>
        <v>#N/A Field Not Applicable</v>
      </c>
      <c r="V174" s="10">
        <f>IF(OR(Q174="Cash",Q174="Receivable Investments",Q174="Payable Investments"),0,IF(Q174="Investments",VLOOKUP(R174,LQA!E:Q,12,0),"Not Covered"))</f>
        <v>0.3</v>
      </c>
      <c r="W174" s="76">
        <f>IF(OR(Q174="Cash",Q174="Receivable Investments",Q174="Payable Investments"),0,IF(Q174="Investments",VLOOKUP(R174,LQA!E:Q,9,0),"Not Covered"))</f>
        <v>8.2129999999999998E-3</v>
      </c>
      <c r="X174" s="13" t="str">
        <f>IF(OR(H174=0,T177="Comdty"),"High",IF(V174&lt;='Liquidity Bucket'!$A$4,'Liquidity Bucket'!$I$4,IF(V174&lt;='Liquidity Bucket'!$A$5,'Liquidity Bucket'!$I$5,IF(V174&lt;='Liquidity Bucket'!$A$6,'Liquidity Bucket'!$I$6,IF(V174='Liquidity Bucket'!$A$8,'Liquidity Bucket'!$I$8,'Liquidity Bucket'!$I$7)))))</f>
        <v>High</v>
      </c>
      <c r="Y174" s="153">
        <f>IF(OR(Q174="Cash",Q174="Receivable Investments",Q174="Payable Investments"),0,IF(Q174="Investments",VLOOKUP(R174,'LQA Stress'!E:Q,12,0),"Not Covered"))</f>
        <v>1.9</v>
      </c>
      <c r="Z174" s="75">
        <f>IF(OR(Q174="Cash",Q174="Receivable Investments",Q174="Payable Investments"),0,IF(Q174="Investments",VLOOKUP(R174,'LQA Stress'!E:Q,9,0),"Not Covered"))</f>
        <v>2.1561E-2</v>
      </c>
      <c r="AA174" s="13" t="str">
        <f>IF(T177="Comdty","High",IF(Y174&lt;='Liquidity Bucket'!$A$4,'Liquidity Bucket'!$I$4,IF(Y174&lt;='Liquidity Bucket'!$A$5,'Liquidity Bucket'!$I$5,IF(Y174&lt;='Liquidity Bucket'!$A$6,'Liquidity Bucket'!$I$6,IF(Y174='Liquidity Bucket'!$A$8,'Liquidity Bucket'!$I$8,'Liquidity Bucket'!$I$7)))))</f>
        <v>High</v>
      </c>
      <c r="AB174" s="14">
        <f>(N174+M174)/'FX Rates'!$C$5</f>
        <v>4103605.2631578948</v>
      </c>
      <c r="AC174" s="15" t="str">
        <f>IF(X174="Not Covered", (H174/_xll.BDP(R174&amp;" FIGI",$AC$1)),"")</f>
        <v/>
      </c>
      <c r="AD174" s="16" t="str">
        <f>IF(X174="Not Covered", _xll.BDP(R174&amp;" FIGI",$AD$1),"")</f>
        <v/>
      </c>
      <c r="AE174" s="16" t="str">
        <f>IF(OR(T174="Corp",T174="Govt"),IF(_xll.BDP(R174&amp;" FIGI",$AE$1)="#N/A N/A","",_xll.BDP(R174&amp;" FIGI",$AE$1)),"")</f>
        <v/>
      </c>
      <c r="AF174" s="1" t="str">
        <f>IF(OR(T174="Corp",T174="Govt"),IF(_xll.BDP(R174&amp;" FIGI",$AF$1)="#N/A N/A","",_xll.BDP(R174&amp;" FIGI",$AF$1)),"")</f>
        <v>B1 *-</v>
      </c>
      <c r="AG174" s="16" t="str">
        <f>IF(OR(T174="Corp",T174="Govt"),IF(_xll.BDP(R174&amp;" FIGI",$AG$1)="#N/A N/A","",_xll.BDP(R174&amp;" FIGI",$AG$1)),"")</f>
        <v>BB-</v>
      </c>
      <c r="AH174" s="125">
        <f>IF(OR(S174="Cash",S174="M-Mkt"),21,IF(AE174="",0,VLOOKUP(AE174,'Rating Scale'!A:B,2,0)))</f>
        <v>0</v>
      </c>
      <c r="AI174" s="125">
        <f>IF(OR(S174="Cash",S174="M-Mkt"),21,IF(AF174="",0,VLOOKUP(AF174,'Rating Scale'!D:E,2,0)))</f>
        <v>8</v>
      </c>
      <c r="AJ174" s="125">
        <f>IF(OR(S174="Cash",S174="M-Mkt"),21,IF(AG174="",0,VLOOKUP(AG174,'Rating Scale'!G:H,2,0)))</f>
        <v>9</v>
      </c>
      <c r="AK174">
        <f t="shared" ref="AK174:AK183" si="74">Rating(AH174,AI174,AJ174)</f>
        <v>8</v>
      </c>
      <c r="AL174" s="1" t="str">
        <f>IF(OR(U174="Cash",U174="Cash Adjustments"),_xll.BDP(G174&amp;" Curncy","Country"),IF(T174="Equity",_xll.BDP(R174&amp;" FIGI","CNTRY_ISSUE_ISO"),_xll.BDP(R174&amp;" FIGI",$AL$1)))</f>
        <v>CN</v>
      </c>
      <c r="AM174" s="126" t="str">
        <f>IF(OR(T174="Cash",T174="Cash Adjustments",T174="M-Mkt"), T174, IF(T174="Comdty",AS174, _xll.BDP(R174&amp;" FIGI", $AM$1)))</f>
        <v>Financial</v>
      </c>
      <c r="AN174" s="126" t="str">
        <f>IF(OR(T174="Cash",T174="Cash Adjustments",T174="M-Mkt"), T174,  IF(T174="Comdty",AS174,_xll.BDP(R174&amp;" FIGI", $AN$1)))</f>
        <v>Real Estate</v>
      </c>
      <c r="AO174" s="126" t="str">
        <f>IF(OR(T174="Cash",T174="Cash Adjustments",T174="M-Mkt"), T174,  IF(T174="Comdty",AS174,_xll.BDP(R174&amp;" FIGI", $AO$1)))</f>
        <v>Real Estate Oper/Develop</v>
      </c>
      <c r="AP174" s="13" t="str">
        <f>IF(OR(T174="Cash",T174="Cash Adjustments"), T174, IF(_xll.BDP(R174&amp;" FIGI", $AP$1)="#N/A Field Not Applicable","N",_xll.BDP(R174&amp;" FIGI", $AP$1)))</f>
        <v>N</v>
      </c>
      <c r="AQ174" s="1" t="str">
        <f>IF(OR(T174="Cash",T174="Cash Adjustments"), T174, IF(_xll.BDP(R174&amp;" FIGI", $AQ$1)="#N/A Field Not Applicable"," ",_xll.BDP(R174&amp;" FIGI", $AQ$1)))</f>
        <v xml:space="preserve"> </v>
      </c>
      <c r="AR174" s="1" t="str">
        <f>IF(OR(T174="Cash",T174="Cash Adjustments"), T174, IF(_xll.BDP(R174&amp;" FIGI", $AR$1)="#N/A Field Not Applicable"," ",_xll.BDP(R174&amp;" FIGI", $AR$1)))</f>
        <v>ACTV</v>
      </c>
      <c r="AS174" s="1" t="str">
        <f>VLOOKUP(T174,'SFC Classifcation'!$F$2:$H$7,3,0)</f>
        <v>Corporate</v>
      </c>
      <c r="AT174" s="22" t="str">
        <f t="shared" ref="AT174:AT183" si="75">IF(OR(T174="Cash",T174="Cash Adjustments"),T174, IF(AM174&lt;&gt;"Financial","Non-Financial","Financial"))</f>
        <v>Financial</v>
      </c>
      <c r="AU174" s="1" t="str">
        <f t="shared" ref="AU174:AU183" si="76">IF(OR(T174="Cash",T174="Cash Adjustments",T174="Equity", T174="Comdty"),"",IF(AK174&gt;=12,"Investment Grade", "Non-Investment Grade"))</f>
        <v>Non-Investment Grade</v>
      </c>
      <c r="AV174" s="1" t="str">
        <f>IF(OR(T174="Cash",T174="Cash Adjustments"),T174,VLOOKUP(AL174,'SFC Classifcation'!$A:$C,3,0))</f>
        <v>China</v>
      </c>
      <c r="AW174" s="22" t="str">
        <f t="shared" ref="AW174:AW183" si="77">LQBucket(X174,AK174,AD174,AC174)</f>
        <v>High</v>
      </c>
      <c r="AX174" s="22" t="str">
        <f t="shared" ref="AX174:AX183" si="78">LQBucket(AA174,AK174,AD174,AC174)</f>
        <v>High</v>
      </c>
      <c r="AY174" s="45" t="str">
        <f>IF(OR(T174="Cash",T174="Cash Adjustments"), T174, _xll.BDP(R174&amp;" FIGI", $AY$1))</f>
        <v>Real Estate</v>
      </c>
      <c r="AZ174" s="45" t="str">
        <f>IF(OR(T174="Cash",T174="Cash Adjustments"), T174, _xll.BDP(R174&amp;" FIGI", $AZ$1))</f>
        <v>FINANCIAL</v>
      </c>
      <c r="BA174" s="45" t="str">
        <f>IF(OR(T174="Cash",T174="Cash Adjustments"), T174, _xll.BDP(R174&amp;" FIGI", $BA$1))</f>
        <v>#N/A Field Not Applicable</v>
      </c>
      <c r="BB174" s="45">
        <f>IF(OR(AS174="Government",AS174="Corporate"),(AK174*AB174/'SFC Report'!$C$20),"")</f>
        <v>5.9642131589699471E-2</v>
      </c>
      <c r="BC174" s="174" t="str">
        <f>IF(OR(T174="Cash",T174="Cash Adjustments", T174="FX Forward", T174="Repo", T174="Equity", T174="M-Mkt"), "", _xll.BDP(R174&amp;" FIGI", $BC$1))</f>
        <v>1/23/2022</v>
      </c>
      <c r="BD174" s="125">
        <f ca="1">IF(OR(T174="Cash",T174="Cash Adjustments",T174="FX Forward",T174="Repo", T174="Equity", T174="M-Mkt"),"",(BC174-'SFC Report'!$B$13)/365)</f>
        <v>1.7342465753424658</v>
      </c>
      <c r="BE174" s="82" t="str">
        <f t="shared" ref="BE174:BE183" ca="1" si="79">IF(BC174&lt;&gt;0,MaturityBucket(BD174),"")</f>
        <v>1 - 2 yrs</v>
      </c>
      <c r="BF174" s="5">
        <f ca="1">IF(BC174="","",BD174*AB174/'SFC Report'!$C$20)</f>
        <v>1.2929270306945125E-2</v>
      </c>
      <c r="BG174" s="14" cm="1">
        <f t="array" ref="BG174">IF(OR(AS174="Corporate",AS174="Government"),_xll.BDP(G174&amp;" ISIN", $BG$1),"")</f>
        <v>1.4887999104258627</v>
      </c>
      <c r="BH174" s="140">
        <f>IF(OR(AS174="Corporate",AS174="Government"),BG174*BN174/'SFC Report'!$C$20,"")</f>
        <v>1.1099400021044011E-2</v>
      </c>
      <c r="BI174" s="140">
        <f>IF(OR(AS174="Corporate",AS174="Government"),_xll.BDP(G174&amp;" ISIN", $BI$1),"")</f>
        <v>6.5358991469789292</v>
      </c>
      <c r="BJ174" s="140">
        <f>IF(OR(AS174="Corporate",AS174="Government"),BI174*AB174/'SFC Report'!$C$20,"")</f>
        <v>4.872686962264023E-2</v>
      </c>
      <c r="BK174" s="153" t="str">
        <f>IF(OR(T174="Cash",T174="Cash Adjustments"),"-",_xll.BDP(R174&amp;" FIGI",$BK$1))</f>
        <v>XS1938265474</v>
      </c>
      <c r="BL174" s="11" t="str">
        <f>IF(OR(AS174="Cash", AS174="Cash Adjustments"),"-",IF(ISNA(VLOOKUP(BK174,'BBG - VaR Data (Sample, Indus )'!C:N,5,0)),"-",VLOOKUP(BK174,'BBG - VaR Data (Sample, Indus )'!C:N,5,0)))</f>
        <v>-</v>
      </c>
      <c r="BM174" s="11">
        <f>IF(OR(AS174="Cash", AS174="Cash Adjustments"),"-",IF(ISNA(VLOOKUP(BK174,'BBG - Scenarios (Sample View)'!C:Z,14,0)),"-",VLOOKUP(BK174,'BBG - Scenarios (Sample View)'!C:Z,14,0)))</f>
        <v>-3.02</v>
      </c>
      <c r="BN174" s="14">
        <f t="shared" ref="BN174:BN183" si="80">AB174</f>
        <v>4103605.2631578948</v>
      </c>
      <c r="BO174" s="1">
        <f t="shared" ref="BO174:BO183" si="81">BN174/SUM($BN$2:$BN$154)</f>
        <v>8.0498326375711918E-3</v>
      </c>
      <c r="BP174" t="str">
        <f>IF(BC174&lt;&gt;0,MaturityBucket(BG174),"")</f>
        <v>1 - 2 yrs</v>
      </c>
      <c r="BQ174" s="11" t="str">
        <f>IF(OR(T174="Cash",T174="Cash Adjustments"),T174,VLOOKUP(AL174,'SFC Classifcation'!$A:$C,2,0))</f>
        <v>China</v>
      </c>
      <c r="BR174" s="1" t="e">
        <f>IF(S174="Bond",BH174/'SFC Report'!$B$7,"")</f>
        <v>#VALUE!</v>
      </c>
      <c r="BS174" t="str">
        <f>IF(OR(T174="Cash",T174="Cash Adjustments"),"-",_xll.BDP(R174&amp;" FIGI",$BS$1))</f>
        <v>#N/A N/A</v>
      </c>
      <c r="BT174" t="str">
        <f>IF(OR(T174="Cash",T174="Cash Adjustments"),"-",_xll.BDP(R174&amp;" FIGI",$BT$1))</f>
        <v>4/9/2020</v>
      </c>
      <c r="BU174" t="str">
        <f>IF(OR(T174="Cash",T174="Cash Adjustments"),"-",_xll.BDP(R174&amp;" FIGI",$BU$1))</f>
        <v>1/18/2019</v>
      </c>
    </row>
    <row r="175" spans="1:73">
      <c r="A175" s="254" t="s">
        <v>15</v>
      </c>
      <c r="B175" s="254" t="s">
        <v>25</v>
      </c>
      <c r="C175" s="254" t="s">
        <v>46</v>
      </c>
      <c r="D175" s="254" t="s">
        <v>22</v>
      </c>
      <c r="E175" s="254"/>
      <c r="F175" s="254" t="s">
        <v>794</v>
      </c>
      <c r="G175" s="254" t="s">
        <v>795</v>
      </c>
      <c r="H175" s="270">
        <v>5000000</v>
      </c>
      <c r="I175" s="270">
        <v>100.02200000000001</v>
      </c>
      <c r="J175" s="270">
        <v>4985803.2300000004</v>
      </c>
      <c r="K175" s="270">
        <v>39136915.07</v>
      </c>
      <c r="L175" s="270">
        <v>-377389.85</v>
      </c>
      <c r="M175" s="270">
        <v>726581.25</v>
      </c>
      <c r="N175" s="270">
        <v>38759525.219999999</v>
      </c>
      <c r="O175" s="255">
        <v>8.5000000000000006E-3</v>
      </c>
      <c r="Q175" s="1" t="str">
        <f t="shared" si="73"/>
        <v>Investments</v>
      </c>
      <c r="R175" s="1" t="str">
        <f>_xll.BDP(G175&amp;" ISIN",$R$1)</f>
        <v>BBG00P7N38J5</v>
      </c>
      <c r="S175" s="1" t="str">
        <f>IF(Q175="Cash",Q175,IF(OR(Q175="Receivable Investments",Q175="Payable Investments"),"Cash Adjustments",_xll.BDP(R175&amp;" FIGI",$S$1)))</f>
        <v>BOND</v>
      </c>
      <c r="T175" s="1" t="str">
        <f>IF(Q175="Cash",Q175,IF(OR(Q175="Receivable Investments",Q175="Payable Investments"),"Cash Adjustments",VLOOKUP(R175,LQA!E:S,3,0)))</f>
        <v>Corp</v>
      </c>
      <c r="U175" s="1" t="str">
        <f>IF(Q175="Cash",Q175,IF(OR(Q175="Receivable Investments",Q175="Payable Investments"),"Cash Adjustments",_xll.BDP(R175&amp;" FIGI",$U$1)))</f>
        <v>#N/A Field Not Applicable</v>
      </c>
      <c r="V175" s="10">
        <f>IF(OR(Q175="Cash",Q175="Receivable Investments",Q175="Payable Investments"),0,IF(Q175="Investments",VLOOKUP(R175,LQA!E:Q,12,0),"Not Covered"))</f>
        <v>0.7</v>
      </c>
      <c r="W175" s="76">
        <f>IF(OR(Q175="Cash",Q175="Receivable Investments",Q175="Payable Investments"),0,IF(Q175="Investments",VLOOKUP(R175,LQA!E:Q,9,0),"Not Covered"))</f>
        <v>9.0159999999999997E-3</v>
      </c>
      <c r="X175" s="13" t="str">
        <f>IF(OR(H175=0,T178="Comdty"),"High",IF(V175&lt;='Liquidity Bucket'!$A$4,'Liquidity Bucket'!$I$4,IF(V175&lt;='Liquidity Bucket'!$A$5,'Liquidity Bucket'!$I$5,IF(V175&lt;='Liquidity Bucket'!$A$6,'Liquidity Bucket'!$I$6,IF(V175='Liquidity Bucket'!$A$8,'Liquidity Bucket'!$I$8,'Liquidity Bucket'!$I$7)))))</f>
        <v>High</v>
      </c>
      <c r="Y175" s="153">
        <f>IF(OR(Q175="Cash",Q175="Receivable Investments",Q175="Payable Investments"),0,IF(Q175="Investments",VLOOKUP(R175,'LQA Stress'!E:Q,12,0),"Not Covered"))</f>
        <v>2</v>
      </c>
      <c r="Z175" s="75">
        <f>IF(OR(Q175="Cash",Q175="Receivable Investments",Q175="Payable Investments"),0,IF(Q175="Investments",VLOOKUP(R175,'LQA Stress'!E:Q,9,0),"Not Covered"))</f>
        <v>2.3139E-2</v>
      </c>
      <c r="AA175" s="13" t="str">
        <f>IF(T178="Comdty","High",IF(Y175&lt;='Liquidity Bucket'!$A$4,'Liquidity Bucket'!$I$4,IF(Y175&lt;='Liquidity Bucket'!$A$5,'Liquidity Bucket'!$I$5,IF(Y175&lt;='Liquidity Bucket'!$A$6,'Liquidity Bucket'!$I$6,IF(Y175='Liquidity Bucket'!$A$8,'Liquidity Bucket'!$I$8,'Liquidity Bucket'!$I$7)))))</f>
        <v>High</v>
      </c>
      <c r="AB175" s="14">
        <f>(N175+M175)/'FX Rates'!$C$5</f>
        <v>5093666.9852941176</v>
      </c>
      <c r="AC175" s="15" t="str">
        <f>IF(X175="Not Covered", (H175/_xll.BDP(R175&amp;" FIGI",$AC$1)),"")</f>
        <v/>
      </c>
      <c r="AD175" s="16" t="str">
        <f>IF(X175="Not Covered", _xll.BDP(R175&amp;" FIGI",$AD$1),"")</f>
        <v/>
      </c>
      <c r="AE175" s="16" t="str">
        <f>IF(OR(T175="Corp",T175="Govt"),IF(_xll.BDP(R175&amp;" FIGI",$AE$1)="#N/A N/A","",_xll.BDP(R175&amp;" FIGI",$AE$1)),"")</f>
        <v/>
      </c>
      <c r="AF175" s="1" t="str">
        <f>IF(OR(T175="Corp",T175="Govt"),IF(_xll.BDP(R175&amp;" FIGI",$AF$1)="#N/A N/A","",_xll.BDP(R175&amp;" FIGI",$AF$1)),"")</f>
        <v>Baa3</v>
      </c>
      <c r="AG175" s="16" t="str">
        <f>IF(OR(T175="Corp",T175="Govt"),IF(_xll.BDP(R175&amp;" FIGI",$AG$1)="#N/A N/A","",_xll.BDP(R175&amp;" FIGI",$AG$1)),"")</f>
        <v>BBB</v>
      </c>
      <c r="AH175" s="125">
        <f>IF(OR(S175="Cash",S175="M-Mkt"),21,IF(AE175="",0,VLOOKUP(AE175,'Rating Scale'!A:B,2,0)))</f>
        <v>0</v>
      </c>
      <c r="AI175" s="125">
        <f>IF(OR(S175="Cash",S175="M-Mkt"),21,IF(AF175="",0,VLOOKUP(AF175,'Rating Scale'!D:E,2,0)))</f>
        <v>12</v>
      </c>
      <c r="AJ175" s="125">
        <f>IF(OR(S175="Cash",S175="M-Mkt"),21,IF(AG175="",0,VLOOKUP(AG175,'Rating Scale'!G:H,2,0)))</f>
        <v>13</v>
      </c>
      <c r="AK175">
        <f t="shared" si="74"/>
        <v>12</v>
      </c>
      <c r="AL175" s="1" t="str">
        <f>IF(OR(U175="Cash",U175="Cash Adjustments"),_xll.BDP(G175&amp;" Curncy","Country"),IF(T175="Equity",_xll.BDP(R175&amp;" FIGI","CNTRY_ISSUE_ISO"),_xll.BDP(R175&amp;" FIGI",$AL$1)))</f>
        <v>CN</v>
      </c>
      <c r="AM175" s="126" t="str">
        <f>IF(OR(T175="Cash",T175="Cash Adjustments",T175="M-Mkt"), T175, IF(T175="Comdty",AS175, _xll.BDP(R175&amp;" FIGI", $AM$1)))</f>
        <v>Financial</v>
      </c>
      <c r="AN175" s="126" t="str">
        <f>IF(OR(T175="Cash",T175="Cash Adjustments",T175="M-Mkt"), T175,  IF(T175="Comdty",AS175,_xll.BDP(R175&amp;" FIGI", $AN$1)))</f>
        <v>Real Estate</v>
      </c>
      <c r="AO175" s="126" t="str">
        <f>IF(OR(T175="Cash",T175="Cash Adjustments",T175="M-Mkt"), T175,  IF(T175="Comdty",AS175,_xll.BDP(R175&amp;" FIGI", $AO$1)))</f>
        <v>Real Estate Oper/Develop</v>
      </c>
      <c r="AP175" s="13" t="str">
        <f>IF(OR(T175="Cash",T175="Cash Adjustments"), T175, IF(_xll.BDP(R175&amp;" FIGI", $AP$1)="#N/A Field Not Applicable","N",_xll.BDP(R175&amp;" FIGI", $AP$1)))</f>
        <v>N</v>
      </c>
      <c r="AQ175" s="1" t="str">
        <f>IF(OR(T175="Cash",T175="Cash Adjustments"), T175, IF(_xll.BDP(R175&amp;" FIGI", $AQ$1)="#N/A Field Not Applicable"," ",_xll.BDP(R175&amp;" FIGI", $AQ$1)))</f>
        <v xml:space="preserve"> </v>
      </c>
      <c r="AR175" s="1" t="str">
        <f>IF(OR(T175="Cash",T175="Cash Adjustments"), T175, IF(_xll.BDP(R175&amp;" FIGI", $AR$1)="#N/A Field Not Applicable"," ",_xll.BDP(R175&amp;" FIGI", $AR$1)))</f>
        <v>ACTV</v>
      </c>
      <c r="AS175" s="1" t="str">
        <f>VLOOKUP(T175,'SFC Classifcation'!$F$2:$H$7,3,0)</f>
        <v>Corporate</v>
      </c>
      <c r="AT175" s="22" t="str">
        <f t="shared" si="75"/>
        <v>Financial</v>
      </c>
      <c r="AU175" s="1" t="str">
        <f t="shared" si="76"/>
        <v>Investment Grade</v>
      </c>
      <c r="AV175" s="1" t="str">
        <f>IF(OR(T175="Cash",T175="Cash Adjustments"),T175,VLOOKUP(AL175,'SFC Classifcation'!$A:$C,3,0))</f>
        <v>China</v>
      </c>
      <c r="AW175" s="22" t="str">
        <f t="shared" si="77"/>
        <v>High</v>
      </c>
      <c r="AX175" s="22" t="str">
        <f t="shared" si="78"/>
        <v>High</v>
      </c>
      <c r="AY175" s="45" t="str">
        <f>IF(OR(T175="Cash",T175="Cash Adjustments"), T175, _xll.BDP(R175&amp;" FIGI", $AY$1))</f>
        <v>#N/A Field Not Applicable</v>
      </c>
      <c r="AZ175" s="45" t="str">
        <f>IF(OR(T175="Cash",T175="Cash Adjustments"), T175, _xll.BDP(R175&amp;" FIGI", $AZ$1))</f>
        <v>SPECIAL PURPOSE</v>
      </c>
      <c r="BA175" s="45" t="str">
        <f>IF(OR(T175="Cash",T175="Cash Adjustments"), T175, _xll.BDP(R175&amp;" FIGI", $BA$1))</f>
        <v>Chengtou Bond</v>
      </c>
      <c r="BB175" s="45">
        <f>IF(OR(AS175="Government",AS175="Corporate"),(AK175*AB175/'SFC Report'!$C$20),"")</f>
        <v>0.11104765339097272</v>
      </c>
      <c r="BC175" s="174" t="str">
        <f>IF(OR(T175="Cash",T175="Cash Adjustments", T175="FX Forward", T175="Repo", T175="Equity", T175="M-Mkt"), "", _xll.BDP(R175&amp;" FIGI", $BC$1))</f>
        <v>5/30/2022</v>
      </c>
      <c r="BD175" s="125">
        <f ca="1">IF(OR(T175="Cash",T175="Cash Adjustments",T175="FX Forward",T175="Repo", T175="Equity", T175="M-Mkt"),"",(BC175-'SFC Report'!$B$13)/365)</f>
        <v>2.0821917808219177</v>
      </c>
      <c r="BE175" s="82" t="str">
        <f t="shared" ca="1" si="79"/>
        <v>2 - 3 yrs</v>
      </c>
      <c r="BF175" s="5">
        <f ca="1">IF(BC175="","",BD175*AB175/'SFC Report'!$C$20)</f>
        <v>1.9268542597520383E-2</v>
      </c>
      <c r="BG175" s="14" cm="1">
        <f t="array" ref="BG175">IF(OR(AS175="Corporate",AS175="Government"),_xll.BDP(G175&amp;" ISIN", $BG$1),"")</f>
        <v>1.8641826271087028</v>
      </c>
      <c r="BH175" s="140">
        <f>IF(OR(AS175="Corporate",AS175="Government"),BG175*BN175/'SFC Report'!$C$20,"")</f>
        <v>1.7251092186053349E-2</v>
      </c>
      <c r="BI175" s="140">
        <f>IF(OR(AS175="Corporate",AS175="Government"),_xll.BDP(G175&amp;" ISIN", $BI$1),"")</f>
        <v>3.9975960902153553</v>
      </c>
      <c r="BJ175" s="140">
        <f>IF(OR(AS175="Corporate",AS175="Government"),BI175*AB175/'SFC Report'!$C$20,"")</f>
        <v>3.699363875194521E-2</v>
      </c>
      <c r="BK175" s="153" t="str">
        <f>IF(OR(T175="Cash",T175="Cash Adjustments"),"-",_xll.BDP(R175&amp;" FIGI",$BK$1))</f>
        <v>XS1831038143</v>
      </c>
      <c r="BL175" s="11" t="str">
        <f>IF(OR(AS175="Cash", AS175="Cash Adjustments"),"-",IF(ISNA(VLOOKUP(BK175,'BBG - VaR Data (Sample, Indus )'!C:N,5,0)),"-",VLOOKUP(BK175,'BBG - VaR Data (Sample, Indus )'!C:N,5,0)))</f>
        <v>-</v>
      </c>
      <c r="BM175" s="11">
        <f>IF(OR(AS175="Cash", AS175="Cash Adjustments"),"-",IF(ISNA(VLOOKUP(BK175,'BBG - Scenarios (Sample View)'!C:Z,14,0)),"-",VLOOKUP(BK175,'BBG - Scenarios (Sample View)'!C:Z,14,0)))</f>
        <v>-2.21</v>
      </c>
      <c r="BN175" s="14">
        <f t="shared" si="80"/>
        <v>5093666.9852941176</v>
      </c>
      <c r="BO175" s="1">
        <f t="shared" si="81"/>
        <v>9.9919860984839966E-3</v>
      </c>
      <c r="BP175" t="str">
        <f>IF(BC175&lt;&gt;0,MaturityBucket(BG175),"")</f>
        <v>1 - 2 yrs</v>
      </c>
      <c r="BQ175" s="11" t="str">
        <f>IF(OR(T175="Cash",T175="Cash Adjustments"),T175,VLOOKUP(AL175,'SFC Classifcation'!$A:$C,2,0))</f>
        <v>China</v>
      </c>
      <c r="BR175" s="1" t="e">
        <f>IF(S175="Bond",BH175/'SFC Report'!$B$7,"")</f>
        <v>#VALUE!</v>
      </c>
      <c r="BS175" t="str">
        <f>IF(OR(T175="Cash",T175="Cash Adjustments"),"-",_xll.BDP(R175&amp;" FIGI",$BS$1))</f>
        <v>#N/A N/A</v>
      </c>
      <c r="BT175" t="str">
        <f>IF(OR(T175="Cash",T175="Cash Adjustments"),"-",_xll.BDP(R175&amp;" FIGI",$BT$1))</f>
        <v>5/21/2019</v>
      </c>
      <c r="BU175" t="str">
        <f>IF(OR(T175="Cash",T175="Cash Adjustments"),"-",_xll.BDP(R175&amp;" FIGI",$BU$1))</f>
        <v>5/28/2019</v>
      </c>
    </row>
    <row r="176" spans="1:73">
      <c r="A176" s="254" t="s">
        <v>15</v>
      </c>
      <c r="B176" s="254" t="s">
        <v>25</v>
      </c>
      <c r="C176" s="254" t="s">
        <v>46</v>
      </c>
      <c r="D176" s="254" t="s">
        <v>22</v>
      </c>
      <c r="E176" s="254"/>
      <c r="F176" s="254" t="s">
        <v>112</v>
      </c>
      <c r="G176" s="254" t="s">
        <v>113</v>
      </c>
      <c r="H176" s="270">
        <v>2000000</v>
      </c>
      <c r="I176" s="270">
        <v>99.581000000000003</v>
      </c>
      <c r="J176" s="270">
        <v>1942347.38</v>
      </c>
      <c r="K176" s="270">
        <v>15234487.359999999</v>
      </c>
      <c r="L176" s="270">
        <v>200965.89</v>
      </c>
      <c r="M176" s="270">
        <v>306778.73</v>
      </c>
      <c r="N176" s="270">
        <v>15435453.25</v>
      </c>
      <c r="O176" s="255">
        <v>3.3999999999999998E-3</v>
      </c>
      <c r="Q176" s="1" t="str">
        <f t="shared" si="73"/>
        <v>Investments</v>
      </c>
      <c r="R176" s="1" t="str">
        <f>_xll.BDP(G176&amp;" ISIN",$R$1)</f>
        <v>BBG00JC8V4T3</v>
      </c>
      <c r="S176" s="1" t="str">
        <f>IF(Q176="Cash",Q176,IF(OR(Q176="Receivable Investments",Q176="Payable Investments"),"Cash Adjustments",_xll.BDP(R176&amp;" FIGI",$S$1)))</f>
        <v>BOND</v>
      </c>
      <c r="T176" s="1" t="str">
        <f>IF(Q176="Cash",Q176,IF(OR(Q176="Receivable Investments",Q176="Payable Investments"),"Cash Adjustments",VLOOKUP(R176,LQA!E:S,3,0)))</f>
        <v>Corp</v>
      </c>
      <c r="U176" s="1" t="str">
        <f>IF(Q176="Cash",Q176,IF(OR(Q176="Receivable Investments",Q176="Payable Investments"),"Cash Adjustments",_xll.BDP(R176&amp;" FIGI",$U$1)))</f>
        <v>#N/A Field Not Applicable</v>
      </c>
      <c r="V176" s="10">
        <f>IF(OR(Q176="Cash",Q176="Receivable Investments",Q176="Payable Investments"),0,IF(Q176="Investments",VLOOKUP(R176,LQA!E:Q,12,0),"Not Covered"))</f>
        <v>0.3</v>
      </c>
      <c r="W176" s="76">
        <f>IF(OR(Q176="Cash",Q176="Receivable Investments",Q176="Payable Investments"),0,IF(Q176="Investments",VLOOKUP(R176,LQA!E:Q,9,0),"Not Covered"))</f>
        <v>3.9940000000000002E-3</v>
      </c>
      <c r="X176" s="13" t="str">
        <f>IF(OR(H176=0,T179="Comdty"),"High",IF(V176&lt;='Liquidity Bucket'!$A$4,'Liquidity Bucket'!$I$4,IF(V176&lt;='Liquidity Bucket'!$A$5,'Liquidity Bucket'!$I$5,IF(V176&lt;='Liquidity Bucket'!$A$6,'Liquidity Bucket'!$I$6,IF(V176='Liquidity Bucket'!$A$8,'Liquidity Bucket'!$I$8,'Liquidity Bucket'!$I$7)))))</f>
        <v>High</v>
      </c>
      <c r="Y176" s="153">
        <f>IF(OR(Q176="Cash",Q176="Receivable Investments",Q176="Payable Investments"),0,IF(Q176="Investments",VLOOKUP(R176,'LQA Stress'!E:Q,12,0),"Not Covered"))</f>
        <v>1.7</v>
      </c>
      <c r="Z176" s="75">
        <f>IF(OR(Q176="Cash",Q176="Receivable Investments",Q176="Payable Investments"),0,IF(Q176="Investments",VLOOKUP(R176,'LQA Stress'!E:Q,9,0),"Not Covered"))</f>
        <v>9.9570000000000006E-3</v>
      </c>
      <c r="AA176" s="13" t="str">
        <f>IF(T179="Comdty","High",IF(Y176&lt;='Liquidity Bucket'!$A$4,'Liquidity Bucket'!$I$4,IF(Y176&lt;='Liquidity Bucket'!$A$5,'Liquidity Bucket'!$I$5,IF(Y176&lt;='Liquidity Bucket'!$A$6,'Liquidity Bucket'!$I$6,IF(Y176='Liquidity Bucket'!$A$8,'Liquidity Bucket'!$I$8,'Liquidity Bucket'!$I$7)))))</f>
        <v>High</v>
      </c>
      <c r="AB176" s="14">
        <f>(N176+M176)/'FX Rates'!$C$5</f>
        <v>2030731.6795665636</v>
      </c>
      <c r="AC176" s="15" t="str">
        <f>IF(X176="Not Covered", (H176/_xll.BDP(R176&amp;" FIGI",$AC$1)),"")</f>
        <v/>
      </c>
      <c r="AD176" s="16" t="str">
        <f>IF(X176="Not Covered", _xll.BDP(R176&amp;" FIGI",$AD$1),"")</f>
        <v/>
      </c>
      <c r="AE176" s="16" t="str">
        <f>IF(OR(T176="Corp",T176="Govt"),IF(_xll.BDP(R176&amp;" FIGI",$AE$1)="#N/A N/A","",_xll.BDP(R176&amp;" FIGI",$AE$1)),"")</f>
        <v/>
      </c>
      <c r="AF176" s="1" t="str">
        <f>IF(OR(T176="Corp",T176="Govt"),IF(_xll.BDP(R176&amp;" FIGI",$AF$1)="#N/A N/A","",_xll.BDP(R176&amp;" FIGI",$AF$1)),"")</f>
        <v/>
      </c>
      <c r="AG176" s="16" t="str">
        <f>IF(OR(T176="Corp",T176="Govt"),IF(_xll.BDP(R176&amp;" FIGI",$AG$1)="#N/A N/A","",_xll.BDP(R176&amp;" FIGI",$AG$1)),"")</f>
        <v/>
      </c>
      <c r="AH176" s="125">
        <f>IF(OR(S176="Cash",S176="M-Mkt"),21,IF(AE176="",0,VLOOKUP(AE176,'Rating Scale'!A:B,2,0)))</f>
        <v>0</v>
      </c>
      <c r="AI176" s="125">
        <f>IF(OR(S176="Cash",S176="M-Mkt"),21,IF(AF176="",0,VLOOKUP(AF176,'Rating Scale'!D:E,2,0)))</f>
        <v>0</v>
      </c>
      <c r="AJ176" s="125">
        <f>IF(OR(S176="Cash",S176="M-Mkt"),21,IF(AG176="",0,VLOOKUP(AG176,'Rating Scale'!G:H,2,0)))</f>
        <v>0</v>
      </c>
      <c r="AK176">
        <f t="shared" si="74"/>
        <v>0</v>
      </c>
      <c r="AL176" s="1" t="str">
        <f>IF(OR(U176="Cash",U176="Cash Adjustments"),_xll.BDP(G176&amp;" Curncy","Country"),IF(T176="Equity",_xll.BDP(R176&amp;" FIGI","CNTRY_ISSUE_ISO"),_xll.BDP(R176&amp;" FIGI",$AL$1)))</f>
        <v>CN</v>
      </c>
      <c r="AM176" s="126" t="str">
        <f>IF(OR(T176="Cash",T176="Cash Adjustments",T176="M-Mkt"), T176, IF(T176="Comdty",AS176, _xll.BDP(R176&amp;" FIGI", $AM$1)))</f>
        <v>Energy</v>
      </c>
      <c r="AN176" s="126" t="str">
        <f>IF(OR(T176="Cash",T176="Cash Adjustments",T176="M-Mkt"), T176,  IF(T176="Comdty",AS176,_xll.BDP(R176&amp;" FIGI", $AN$1)))</f>
        <v>Coal</v>
      </c>
      <c r="AO176" s="126" t="str">
        <f>IF(OR(T176="Cash",T176="Cash Adjustments",T176="M-Mkt"), T176,  IF(T176="Comdty",AS176,_xll.BDP(R176&amp;" FIGI", $AO$1)))</f>
        <v>Coal</v>
      </c>
      <c r="AP176" s="13" t="str">
        <f>IF(OR(T176="Cash",T176="Cash Adjustments"), T176, IF(_xll.BDP(R176&amp;" FIGI", $AP$1)="#N/A Field Not Applicable","N",_xll.BDP(R176&amp;" FIGI", $AP$1)))</f>
        <v>N</v>
      </c>
      <c r="AQ176" s="1" t="str">
        <f>IF(OR(T176="Cash",T176="Cash Adjustments"), T176, IF(_xll.BDP(R176&amp;" FIGI", $AQ$1)="#N/A Field Not Applicable"," ",_xll.BDP(R176&amp;" FIGI", $AQ$1)))</f>
        <v xml:space="preserve"> </v>
      </c>
      <c r="AR176" s="1" t="str">
        <f>IF(OR(T176="Cash",T176="Cash Adjustments"), T176, IF(_xll.BDP(R176&amp;" FIGI", $AR$1)="#N/A Field Not Applicable"," ",_xll.BDP(R176&amp;" FIGI", $AR$1)))</f>
        <v>ACTV</v>
      </c>
      <c r="AS176" s="1" t="str">
        <f>VLOOKUP(T176,'SFC Classifcation'!$F$2:$H$7,3,0)</f>
        <v>Corporate</v>
      </c>
      <c r="AT176" s="22" t="str">
        <f t="shared" si="75"/>
        <v>Non-Financial</v>
      </c>
      <c r="AU176" s="1" t="str">
        <f t="shared" si="76"/>
        <v>Non-Investment Grade</v>
      </c>
      <c r="AV176" s="1" t="str">
        <f>IF(OR(T176="Cash",T176="Cash Adjustments"),T176,VLOOKUP(AL176,'SFC Classifcation'!$A:$C,3,0))</f>
        <v>China</v>
      </c>
      <c r="AW176" s="22" t="str">
        <f t="shared" si="77"/>
        <v>High</v>
      </c>
      <c r="AX176" s="22" t="str">
        <f t="shared" si="78"/>
        <v>High</v>
      </c>
      <c r="AY176" s="45" t="str">
        <f>IF(OR(T176="Cash",T176="Cash Adjustments"), T176, _xll.BDP(R176&amp;" FIGI", $AY$1))</f>
        <v>#N/A Field Not Applicable</v>
      </c>
      <c r="AZ176" s="45" t="str">
        <f>IF(OR(T176="Cash",T176="Cash Adjustments"), T176, _xll.BDP(R176&amp;" FIGI", $AZ$1))</f>
        <v>SPECIAL PURPOSE</v>
      </c>
      <c r="BA176" s="45" t="str">
        <f>IF(OR(T176="Cash",T176="Cash Adjustments"), T176, _xll.BDP(R176&amp;" FIGI", $BA$1))</f>
        <v>#N/A Field Not Applicable</v>
      </c>
      <c r="BB176" s="45">
        <f>IF(OR(AS176="Government",AS176="Corporate"),(AK176*AB176/'SFC Report'!$C$20),"")</f>
        <v>0</v>
      </c>
      <c r="BC176" s="174" t="str">
        <f>IF(OR(T176="Cash",T176="Cash Adjustments", T176="FX Forward", T176="Repo", T176="Equity", T176="M-Mkt"), "", _xll.BDP(R176&amp;" FIGI", $BC$1))</f>
        <v>11/30/2020</v>
      </c>
      <c r="BD176" s="125">
        <f ca="1">IF(OR(T176="Cash",T176="Cash Adjustments",T176="FX Forward",T176="Repo", T176="Equity", T176="M-Mkt"),"",(BC176-'SFC Report'!$B$13)/365)</f>
        <v>0.58630136986301373</v>
      </c>
      <c r="BE176" s="82" t="str">
        <f t="shared" ca="1" si="79"/>
        <v>0 - 1 yr</v>
      </c>
      <c r="BF176" s="5">
        <f ca="1">IF(BC176="","",BD176*AB176/'SFC Report'!$C$20)</f>
        <v>2.1630723418424027E-3</v>
      </c>
      <c r="BG176" s="14" cm="1">
        <f t="array" ref="BG176">IF(OR(AS176="Corporate",AS176="Government"),_xll.BDP(G176&amp;" ISIN", $BG$1),"")</f>
        <v>0.48436782368843223</v>
      </c>
      <c r="BH176" s="140">
        <f>IF(OR(AS176="Corporate",AS176="Government"),BG176*BN176/'SFC Report'!$C$20,"")</f>
        <v>1.7870035728274694E-3</v>
      </c>
      <c r="BI176" s="140">
        <f>IF(OR(AS176="Corporate",AS176="Government"),_xll.BDP(G176&amp;" ISIN", $BI$1),"")</f>
        <v>5.0980834104906334</v>
      </c>
      <c r="BJ176" s="140">
        <f>IF(OR(AS176="Corporate",AS176="Government"),BI176*AB176/'SFC Report'!$C$20,"")</f>
        <v>1.8808626055597313E-2</v>
      </c>
      <c r="BK176" s="153" t="str">
        <f>IF(OR(T176="Cash",T176="Cash Adjustments"),"-",_xll.BDP(R176&amp;" FIGI",$BK$1))</f>
        <v>XS1728036952</v>
      </c>
      <c r="BL176" s="11" t="str">
        <f>IF(OR(AS176="Cash", AS176="Cash Adjustments"),"-",IF(ISNA(VLOOKUP(BK176,'BBG - VaR Data (Sample, Indus )'!C:N,5,0)),"-",VLOOKUP(BK176,'BBG - VaR Data (Sample, Indus )'!C:N,5,0)))</f>
        <v>-</v>
      </c>
      <c r="BM176" s="11">
        <f>IF(OR(AS176="Cash", AS176="Cash Adjustments"),"-",IF(ISNA(VLOOKUP(BK176,'BBG - Scenarios (Sample View)'!C:Z,14,0)),"-",VLOOKUP(BK176,'BBG - Scenarios (Sample View)'!C:Z,14,0)))</f>
        <v>-0.56000000000000005</v>
      </c>
      <c r="BN176" s="14">
        <f t="shared" si="80"/>
        <v>2030731.6795665636</v>
      </c>
      <c r="BO176" s="1">
        <f t="shared" si="81"/>
        <v>3.983582509528451E-3</v>
      </c>
      <c r="BP176" t="str">
        <f>IF(BC176&lt;&gt;0,MaturityBucket(BG176),"")</f>
        <v>0 - 1 yr</v>
      </c>
      <c r="BQ176" s="11" t="str">
        <f>IF(OR(T176="Cash",T176="Cash Adjustments"),T176,VLOOKUP(AL176,'SFC Classifcation'!$A:$C,2,0))</f>
        <v>China</v>
      </c>
      <c r="BR176" s="1" t="e">
        <f>IF(S176="Bond",BH176/'SFC Report'!$B$7,"")</f>
        <v>#VALUE!</v>
      </c>
      <c r="BS176" t="str">
        <f>IF(OR(T176="Cash",T176="Cash Adjustments"),"-",_xll.BDP(R176&amp;" FIGI",$BS$1))</f>
        <v>#N/A N/A</v>
      </c>
      <c r="BT176" t="str">
        <f>IF(OR(T176="Cash",T176="Cash Adjustments"),"-",_xll.BDP(R176&amp;" FIGI",$BT$1))</f>
        <v>#N/A N/A</v>
      </c>
      <c r="BU176" t="str">
        <f>IF(OR(T176="Cash",T176="Cash Adjustments"),"-",_xll.BDP(R176&amp;" FIGI",$BU$1))</f>
        <v>#N/A N/A</v>
      </c>
    </row>
    <row r="177" spans="1:73">
      <c r="A177" s="254" t="s">
        <v>15</v>
      </c>
      <c r="B177" s="254" t="s">
        <v>25</v>
      </c>
      <c r="C177" s="254" t="s">
        <v>46</v>
      </c>
      <c r="D177" s="254" t="s">
        <v>22</v>
      </c>
      <c r="E177" s="254"/>
      <c r="F177" s="254" t="s">
        <v>1231</v>
      </c>
      <c r="G177" s="254" t="s">
        <v>1232</v>
      </c>
      <c r="H177" s="270">
        <v>3000000</v>
      </c>
      <c r="I177" s="270">
        <v>98.01</v>
      </c>
      <c r="J177" s="270">
        <v>3000000</v>
      </c>
      <c r="K177" s="270">
        <v>23316900</v>
      </c>
      <c r="L177" s="270">
        <v>-528986.93999999994</v>
      </c>
      <c r="M177" s="270">
        <v>209772.08</v>
      </c>
      <c r="N177" s="270">
        <v>22787913.059999999</v>
      </c>
      <c r="O177" s="255">
        <v>5.0000000000000001E-3</v>
      </c>
      <c r="Q177" s="1" t="str">
        <f t="shared" si="73"/>
        <v>Investments</v>
      </c>
      <c r="R177" s="1" t="str">
        <f>_xll.BDP(G177&amp;" ISIN",$R$1)</f>
        <v>BBG00RT2L457</v>
      </c>
      <c r="S177" s="191" t="s">
        <v>519</v>
      </c>
      <c r="T177" s="1" t="str">
        <f>IF(Q177="Cash",Q177,IF(OR(Q177="Receivable Investments",Q177="Payable Investments"),"Cash Adjustments",VLOOKUP(R177,LQA!E:S,3,0)))</f>
        <v>Corp</v>
      </c>
      <c r="U177" s="1" t="str">
        <f>IF(Q177="Cash",Q177,IF(OR(Q177="Receivable Investments",Q177="Payable Investments"),"Cash Adjustments",_xll.BDP(R177&amp;" FIGI",$U$1)))</f>
        <v>#N/A Field Not Applicable</v>
      </c>
      <c r="V177" s="10">
        <f>IF(OR(Q177="Cash",Q177="Receivable Investments",Q177="Payable Investments"),0,IF(Q177="Investments",VLOOKUP(R177,LQA!E:Q,12,0),"Not Covered"))</f>
        <v>0.3</v>
      </c>
      <c r="W177" s="76">
        <f>IF(OR(Q177="Cash",Q177="Receivable Investments",Q177="Payable Investments"),0,IF(Q177="Investments",VLOOKUP(R177,LQA!E:Q,9,0),"Not Covered"))</f>
        <v>7.0039999999999998E-3</v>
      </c>
      <c r="X177" s="13" t="str">
        <f>IF(OR(H177=0,T180="Comdty"),"High",IF(V177&lt;='Liquidity Bucket'!$A$4,'Liquidity Bucket'!$I$4,IF(V177&lt;='Liquidity Bucket'!$A$5,'Liquidity Bucket'!$I$5,IF(V177&lt;='Liquidity Bucket'!$A$6,'Liquidity Bucket'!$I$6,IF(V177='Liquidity Bucket'!$A$8,'Liquidity Bucket'!$I$8,'Liquidity Bucket'!$I$7)))))</f>
        <v>High</v>
      </c>
      <c r="Y177" s="153">
        <f>IF(OR(Q177="Cash",Q177="Receivable Investments",Q177="Payable Investments"),0,IF(Q177="Investments",VLOOKUP(R177,'LQA Stress'!E:Q,12,0),"Not Covered"))</f>
        <v>1</v>
      </c>
      <c r="Z177" s="75">
        <f>IF(OR(Q177="Cash",Q177="Receivable Investments",Q177="Payable Investments"),0,IF(Q177="Investments",VLOOKUP(R177,'LQA Stress'!E:Q,9,0),"Not Covered"))</f>
        <v>1.8194999999999999E-2</v>
      </c>
      <c r="AA177" s="13" t="str">
        <f>IF(T180="Comdty","High",IF(Y177&lt;='Liquidity Bucket'!$A$4,'Liquidity Bucket'!$I$4,IF(Y177&lt;='Liquidity Bucket'!$A$5,'Liquidity Bucket'!$I$5,IF(Y177&lt;='Liquidity Bucket'!$A$6,'Liquidity Bucket'!$I$6,IF(Y177='Liquidity Bucket'!$A$8,'Liquidity Bucket'!$I$8,'Liquidity Bucket'!$I$7)))))</f>
        <v>High</v>
      </c>
      <c r="AB177" s="14">
        <f>(N177+M177)/'FX Rates'!$C$5</f>
        <v>2966677.6496388027</v>
      </c>
      <c r="AC177" s="15" t="str">
        <f>IF(X177="Not Covered", (H177/_xll.BDP(R177&amp;" FIGI",$AC$1)),"")</f>
        <v/>
      </c>
      <c r="AD177" s="16" t="str">
        <f>IF(X177="Not Covered", _xll.BDP(R177&amp;" FIGI",$AD$1),"")</f>
        <v/>
      </c>
      <c r="AE177" s="16" t="str">
        <f>IF(OR(T177="Corp",T177="Govt"),IF(_xll.BDP(R177&amp;" FIGI",$AE$1)="#N/A N/A","",_xll.BDP(R177&amp;" FIGI",$AE$1)),"")</f>
        <v/>
      </c>
      <c r="AF177" s="1" t="str">
        <f>IF(OR(T177="Corp",T177="Govt"),IF(_xll.BDP(R177&amp;" FIGI",$AF$1)="#N/A N/A","",_xll.BDP(R177&amp;" FIGI",$AF$1)),"")</f>
        <v/>
      </c>
      <c r="AG177" s="16" t="str">
        <f>IF(OR(T177="Corp",T177="Govt"),IF(_xll.BDP(R177&amp;" FIGI",$AG$1)="#N/A N/A","",_xll.BDP(R177&amp;" FIGI",$AG$1)),"")</f>
        <v/>
      </c>
      <c r="AH177" s="125">
        <f>IF(OR(S177="Cash",S177="M-Mkt"),21,IF(AE177="",0,VLOOKUP(AE177,'Rating Scale'!A:B,2,0)))</f>
        <v>0</v>
      </c>
      <c r="AI177" s="125">
        <f>IF(OR(S177="Cash",S177="M-Mkt"),21,IF(AF177="",0,VLOOKUP(AF177,'Rating Scale'!D:E,2,0)))</f>
        <v>0</v>
      </c>
      <c r="AJ177" s="125">
        <f>IF(OR(S177="Cash",S177="M-Mkt"),21,IF(AG177="",0,VLOOKUP(AG177,'Rating Scale'!G:H,2,0)))</f>
        <v>0</v>
      </c>
      <c r="AK177">
        <f t="shared" si="74"/>
        <v>0</v>
      </c>
      <c r="AL177" s="1" t="str">
        <f>IF(OR(U177="Cash",U177="Cash Adjustments"),_xll.BDP(G177&amp;" Curncy","Country"),IF(T177="Equity",_xll.BDP(R177&amp;" FIGI","CNTRY_ISSUE_ISO"),_xll.BDP(R177&amp;" FIGI",$AL$1)))</f>
        <v>CN</v>
      </c>
      <c r="AM177" s="126" t="str">
        <f>IF(OR(T177="Cash",T177="Cash Adjustments",T177="M-Mkt"), T177, IF(T177="Comdty",AS177, _xll.BDP(R177&amp;" FIGI", $AM$1)))</f>
        <v>Financial</v>
      </c>
      <c r="AN177" s="126" t="str">
        <f>IF(OR(T177="Cash",T177="Cash Adjustments",T177="M-Mkt"), T177,  IF(T177="Comdty",AS177,_xll.BDP(R177&amp;" FIGI", $AN$1)))</f>
        <v>Real Estate</v>
      </c>
      <c r="AO177" s="126" t="str">
        <f>IF(OR(T177="Cash",T177="Cash Adjustments",T177="M-Mkt"), T177,  IF(T177="Comdty",AS177,_xll.BDP(R177&amp;" FIGI", $AO$1)))</f>
        <v>Real Estate Oper/Develop</v>
      </c>
      <c r="AP177" s="13" t="str">
        <f>IF(OR(T177="Cash",T177="Cash Adjustments"), T177, IF(_xll.BDP(R177&amp;" FIGI", $AP$1)="#N/A Field Not Applicable","N",_xll.BDP(R177&amp;" FIGI", $AP$1)))</f>
        <v>N</v>
      </c>
      <c r="AQ177" s="1" t="str">
        <f>IF(OR(T177="Cash",T177="Cash Adjustments"), T177, IF(_xll.BDP(R177&amp;" FIGI", $AQ$1)="#N/A Field Not Applicable"," ",_xll.BDP(R177&amp;" FIGI", $AQ$1)))</f>
        <v xml:space="preserve"> </v>
      </c>
      <c r="AR177" s="1" t="str">
        <f>IF(OR(T177="Cash",T177="Cash Adjustments"), T177, IF(_xll.BDP(R177&amp;" FIGI", $AR$1)="#N/A Field Not Applicable"," ",_xll.BDP(R177&amp;" FIGI", $AR$1)))</f>
        <v>ACTV</v>
      </c>
      <c r="AS177" s="1" t="str">
        <f>VLOOKUP(T177,'SFC Classifcation'!$F$2:$H$7,3,0)</f>
        <v>Corporate</v>
      </c>
      <c r="AT177" s="22" t="str">
        <f t="shared" si="75"/>
        <v>Financial</v>
      </c>
      <c r="AU177" s="1" t="str">
        <f t="shared" si="76"/>
        <v>Non-Investment Grade</v>
      </c>
      <c r="AV177" s="1" t="str">
        <f>IF(OR(T177="Cash",T177="Cash Adjustments"),T177,VLOOKUP(AL177,'SFC Classifcation'!$A:$C,3,0))</f>
        <v>China</v>
      </c>
      <c r="AW177" s="22" t="str">
        <f t="shared" si="77"/>
        <v>High</v>
      </c>
      <c r="AX177" s="22" t="str">
        <f t="shared" si="78"/>
        <v>High</v>
      </c>
      <c r="AY177" s="45" t="str">
        <f>IF(OR(T177="Cash",T177="Cash Adjustments"), T177, _xll.BDP(R177&amp;" FIGI", $AY$1))</f>
        <v>Real Estate</v>
      </c>
      <c r="AZ177" s="45" t="str">
        <f>IF(OR(T177="Cash",T177="Cash Adjustments"), T177, _xll.BDP(R177&amp;" FIGI", $AZ$1))</f>
        <v>FINANCIAL</v>
      </c>
      <c r="BA177" s="45" t="str">
        <f>IF(OR(T177="Cash",T177="Cash Adjustments"), T177, _xll.BDP(R177&amp;" FIGI", $BA$1))</f>
        <v>#N/A Field Not Applicable</v>
      </c>
      <c r="BB177" s="45">
        <f>IF(OR(AS177="Government",AS177="Corporate"),(AK177*AB177/'SFC Report'!$C$20),"")</f>
        <v>0</v>
      </c>
      <c r="BC177" s="174" t="str">
        <f>IF(OR(T177="Cash",T177="Cash Adjustments", T177="FX Forward", T177="Repo", T177="Equity", T177="M-Mkt"), "", _xll.BDP(R177&amp;" FIGI", $BC$1))</f>
        <v>2/28/2021</v>
      </c>
      <c r="BD177" s="125">
        <f ca="1">IF(OR(T177="Cash",T177="Cash Adjustments",T177="FX Forward",T177="Repo", T177="Equity", T177="M-Mkt"),"",(BC177-'SFC Report'!$B$13)/365)</f>
        <v>0.83287671232876714</v>
      </c>
      <c r="BE177" s="82" t="str">
        <f t="shared" ca="1" si="79"/>
        <v>0 - 1 yr</v>
      </c>
      <c r="BF177" s="5">
        <f ca="1">IF(BC177="","",BD177*AB177/'SFC Report'!$C$20)</f>
        <v>4.488990334877669E-3</v>
      </c>
      <c r="BG177" s="14" cm="1">
        <f t="array" ref="BG177">IF(OR(AS177="Corporate",AS177="Government"),_xll.BDP(G177&amp;" ISIN", $BG$1),"")</f>
        <v>0.71441176597689016</v>
      </c>
      <c r="BH177" s="140">
        <f>IF(OR(AS177="Corporate",AS177="Government"),BG177*BN177/'SFC Report'!$C$20,"")</f>
        <v>3.8504948753174304E-3</v>
      </c>
      <c r="BI177" s="140">
        <f>IF(OR(AS177="Corporate",AS177="Government"),_xll.BDP(G177&amp;" ISIN", $BI$1),"")</f>
        <v>6.9888398882774982</v>
      </c>
      <c r="BJ177" s="140">
        <f>IF(OR(AS177="Corporate",AS177="Government"),BI177*AB177/'SFC Report'!$C$20,"")</f>
        <v>3.766804167541811E-2</v>
      </c>
      <c r="BK177" s="153" t="str">
        <f>IF(OR(T177="Cash",T177="Cash Adjustments"),"-",_xll.BDP(R177&amp;" FIGI",$BK$1))</f>
        <v>XS2122877330</v>
      </c>
      <c r="BL177" s="11" t="str">
        <f>IF(OR(AS177="Cash", AS177="Cash Adjustments"),"-",IF(ISNA(VLOOKUP(BK177,'BBG - VaR Data (Sample, Indus )'!C:N,5,0)),"-",VLOOKUP(BK177,'BBG - VaR Data (Sample, Indus )'!C:N,5,0)))</f>
        <v>-</v>
      </c>
      <c r="BM177" s="11">
        <f>IF(OR(AS177="Cash", AS177="Cash Adjustments"),"-",IF(ISNA(VLOOKUP(BK177,'BBG - Scenarios (Sample View)'!C:Z,14,0)),"-",VLOOKUP(BK177,'BBG - Scenarios (Sample View)'!C:Z,14,0)))</f>
        <v>-1.41</v>
      </c>
      <c r="BN177" s="14">
        <f t="shared" si="80"/>
        <v>2966677.6496388027</v>
      </c>
      <c r="BO177" s="1">
        <f t="shared" si="81"/>
        <v>5.8195798664216073E-3</v>
      </c>
      <c r="BP177" t="str">
        <f>IF(BC177&lt;&gt;0,MaturityBucket(BG177),"")</f>
        <v>0 - 1 yr</v>
      </c>
      <c r="BQ177" s="11" t="str">
        <f>IF(OR(T177="Cash",T177="Cash Adjustments"),T177,VLOOKUP(AL177,'SFC Classifcation'!$A:$C,2,0))</f>
        <v>China</v>
      </c>
      <c r="BR177" s="1" t="e">
        <f>IF(S177="Bond",BH177/'SFC Report'!$B$7,"")</f>
        <v>#VALUE!</v>
      </c>
      <c r="BS177" t="str">
        <f>IF(OR(T177="Cash",T177="Cash Adjustments"),"-",_xll.BDP(R177&amp;" FIGI",$BS$1))</f>
        <v>#N/A N/A</v>
      </c>
      <c r="BT177" t="str">
        <f>IF(OR(T177="Cash",T177="Cash Adjustments"),"-",_xll.BDP(R177&amp;" FIGI",$BT$1))</f>
        <v>#N/A N/A</v>
      </c>
      <c r="BU177" t="str">
        <f>IF(OR(T177="Cash",T177="Cash Adjustments"),"-",_xll.BDP(R177&amp;" FIGI",$BU$1))</f>
        <v>#N/A N/A</v>
      </c>
    </row>
    <row r="178" spans="1:73">
      <c r="A178" s="254" t="s">
        <v>15</v>
      </c>
      <c r="B178" s="254" t="s">
        <v>25</v>
      </c>
      <c r="C178" s="254" t="s">
        <v>46</v>
      </c>
      <c r="D178" s="254" t="s">
        <v>22</v>
      </c>
      <c r="E178" s="254"/>
      <c r="F178" s="254" t="s">
        <v>1233</v>
      </c>
      <c r="G178" s="254" t="s">
        <v>1234</v>
      </c>
      <c r="H178" s="270">
        <v>2191000</v>
      </c>
      <c r="I178" s="270">
        <v>97.647000000000006</v>
      </c>
      <c r="J178" s="270">
        <v>2237093.75</v>
      </c>
      <c r="K178" s="270">
        <v>17368750.539999999</v>
      </c>
      <c r="L178" s="270">
        <v>-787617.92</v>
      </c>
      <c r="M178" s="270">
        <v>403928.13</v>
      </c>
      <c r="N178" s="270">
        <v>16581132.619999999</v>
      </c>
      <c r="O178" s="255">
        <v>3.5999999999999999E-3</v>
      </c>
      <c r="Q178" s="1" t="str">
        <f t="shared" si="73"/>
        <v>Investments</v>
      </c>
      <c r="R178" s="1" t="str">
        <f>_xll.BDP(G178&amp;" ISIN",$R$1)</f>
        <v>BBG00NQDZNG6</v>
      </c>
      <c r="S178" s="1" t="str">
        <f>IF(Q178="Cash",Q178,IF(OR(Q178="Receivable Investments",Q178="Payable Investments"),"Cash Adjustments",_xll.BDP(R178&amp;" FIGI",$S$1)))</f>
        <v>BOND</v>
      </c>
      <c r="T178" s="1" t="str">
        <f>IF(Q178="Cash",Q178,IF(OR(Q178="Receivable Investments",Q178="Payable Investments"),"Cash Adjustments",VLOOKUP(R178,LQA!E:S,3,0)))</f>
        <v>Corp</v>
      </c>
      <c r="U178" s="1" t="str">
        <f>IF(Q178="Cash",Q178,IF(OR(Q178="Receivable Investments",Q178="Payable Investments"),"Cash Adjustments",_xll.BDP(R178&amp;" FIGI",$U$1)))</f>
        <v>#N/A Field Not Applicable</v>
      </c>
      <c r="V178" s="10">
        <f>IF(OR(Q178="Cash",Q178="Receivable Investments",Q178="Payable Investments"),0,IF(Q178="Investments",VLOOKUP(R178,LQA!E:Q,12,0),"Not Covered"))</f>
        <v>0.3</v>
      </c>
      <c r="W178" s="76">
        <f>IF(OR(Q178="Cash",Q178="Receivable Investments",Q178="Payable Investments"),0,IF(Q178="Investments",VLOOKUP(R178,LQA!E:Q,9,0),"Not Covered"))</f>
        <v>1.89E-2</v>
      </c>
      <c r="X178" s="13" t="str">
        <f>IF(OR(H178=0,T181="Comdty"),"High",IF(V178&lt;='Liquidity Bucket'!$A$4,'Liquidity Bucket'!$I$4,IF(V178&lt;='Liquidity Bucket'!$A$5,'Liquidity Bucket'!$I$5,IF(V178&lt;='Liquidity Bucket'!$A$6,'Liquidity Bucket'!$I$6,IF(V178='Liquidity Bucket'!$A$8,'Liquidity Bucket'!$I$8,'Liquidity Bucket'!$I$7)))))</f>
        <v>High</v>
      </c>
      <c r="Y178" s="153">
        <f>IF(OR(Q178="Cash",Q178="Receivable Investments",Q178="Payable Investments"),0,IF(Q178="Investments",VLOOKUP(R178,'LQA Stress'!E:Q,12,0),"Not Covered"))</f>
        <v>1.7</v>
      </c>
      <c r="Z178" s="75">
        <f>IF(OR(Q178="Cash",Q178="Receivable Investments",Q178="Payable Investments"),0,IF(Q178="Investments",VLOOKUP(R178,'LQA Stress'!E:Q,9,0),"Not Covered"))</f>
        <v>5.0563999999999998E-2</v>
      </c>
      <c r="AA178" s="13" t="str">
        <f>IF(T181="Comdty","High",IF(Y178&lt;='Liquidity Bucket'!$A$4,'Liquidity Bucket'!$I$4,IF(Y178&lt;='Liquidity Bucket'!$A$5,'Liquidity Bucket'!$I$5,IF(Y178&lt;='Liquidity Bucket'!$A$6,'Liquidity Bucket'!$I$6,IF(Y178='Liquidity Bucket'!$A$8,'Liquidity Bucket'!$I$8,'Liquidity Bucket'!$I$7)))))</f>
        <v>High</v>
      </c>
      <c r="AB178" s="14">
        <f>(N178+M178)/'FX Rates'!$C$5</f>
        <v>2191055.3083075336</v>
      </c>
      <c r="AC178" s="15" t="str">
        <f>IF(X178="Not Covered", (H178/_xll.BDP(R178&amp;" FIGI",$AC$1)),"")</f>
        <v/>
      </c>
      <c r="AD178" s="16" t="str">
        <f>IF(X178="Not Covered", _xll.BDP(R178&amp;" FIGI",$AD$1),"")</f>
        <v/>
      </c>
      <c r="AE178" s="16" t="str">
        <f>IF(OR(T178="Corp",T178="Govt"),IF(_xll.BDP(R178&amp;" FIGI",$AE$1)="#N/A N/A","",_xll.BDP(R178&amp;" FIGI",$AE$1)),"")</f>
        <v>B-</v>
      </c>
      <c r="AF178" s="1" t="str">
        <f>IF(OR(T178="Corp",T178="Govt"),IF(_xll.BDP(R178&amp;" FIGI",$AF$1)="#N/A N/A","",_xll.BDP(R178&amp;" FIGI",$AF$1)),"")</f>
        <v>B2</v>
      </c>
      <c r="AG178" s="16" t="str">
        <f>IF(OR(T178="Corp",T178="Govt"),IF(_xll.BDP(R178&amp;" FIGI",$AG$1)="#N/A N/A","",_xll.BDP(R178&amp;" FIGI",$AG$1)),"")</f>
        <v/>
      </c>
      <c r="AH178" s="125">
        <f>IF(OR(S178="Cash",S178="M-Mkt"),21,IF(AE178="",0,VLOOKUP(AE178,'Rating Scale'!A:B,2,0)))</f>
        <v>6</v>
      </c>
      <c r="AI178" s="125">
        <f>IF(OR(S178="Cash",S178="M-Mkt"),21,IF(AF178="",0,VLOOKUP(AF178,'Rating Scale'!D:E,2,0)))</f>
        <v>7</v>
      </c>
      <c r="AJ178" s="125">
        <f>IF(OR(S178="Cash",S178="M-Mkt"),21,IF(AG178="",0,VLOOKUP(AG178,'Rating Scale'!G:H,2,0)))</f>
        <v>0</v>
      </c>
      <c r="AK178">
        <f t="shared" si="74"/>
        <v>6</v>
      </c>
      <c r="AL178" s="1" t="str">
        <f>IF(OR(U178="Cash",U178="Cash Adjustments"),_xll.BDP(G178&amp;" Curncy","Country"),IF(T178="Equity",_xll.BDP(R178&amp;" FIGI","CNTRY_ISSUE_ISO"),_xll.BDP(R178&amp;" FIGI",$AL$1)))</f>
        <v>CN</v>
      </c>
      <c r="AM178" s="126" t="str">
        <f>IF(OR(T178="Cash",T178="Cash Adjustments",T178="M-Mkt"), T178, IF(T178="Comdty",AS178, _xll.BDP(R178&amp;" FIGI", $AM$1)))</f>
        <v>Financial</v>
      </c>
      <c r="AN178" s="126" t="str">
        <f>IF(OR(T178="Cash",T178="Cash Adjustments",T178="M-Mkt"), T178,  IF(T178="Comdty",AS178,_xll.BDP(R178&amp;" FIGI", $AN$1)))</f>
        <v>Real Estate</v>
      </c>
      <c r="AO178" s="126" t="str">
        <f>IF(OR(T178="Cash",T178="Cash Adjustments",T178="M-Mkt"), T178,  IF(T178="Comdty",AS178,_xll.BDP(R178&amp;" FIGI", $AO$1)))</f>
        <v>Real Estate Oper/Develop</v>
      </c>
      <c r="AP178" s="13" t="str">
        <f>IF(OR(T178="Cash",T178="Cash Adjustments"), T178, IF(_xll.BDP(R178&amp;" FIGI", $AP$1)="#N/A Field Not Applicable","N",_xll.BDP(R178&amp;" FIGI", $AP$1)))</f>
        <v>N</v>
      </c>
      <c r="AQ178" s="1" t="str">
        <f>IF(OR(T178="Cash",T178="Cash Adjustments"), T178, IF(_xll.BDP(R178&amp;" FIGI", $AQ$1)="#N/A Field Not Applicable"," ",_xll.BDP(R178&amp;" FIGI", $AQ$1)))</f>
        <v xml:space="preserve"> </v>
      </c>
      <c r="AR178" s="1" t="str">
        <f>IF(OR(T178="Cash",T178="Cash Adjustments"), T178, IF(_xll.BDP(R178&amp;" FIGI", $AR$1)="#N/A Field Not Applicable"," ",_xll.BDP(R178&amp;" FIGI", $AR$1)))</f>
        <v>ACTV</v>
      </c>
      <c r="AS178" s="1" t="str">
        <f>VLOOKUP(T178,'SFC Classifcation'!$F$2:$H$7,3,0)</f>
        <v>Corporate</v>
      </c>
      <c r="AT178" s="22" t="str">
        <f t="shared" si="75"/>
        <v>Financial</v>
      </c>
      <c r="AU178" s="1" t="str">
        <f t="shared" si="76"/>
        <v>Non-Investment Grade</v>
      </c>
      <c r="AV178" s="1" t="str">
        <f>IF(OR(T178="Cash",T178="Cash Adjustments"),T178,VLOOKUP(AL178,'SFC Classifcation'!$A:$C,3,0))</f>
        <v>China</v>
      </c>
      <c r="AW178" s="22" t="str">
        <f t="shared" si="77"/>
        <v>High</v>
      </c>
      <c r="AX178" s="22" t="str">
        <f t="shared" si="78"/>
        <v>High</v>
      </c>
      <c r="AY178" s="45" t="str">
        <f>IF(OR(T178="Cash",T178="Cash Adjustments"), T178, _xll.BDP(R178&amp;" FIGI", $AY$1))</f>
        <v>Real Estate</v>
      </c>
      <c r="AZ178" s="45" t="str">
        <f>IF(OR(T178="Cash",T178="Cash Adjustments"), T178, _xll.BDP(R178&amp;" FIGI", $AZ$1))</f>
        <v>FINANCIAL</v>
      </c>
      <c r="BA178" s="45" t="str">
        <f>IF(OR(T178="Cash",T178="Cash Adjustments"), T178, _xll.BDP(R178&amp;" FIGI", $BA$1))</f>
        <v>#N/A Field Not Applicable</v>
      </c>
      <c r="BB178" s="45">
        <f>IF(OR(AS178="Government",AS178="Corporate"),(AK178*AB178/'SFC Report'!$C$20),"")</f>
        <v>2.3883731616127297E-2</v>
      </c>
      <c r="BC178" s="174" t="str">
        <f>IF(OR(T178="Cash",T178="Cash Adjustments", T178="FX Forward", T178="Repo", T178="Equity", T178="M-Mkt"), "", _xll.BDP(R178&amp;" FIGI", $BC$1))</f>
        <v>1/21/2023</v>
      </c>
      <c r="BD178" s="125">
        <f ca="1">IF(OR(T178="Cash",T178="Cash Adjustments",T178="FX Forward",T178="Repo", T178="Equity", T178="M-Mkt"),"",(BC178-'SFC Report'!$B$13)/365)</f>
        <v>2.7287671232876711</v>
      </c>
      <c r="BE178" s="82" t="str">
        <f t="shared" ca="1" si="79"/>
        <v>2 - 3 yrs</v>
      </c>
      <c r="BF178" s="5">
        <f ca="1">IF(BC178="","",BD178*AB178/'SFC Report'!$C$20)</f>
        <v>1.0862190269252415E-2</v>
      </c>
      <c r="BG178" s="14" cm="1">
        <f t="array" ref="BG178">IF(OR(AS178="Corporate",AS178="Government"),_xll.BDP(G178&amp;" ISIN", $BG$1),"")</f>
        <v>2.2704390871440876</v>
      </c>
      <c r="BH178" s="140">
        <f>IF(OR(AS178="Corporate",AS178="Government"),BG178*BN178/'SFC Report'!$C$20,"")</f>
        <v>9.0377596346857426E-3</v>
      </c>
      <c r="BI178" s="140">
        <f>IF(OR(AS178="Corporate",AS178="Government"),_xll.BDP(G178&amp;" ISIN", $BI$1),"")</f>
        <v>7.8317346635980929</v>
      </c>
      <c r="BJ178" s="140">
        <f>IF(OR(AS178="Corporate",AS178="Government"),BI178*AB178/'SFC Report'!$C$20,"")</f>
        <v>3.1175174799016308E-2</v>
      </c>
      <c r="BK178" s="153" t="str">
        <f>IF(OR(T178="Cash",T178="Cash Adjustments"),"-",_xll.BDP(R178&amp;" FIGI",$BK$1))</f>
        <v>XS1973630889</v>
      </c>
      <c r="BL178" s="11" t="str">
        <f>IF(OR(AS178="Cash", AS178="Cash Adjustments"),"-",IF(ISNA(VLOOKUP(BK178,'BBG - VaR Data (Sample, Indus )'!C:N,5,0)),"-",VLOOKUP(BK178,'BBG - VaR Data (Sample, Indus )'!C:N,5,0)))</f>
        <v>-</v>
      </c>
      <c r="BM178" s="11">
        <f>IF(OR(AS178="Cash", AS178="Cash Adjustments"),"-",IF(ISNA(VLOOKUP(BK178,'BBG - Scenarios (Sample View)'!C:Z,14,0)),"-",VLOOKUP(BK178,'BBG - Scenarios (Sample View)'!C:Z,14,0)))</f>
        <v>-4.93</v>
      </c>
      <c r="BN178" s="14">
        <f t="shared" si="80"/>
        <v>2191055.3083075336</v>
      </c>
      <c r="BO178" s="1">
        <f t="shared" si="81"/>
        <v>4.2980811750798625E-3</v>
      </c>
      <c r="BP178" t="str">
        <f>IF(BC178&lt;&gt;0,MaturityBucket(BG178),"")</f>
        <v>2 - 3 yrs</v>
      </c>
      <c r="BQ178" s="11" t="str">
        <f>IF(OR(T178="Cash",T178="Cash Adjustments"),T178,VLOOKUP(AL178,'SFC Classifcation'!$A:$C,2,0))</f>
        <v>China</v>
      </c>
      <c r="BR178" s="1" t="e">
        <f>IF(S178="Bond",BH178/'SFC Report'!$B$7,"")</f>
        <v>#VALUE!</v>
      </c>
      <c r="BS178" t="str">
        <f>IF(OR(T178="Cash",T178="Cash Adjustments"),"-",_xll.BDP(R178&amp;" FIGI",$BS$1))</f>
        <v>3/26/2019</v>
      </c>
      <c r="BT178" t="str">
        <f>IF(OR(T178="Cash",T178="Cash Adjustments"),"-",_xll.BDP(R178&amp;" FIGI",$BT$1))</f>
        <v>4/9/2019</v>
      </c>
      <c r="BU178" t="str">
        <f>IF(OR(T178="Cash",T178="Cash Adjustments"),"-",_xll.BDP(R178&amp;" FIGI",$BU$1))</f>
        <v>#N/A N/A</v>
      </c>
    </row>
    <row r="179" spans="1:73">
      <c r="A179" s="254" t="s">
        <v>15</v>
      </c>
      <c r="B179" s="254" t="s">
        <v>25</v>
      </c>
      <c r="C179" s="254" t="s">
        <v>46</v>
      </c>
      <c r="D179" s="254" t="s">
        <v>22</v>
      </c>
      <c r="E179" s="254"/>
      <c r="F179" s="254" t="s">
        <v>528</v>
      </c>
      <c r="G179" s="254" t="s">
        <v>529</v>
      </c>
      <c r="H179" s="270">
        <v>3500000</v>
      </c>
      <c r="I179" s="270">
        <v>100.489</v>
      </c>
      <c r="J179" s="270">
        <v>3504664.99</v>
      </c>
      <c r="K179" s="270">
        <v>27483627.359999999</v>
      </c>
      <c r="L179" s="270">
        <v>-225282.75</v>
      </c>
      <c r="M179" s="270">
        <v>358511.34</v>
      </c>
      <c r="N179" s="270">
        <v>27258344.609999999</v>
      </c>
      <c r="O179" s="255">
        <v>6.0000000000000001E-3</v>
      </c>
      <c r="Q179" s="1" t="str">
        <f t="shared" si="73"/>
        <v>Investments</v>
      </c>
      <c r="R179" s="1" t="str">
        <f>_xll.BDP(G179&amp;" ISIN",$R$1)</f>
        <v>BBG00NHNXCH9</v>
      </c>
      <c r="S179" s="1" t="str">
        <f>IF(Q179="Cash",Q179,IF(OR(Q179="Receivable Investments",Q179="Payable Investments"),"Cash Adjustments",_xll.BDP(R179&amp;" FIGI",$S$1)))</f>
        <v>BOND</v>
      </c>
      <c r="T179" s="1" t="str">
        <f>IF(Q179="Cash",Q179,IF(OR(Q179="Receivable Investments",Q179="Payable Investments"),"Cash Adjustments",VLOOKUP(R179,LQA!E:S,3,0)))</f>
        <v>Corp</v>
      </c>
      <c r="U179" s="1" t="str">
        <f>IF(Q179="Cash",Q179,IF(OR(Q179="Receivable Investments",Q179="Payable Investments"),"Cash Adjustments",_xll.BDP(R179&amp;" FIGI",$U$1)))</f>
        <v>#N/A Field Not Applicable</v>
      </c>
      <c r="V179" s="10">
        <f>IF(OR(Q179="Cash",Q179="Receivable Investments",Q179="Payable Investments"),0,IF(Q179="Investments",VLOOKUP(R179,LQA!E:Q,12,0),"Not Covered"))</f>
        <v>0.3</v>
      </c>
      <c r="W179" s="76">
        <f>IF(OR(Q179="Cash",Q179="Receivable Investments",Q179="Payable Investments"),0,IF(Q179="Investments",VLOOKUP(R179,LQA!E:Q,9,0),"Not Covered"))</f>
        <v>1.0418E-2</v>
      </c>
      <c r="X179" s="13" t="str">
        <f>IF(OR(H179=0,T182="Comdty"),"High",IF(V179&lt;='Liquidity Bucket'!$A$4,'Liquidity Bucket'!$I$4,IF(V179&lt;='Liquidity Bucket'!$A$5,'Liquidity Bucket'!$I$5,IF(V179&lt;='Liquidity Bucket'!$A$6,'Liquidity Bucket'!$I$6,IF(V179='Liquidity Bucket'!$A$8,'Liquidity Bucket'!$I$8,'Liquidity Bucket'!$I$7)))))</f>
        <v>High</v>
      </c>
      <c r="Y179" s="153">
        <f>IF(OR(Q179="Cash",Q179="Receivable Investments",Q179="Payable Investments"),0,IF(Q179="Investments",VLOOKUP(R179,'LQA Stress'!E:Q,12,0),"Not Covered"))</f>
        <v>1.9</v>
      </c>
      <c r="Z179" s="75">
        <f>IF(OR(Q179="Cash",Q179="Receivable Investments",Q179="Payable Investments"),0,IF(Q179="Investments",VLOOKUP(R179,'LQA Stress'!E:Q,9,0),"Not Covered"))</f>
        <v>2.7630999999999999E-2</v>
      </c>
      <c r="AA179" s="13" t="str">
        <f>IF(T182="Comdty","High",IF(Y179&lt;='Liquidity Bucket'!$A$4,'Liquidity Bucket'!$I$4,IF(Y179&lt;='Liquidity Bucket'!$A$5,'Liquidity Bucket'!$I$5,IF(Y179&lt;='Liquidity Bucket'!$A$6,'Liquidity Bucket'!$I$6,IF(Y179='Liquidity Bucket'!$A$8,'Liquidity Bucket'!$I$8,'Liquidity Bucket'!$I$7)))))</f>
        <v>High</v>
      </c>
      <c r="AB179" s="14">
        <f>(N179+M179)/'FX Rates'!$C$5</f>
        <v>3562545.9171826625</v>
      </c>
      <c r="AC179" s="15" t="str">
        <f>IF(X179="Not Covered", (H179/_xll.BDP(R179&amp;" FIGI",$AC$1)),"")</f>
        <v/>
      </c>
      <c r="AD179" s="16" t="str">
        <f>IF(X179="Not Covered", _xll.BDP(R179&amp;" FIGI",$AD$1),"")</f>
        <v/>
      </c>
      <c r="AE179" s="16" t="str">
        <f>IF(OR(T179="Corp",T179="Govt"),IF(_xll.BDP(R179&amp;" FIGI",$AE$1)="#N/A N/A","",_xll.BDP(R179&amp;" FIGI",$AE$1)),"")</f>
        <v>B-</v>
      </c>
      <c r="AF179" s="1" t="str">
        <f>IF(OR(T179="Corp",T179="Govt"),IF(_xll.BDP(R179&amp;" FIGI",$AF$1)="#N/A N/A","",_xll.BDP(R179&amp;" FIGI",$AF$1)),"")</f>
        <v>B2</v>
      </c>
      <c r="AG179" s="16" t="str">
        <f>IF(OR(T179="Corp",T179="Govt"),IF(_xll.BDP(R179&amp;" FIGI",$AG$1)="#N/A N/A","",_xll.BDP(R179&amp;" FIGI",$AG$1)),"")</f>
        <v/>
      </c>
      <c r="AH179" s="125">
        <f>IF(OR(S179="Cash",S179="M-Mkt"),21,IF(AE179="",0,VLOOKUP(AE179,'Rating Scale'!A:B,2,0)))</f>
        <v>6</v>
      </c>
      <c r="AI179" s="125">
        <f>IF(OR(S179="Cash",S179="M-Mkt"),21,IF(AF179="",0,VLOOKUP(AF179,'Rating Scale'!D:E,2,0)))</f>
        <v>7</v>
      </c>
      <c r="AJ179" s="125">
        <f>IF(OR(S179="Cash",S179="M-Mkt"),21,IF(AG179="",0,VLOOKUP(AG179,'Rating Scale'!G:H,2,0)))</f>
        <v>0</v>
      </c>
      <c r="AK179">
        <f t="shared" si="74"/>
        <v>6</v>
      </c>
      <c r="AL179" s="1" t="str">
        <f>IF(OR(U179="Cash",U179="Cash Adjustments"),_xll.BDP(G179&amp;" Curncy","Country"),IF(T179="Equity",_xll.BDP(R179&amp;" FIGI","CNTRY_ISSUE_ISO"),_xll.BDP(R179&amp;" FIGI",$AL$1)))</f>
        <v>CN</v>
      </c>
      <c r="AM179" s="126" t="str">
        <f>IF(OR(T179="Cash",T179="Cash Adjustments",T179="M-Mkt"), T179, IF(T179="Comdty",AS179, _xll.BDP(R179&amp;" FIGI", $AM$1)))</f>
        <v>Financial</v>
      </c>
      <c r="AN179" s="126" t="str">
        <f>IF(OR(T179="Cash",T179="Cash Adjustments",T179="M-Mkt"), T179,  IF(T179="Comdty",AS179,_xll.BDP(R179&amp;" FIGI", $AN$1)))</f>
        <v>Real Estate</v>
      </c>
      <c r="AO179" s="126" t="str">
        <f>IF(OR(T179="Cash",T179="Cash Adjustments",T179="M-Mkt"), T179,  IF(T179="Comdty",AS179,_xll.BDP(R179&amp;" FIGI", $AO$1)))</f>
        <v>Real Estate Oper/Develop</v>
      </c>
      <c r="AP179" s="13" t="str">
        <f>IF(OR(T179="Cash",T179="Cash Adjustments"), T179, IF(_xll.BDP(R179&amp;" FIGI", $AP$1)="#N/A Field Not Applicable","N",_xll.BDP(R179&amp;" FIGI", $AP$1)))</f>
        <v>N</v>
      </c>
      <c r="AQ179" s="1" t="str">
        <f>IF(OR(T179="Cash",T179="Cash Adjustments"), T179, IF(_xll.BDP(R179&amp;" FIGI", $AQ$1)="#N/A Field Not Applicable"," ",_xll.BDP(R179&amp;" FIGI", $AQ$1)))</f>
        <v xml:space="preserve"> </v>
      </c>
      <c r="AR179" s="1" t="str">
        <f>IF(OR(T179="Cash",T179="Cash Adjustments"), T179, IF(_xll.BDP(R179&amp;" FIGI", $AR$1)="#N/A Field Not Applicable"," ",_xll.BDP(R179&amp;" FIGI", $AR$1)))</f>
        <v>ACTV</v>
      </c>
      <c r="AS179" s="1" t="str">
        <f>VLOOKUP(T179,'SFC Classifcation'!$F$2:$H$7,3,0)</f>
        <v>Corporate</v>
      </c>
      <c r="AT179" s="22" t="str">
        <f t="shared" si="75"/>
        <v>Financial</v>
      </c>
      <c r="AU179" s="1" t="str">
        <f t="shared" si="76"/>
        <v>Non-Investment Grade</v>
      </c>
      <c r="AV179" s="1" t="str">
        <f>IF(OR(T179="Cash",T179="Cash Adjustments"),T179,VLOOKUP(AL179,'SFC Classifcation'!$A:$C,3,0))</f>
        <v>China</v>
      </c>
      <c r="AW179" s="22" t="str">
        <f t="shared" si="77"/>
        <v>High</v>
      </c>
      <c r="AX179" s="22" t="str">
        <f t="shared" si="78"/>
        <v>High</v>
      </c>
      <c r="AY179" s="45" t="str">
        <f>IF(OR(T179="Cash",T179="Cash Adjustments"), T179, _xll.BDP(R179&amp;" FIGI", $AY$1))</f>
        <v>Real Estate</v>
      </c>
      <c r="AZ179" s="45" t="str">
        <f>IF(OR(T179="Cash",T179="Cash Adjustments"), T179, _xll.BDP(R179&amp;" FIGI", $AZ$1))</f>
        <v>FINANCIAL</v>
      </c>
      <c r="BA179" s="45" t="str">
        <f>IF(OR(T179="Cash",T179="Cash Adjustments"), T179, _xll.BDP(R179&amp;" FIGI", $BA$1))</f>
        <v>#N/A Field Not Applicable</v>
      </c>
      <c r="BB179" s="45">
        <f>IF(OR(AS179="Government",AS179="Corporate"),(AK179*AB179/'SFC Report'!$C$20),"")</f>
        <v>3.8833748392159757E-2</v>
      </c>
      <c r="BC179" s="174" t="str">
        <f>IF(OR(T179="Cash",T179="Cash Adjustments", T179="FX Forward", T179="Repo", T179="Equity", T179="M-Mkt"), "", _xll.BDP(R179&amp;" FIGI", $BC$1))</f>
        <v>3/8/2022</v>
      </c>
      <c r="BD179" s="125">
        <f ca="1">IF(OR(T179="Cash",T179="Cash Adjustments",T179="FX Forward",T179="Repo", T179="Equity", T179="M-Mkt"),"",(BC179-'SFC Report'!$B$13)/365)</f>
        <v>1.8547945205479452</v>
      </c>
      <c r="BE179" s="82" t="str">
        <f t="shared" ca="1" si="79"/>
        <v>1 - 2 yrs</v>
      </c>
      <c r="BF179" s="5">
        <f ca="1">IF(BC179="","",BD179*AB179/'SFC Report'!$C$20)</f>
        <v>1.2004770621685916E-2</v>
      </c>
      <c r="BG179" s="14" cm="1">
        <f t="array" ref="BG179">IF(OR(AS179="Corporate",AS179="Government"),_xll.BDP(G179&amp;" ISIN", $BG$1),"")</f>
        <v>1.5919384224020943</v>
      </c>
      <c r="BH179" s="140">
        <f>IF(OR(AS179="Corporate",AS179="Government"),BG179*BN179/'SFC Report'!$C$20,"")</f>
        <v>1.0303489358562444E-2</v>
      </c>
      <c r="BI179" s="140">
        <f>IF(OR(AS179="Corporate",AS179="Government"),_xll.BDP(G179&amp;" ISIN", $BI$1),"")</f>
        <v>7.8862192091514274</v>
      </c>
      <c r="BJ179" s="140">
        <f>IF(OR(AS179="Corporate",AS179="Government"),BI179*AB179/'SFC Report'!$C$20,"")</f>
        <v>5.1041908755600607E-2</v>
      </c>
      <c r="BK179" s="153" t="str">
        <f>IF(OR(T179="Cash",T179="Cash Adjustments"),"-",_xll.BDP(R179&amp;" FIGI",$BK$1))</f>
        <v>XS1960071303</v>
      </c>
      <c r="BL179" s="11" t="str">
        <f>IF(OR(AS179="Cash", AS179="Cash Adjustments"),"-",IF(ISNA(VLOOKUP(BK179,'BBG - VaR Data (Sample, Indus )'!C:N,5,0)),"-",VLOOKUP(BK179,'BBG - VaR Data (Sample, Indus )'!C:N,5,0)))</f>
        <v>-</v>
      </c>
      <c r="BM179" s="11">
        <f>IF(OR(AS179="Cash", AS179="Cash Adjustments"),"-",IF(ISNA(VLOOKUP(BK179,'BBG - Scenarios (Sample View)'!C:Z,14,0)),"-",VLOOKUP(BK179,'BBG - Scenarios (Sample View)'!C:Z,14,0)))</f>
        <v>-3.3</v>
      </c>
      <c r="BN179" s="14">
        <f t="shared" si="80"/>
        <v>3562545.9171826625</v>
      </c>
      <c r="BO179" s="1">
        <f t="shared" si="81"/>
        <v>6.9884641815948344E-3</v>
      </c>
      <c r="BP179" t="str">
        <f>IF(BC179&lt;&gt;0,MaturityBucket(BG179),"")</f>
        <v>1 - 2 yrs</v>
      </c>
      <c r="BQ179" s="11" t="str">
        <f>IF(OR(T179="Cash",T179="Cash Adjustments"),T179,VLOOKUP(AL179,'SFC Classifcation'!$A:$C,2,0))</f>
        <v>China</v>
      </c>
      <c r="BR179" s="1" t="e">
        <f>IF(S179="Bond",BH179/'SFC Report'!$B$7,"")</f>
        <v>#VALUE!</v>
      </c>
      <c r="BS179" t="str">
        <f>IF(OR(T179="Cash",T179="Cash Adjustments"),"-",_xll.BDP(R179&amp;" FIGI",$BS$1))</f>
        <v>2/28/2019</v>
      </c>
      <c r="BT179" t="str">
        <f>IF(OR(T179="Cash",T179="Cash Adjustments"),"-",_xll.BDP(R179&amp;" FIGI",$BT$1))</f>
        <v>4/9/2019</v>
      </c>
      <c r="BU179" t="str">
        <f>IF(OR(T179="Cash",T179="Cash Adjustments"),"-",_xll.BDP(R179&amp;" FIGI",$BU$1))</f>
        <v>#N/A N/A</v>
      </c>
    </row>
    <row r="180" spans="1:73">
      <c r="A180" s="254" t="s">
        <v>15</v>
      </c>
      <c r="B180" s="254" t="s">
        <v>25</v>
      </c>
      <c r="C180" s="254" t="s">
        <v>46</v>
      </c>
      <c r="D180" s="254" t="s">
        <v>22</v>
      </c>
      <c r="E180" s="254"/>
      <c r="F180" s="254" t="s">
        <v>114</v>
      </c>
      <c r="G180" s="254" t="s">
        <v>115</v>
      </c>
      <c r="H180" s="270">
        <v>4000000</v>
      </c>
      <c r="I180" s="270">
        <v>101.514</v>
      </c>
      <c r="J180" s="270">
        <v>4003590.86</v>
      </c>
      <c r="K180" s="270">
        <v>31423400.52</v>
      </c>
      <c r="L180" s="270">
        <v>46751.43</v>
      </c>
      <c r="M180" s="270">
        <v>590737.46</v>
      </c>
      <c r="N180" s="270">
        <v>31470151.949999999</v>
      </c>
      <c r="O180" s="255">
        <v>6.8999999999999999E-3</v>
      </c>
      <c r="Q180" s="1" t="str">
        <f t="shared" si="73"/>
        <v>Investments</v>
      </c>
      <c r="R180" s="1" t="str">
        <f>_xll.BDP(G180&amp;" ISIN",$R$1)</f>
        <v>BBG00N9X3LW2</v>
      </c>
      <c r="S180" s="1" t="str">
        <f>IF(Q180="Cash",Q180,IF(OR(Q180="Receivable Investments",Q180="Payable Investments"),"Cash Adjustments",_xll.BDP(R180&amp;" FIGI",$S$1)))</f>
        <v>BOND</v>
      </c>
      <c r="T180" s="1" t="str">
        <f>IF(Q180="Cash",Q180,IF(OR(Q180="Receivable Investments",Q180="Payable Investments"),"Cash Adjustments",VLOOKUP(R180,LQA!E:S,3,0)))</f>
        <v>Corp</v>
      </c>
      <c r="U180" s="1" t="str">
        <f>IF(Q180="Cash",Q180,IF(OR(Q180="Receivable Investments",Q180="Payable Investments"),"Cash Adjustments",_xll.BDP(R180&amp;" FIGI",$U$1)))</f>
        <v>#N/A Field Not Applicable</v>
      </c>
      <c r="V180" s="10">
        <f>IF(OR(Q180="Cash",Q180="Receivable Investments",Q180="Payable Investments"),0,IF(Q180="Investments",VLOOKUP(R180,LQA!E:Q,12,0),"Not Covered"))</f>
        <v>0.4</v>
      </c>
      <c r="W180" s="76">
        <f>IF(OR(Q180="Cash",Q180="Receivable Investments",Q180="Payable Investments"),0,IF(Q180="Investments",VLOOKUP(R180,LQA!E:Q,9,0),"Not Covered"))</f>
        <v>1.1063999999999999E-2</v>
      </c>
      <c r="X180" s="13" t="str">
        <f>IF(OR(H180=0,T183="Comdty"),"High",IF(V180&lt;='Liquidity Bucket'!$A$4,'Liquidity Bucket'!$I$4,IF(V180&lt;='Liquidity Bucket'!$A$5,'Liquidity Bucket'!$I$5,IF(V180&lt;='Liquidity Bucket'!$A$6,'Liquidity Bucket'!$I$6,IF(V180='Liquidity Bucket'!$A$8,'Liquidity Bucket'!$I$8,'Liquidity Bucket'!$I$7)))))</f>
        <v>High</v>
      </c>
      <c r="Y180" s="153">
        <f>IF(OR(Q180="Cash",Q180="Receivable Investments",Q180="Payable Investments"),0,IF(Q180="Investments",VLOOKUP(R180,'LQA Stress'!E:Q,12,0),"Not Covered"))</f>
        <v>2.4</v>
      </c>
      <c r="Z180" s="75">
        <f>IF(OR(Q180="Cash",Q180="Receivable Investments",Q180="Payable Investments"),0,IF(Q180="Investments",VLOOKUP(R180,'LQA Stress'!E:Q,9,0),"Not Covered"))</f>
        <v>2.8334999999999999E-2</v>
      </c>
      <c r="AA180" s="13" t="str">
        <f>IF(T183="Comdty","High",IF(Y180&lt;='Liquidity Bucket'!$A$4,'Liquidity Bucket'!$I$4,IF(Y180&lt;='Liquidity Bucket'!$A$5,'Liquidity Bucket'!$I$5,IF(Y180&lt;='Liquidity Bucket'!$A$6,'Liquidity Bucket'!$I$6,IF(Y180='Liquidity Bucket'!$A$8,'Liquidity Bucket'!$I$8,'Liquidity Bucket'!$I$7)))))</f>
        <v>High</v>
      </c>
      <c r="AB180" s="14">
        <f>(N180+M180)/'FX Rates'!$C$5</f>
        <v>4135821.6473168214</v>
      </c>
      <c r="AC180" s="15" t="str">
        <f>IF(X180="Not Covered", (H180/_xll.BDP(R180&amp;" FIGI",$AC$1)),"")</f>
        <v/>
      </c>
      <c r="AD180" s="16" t="str">
        <f>IF(X180="Not Covered", _xll.BDP(R180&amp;" FIGI",$AD$1),"")</f>
        <v/>
      </c>
      <c r="AE180" s="16" t="str">
        <f>IF(OR(T180="Corp",T180="Govt"),IF(_xll.BDP(R180&amp;" FIGI",$AE$1)="#N/A N/A","",_xll.BDP(R180&amp;" FIGI",$AE$1)),"")</f>
        <v>B-</v>
      </c>
      <c r="AF180" s="1" t="str">
        <f>IF(OR(T180="Corp",T180="Govt"),IF(_xll.BDP(R180&amp;" FIGI",$AF$1)="#N/A N/A","",_xll.BDP(R180&amp;" FIGI",$AF$1)),"")</f>
        <v>B2</v>
      </c>
      <c r="AG180" s="16" t="str">
        <f>IF(OR(T180="Corp",T180="Govt"),IF(_xll.BDP(R180&amp;" FIGI",$AG$1)="#N/A N/A","",_xll.BDP(R180&amp;" FIGI",$AG$1)),"")</f>
        <v/>
      </c>
      <c r="AH180" s="125">
        <f>IF(OR(S180="Cash",S180="M-Mkt"),21,IF(AE180="",0,VLOOKUP(AE180,'Rating Scale'!A:B,2,0)))</f>
        <v>6</v>
      </c>
      <c r="AI180" s="125">
        <f>IF(OR(S180="Cash",S180="M-Mkt"),21,IF(AF180="",0,VLOOKUP(AF180,'Rating Scale'!D:E,2,0)))</f>
        <v>7</v>
      </c>
      <c r="AJ180" s="125">
        <f>IF(OR(S180="Cash",S180="M-Mkt"),21,IF(AG180="",0,VLOOKUP(AG180,'Rating Scale'!G:H,2,0)))</f>
        <v>0</v>
      </c>
      <c r="AK180">
        <f t="shared" si="74"/>
        <v>6</v>
      </c>
      <c r="AL180" s="1" t="str">
        <f>IF(OR(U180="Cash",U180="Cash Adjustments"),_xll.BDP(G180&amp;" Curncy","Country"),IF(T180="Equity",_xll.BDP(R180&amp;" FIGI","CNTRY_ISSUE_ISO"),_xll.BDP(R180&amp;" FIGI",$AL$1)))</f>
        <v>CN</v>
      </c>
      <c r="AM180" s="126" t="str">
        <f>IF(OR(T180="Cash",T180="Cash Adjustments",T180="M-Mkt"), T180, IF(T180="Comdty",AS180, _xll.BDP(R180&amp;" FIGI", $AM$1)))</f>
        <v>Financial</v>
      </c>
      <c r="AN180" s="126" t="str">
        <f>IF(OR(T180="Cash",T180="Cash Adjustments",T180="M-Mkt"), T180,  IF(T180="Comdty",AS180,_xll.BDP(R180&amp;" FIGI", $AN$1)))</f>
        <v>Real Estate</v>
      </c>
      <c r="AO180" s="126" t="str">
        <f>IF(OR(T180="Cash",T180="Cash Adjustments",T180="M-Mkt"), T180,  IF(T180="Comdty",AS180,_xll.BDP(R180&amp;" FIGI", $AO$1)))</f>
        <v>Real Estate Oper/Develop</v>
      </c>
      <c r="AP180" s="13" t="str">
        <f>IF(OR(T180="Cash",T180="Cash Adjustments"), T180, IF(_xll.BDP(R180&amp;" FIGI", $AP$1)="#N/A Field Not Applicable","N",_xll.BDP(R180&amp;" FIGI", $AP$1)))</f>
        <v>N</v>
      </c>
      <c r="AQ180" s="1" t="str">
        <f>IF(OR(T180="Cash",T180="Cash Adjustments"), T180, IF(_xll.BDP(R180&amp;" FIGI", $AQ$1)="#N/A Field Not Applicable"," ",_xll.BDP(R180&amp;" FIGI", $AQ$1)))</f>
        <v xml:space="preserve"> </v>
      </c>
      <c r="AR180" s="1" t="str">
        <f>IF(OR(T180="Cash",T180="Cash Adjustments"), T180, IF(_xll.BDP(R180&amp;" FIGI", $AR$1)="#N/A Field Not Applicable"," ",_xll.BDP(R180&amp;" FIGI", $AR$1)))</f>
        <v>ACTV</v>
      </c>
      <c r="AS180" s="1" t="str">
        <f>VLOOKUP(T180,'SFC Classifcation'!$F$2:$H$7,3,0)</f>
        <v>Corporate</v>
      </c>
      <c r="AT180" s="22" t="str">
        <f t="shared" si="75"/>
        <v>Financial</v>
      </c>
      <c r="AU180" s="1" t="str">
        <f t="shared" si="76"/>
        <v>Non-Investment Grade</v>
      </c>
      <c r="AV180" s="1" t="str">
        <f>IF(OR(T180="Cash",T180="Cash Adjustments"),T180,VLOOKUP(AL180,'SFC Classifcation'!$A:$C,3,0))</f>
        <v>China</v>
      </c>
      <c r="AW180" s="22" t="str">
        <f t="shared" si="77"/>
        <v>High</v>
      </c>
      <c r="AX180" s="22" t="str">
        <f t="shared" si="78"/>
        <v>High</v>
      </c>
      <c r="AY180" s="45" t="str">
        <f>IF(OR(T180="Cash",T180="Cash Adjustments"), T180, _xll.BDP(R180&amp;" FIGI", $AY$1))</f>
        <v>Real Estate</v>
      </c>
      <c r="AZ180" s="45" t="str">
        <f>IF(OR(T180="Cash",T180="Cash Adjustments"), T180, _xll.BDP(R180&amp;" FIGI", $AZ$1))</f>
        <v>FINANCIAL</v>
      </c>
      <c r="BA180" s="45" t="str">
        <f>IF(OR(T180="Cash",T180="Cash Adjustments"), T180, _xll.BDP(R180&amp;" FIGI", $BA$1))</f>
        <v>#N/A Field Not Applicable</v>
      </c>
      <c r="BB180" s="45">
        <f>IF(OR(AS180="Government",AS180="Corporate"),(AK180*AB180/'SFC Report'!$C$20),"")</f>
        <v>4.5082775346728027E-2</v>
      </c>
      <c r="BC180" s="174" t="str">
        <f>IF(OR(T180="Cash",T180="Cash Adjustments", T180="FX Forward", T180="Repo", T180="Equity", T180="M-Mkt"), "", _xll.BDP(R180&amp;" FIGI", $BC$1))</f>
        <v>8/20/2021</v>
      </c>
      <c r="BD180" s="125">
        <f ca="1">IF(OR(T180="Cash",T180="Cash Adjustments",T180="FX Forward",T180="Repo", T180="Equity", T180="M-Mkt"),"",(BC180-'SFC Report'!$B$13)/365)</f>
        <v>1.3068493150684932</v>
      </c>
      <c r="BE180" s="82" t="str">
        <f t="shared" ca="1" si="79"/>
        <v>1 - 2 yrs</v>
      </c>
      <c r="BF180" s="5">
        <f ca="1">IF(BC180="","",BD180*AB180/'SFC Report'!$C$20)</f>
        <v>9.8193990138763787E-3</v>
      </c>
      <c r="BG180" s="14" cm="1">
        <f t="array" ref="BG180">IF(OR(AS180="Corporate",AS180="Government"),_xll.BDP(G180&amp;" ISIN", $BG$1),"")</f>
        <v>1.123224450554692</v>
      </c>
      <c r="BH180" s="140">
        <f>IF(OR(AS180="Corporate",AS180="Government"),BG180*BN180/'SFC Report'!$C$20,"")</f>
        <v>8.4396792613848672E-3</v>
      </c>
      <c r="BI180" s="140">
        <f>IF(OR(AS180="Corporate",AS180="Government"),_xll.BDP(G180&amp;" ISIN", $BI$1),"")</f>
        <v>7.0742504030340072</v>
      </c>
      <c r="BJ180" s="140">
        <f>IF(OR(AS180="Corporate",AS180="Government"),BI180*AB180/'SFC Report'!$C$20,"")</f>
        <v>5.3154473611080388E-2</v>
      </c>
      <c r="BK180" s="153" t="str">
        <f>IF(OR(T180="Cash",T180="Cash Adjustments"),"-",_xll.BDP(R180&amp;" FIGI",$BK$1))</f>
        <v>XS1951935847</v>
      </c>
      <c r="BL180" s="11" t="str">
        <f>IF(OR(AS180="Cash", AS180="Cash Adjustments"),"-",IF(ISNA(VLOOKUP(BK180,'BBG - VaR Data (Sample, Indus )'!C:N,5,0)),"-",VLOOKUP(BK180,'BBG - VaR Data (Sample, Indus )'!C:N,5,0)))</f>
        <v>-</v>
      </c>
      <c r="BM180" s="11">
        <f>IF(OR(AS180="Cash", AS180="Cash Adjustments"),"-",IF(ISNA(VLOOKUP(BK180,'BBG - Scenarios (Sample View)'!C:Z,14,0)),"-",VLOOKUP(BK180,'BBG - Scenarios (Sample View)'!C:Z,14,0)))</f>
        <v>-2.36</v>
      </c>
      <c r="BN180" s="14">
        <f t="shared" si="80"/>
        <v>4135821.6473168214</v>
      </c>
      <c r="BO180" s="1">
        <f t="shared" si="81"/>
        <v>8.1130298712318895E-3</v>
      </c>
      <c r="BP180" t="str">
        <f>IF(BC180&lt;&gt;0,MaturityBucket(BG180),"")</f>
        <v>1 - 2 yrs</v>
      </c>
      <c r="BQ180" s="11" t="str">
        <f>IF(OR(T180="Cash",T180="Cash Adjustments"),T180,VLOOKUP(AL180,'SFC Classifcation'!$A:$C,2,0))</f>
        <v>China</v>
      </c>
      <c r="BR180" s="1" t="e">
        <f>IF(S180="Bond",BH180/'SFC Report'!$B$7,"")</f>
        <v>#VALUE!</v>
      </c>
      <c r="BS180" t="str">
        <f>IF(OR(T180="Cash",T180="Cash Adjustments"),"-",_xll.BDP(R180&amp;" FIGI",$BS$1))</f>
        <v>2/11/2019</v>
      </c>
      <c r="BT180" t="str">
        <f>IF(OR(T180="Cash",T180="Cash Adjustments"),"-",_xll.BDP(R180&amp;" FIGI",$BT$1))</f>
        <v>4/9/2019</v>
      </c>
      <c r="BU180" t="str">
        <f>IF(OR(T180="Cash",T180="Cash Adjustments"),"-",_xll.BDP(R180&amp;" FIGI",$BU$1))</f>
        <v>#N/A N/A</v>
      </c>
    </row>
    <row r="181" spans="1:73">
      <c r="A181" s="254" t="s">
        <v>15</v>
      </c>
      <c r="B181" s="254" t="s">
        <v>25</v>
      </c>
      <c r="C181" s="254" t="s">
        <v>46</v>
      </c>
      <c r="D181" s="254" t="s">
        <v>22</v>
      </c>
      <c r="E181" s="254"/>
      <c r="F181" s="254" t="s">
        <v>1365</v>
      </c>
      <c r="G181" s="254" t="s">
        <v>1366</v>
      </c>
      <c r="H181" s="270">
        <v>1300000</v>
      </c>
      <c r="I181" s="270">
        <v>90.236999999999995</v>
      </c>
      <c r="J181" s="270">
        <v>1284140</v>
      </c>
      <c r="K181" s="270">
        <v>9971256.8000000007</v>
      </c>
      <c r="L181" s="270">
        <v>-879644.44</v>
      </c>
      <c r="M181" s="270">
        <v>272521.78999999998</v>
      </c>
      <c r="N181" s="270">
        <v>9091612.3599999994</v>
      </c>
      <c r="O181" s="255">
        <v>2E-3</v>
      </c>
      <c r="Q181" s="1" t="str">
        <f t="shared" si="73"/>
        <v>Investments</v>
      </c>
      <c r="R181" s="1" t="str">
        <f>_xll.BDP(G181&amp;" ISIN",$R$1)</f>
        <v>BBG00PF578H3</v>
      </c>
      <c r="S181" s="1" t="str">
        <f>IF(Q181="Cash",Q181,IF(OR(Q181="Receivable Investments",Q181="Payable Investments"),"Cash Adjustments",_xll.BDP(R181&amp;" FIGI",$S$1)))</f>
        <v>BOND</v>
      </c>
      <c r="T181" s="1" t="str">
        <f>IF(Q181="Cash",Q181,IF(OR(Q181="Receivable Investments",Q181="Payable Investments"),"Cash Adjustments",VLOOKUP(R181,LQA!E:S,3,0)))</f>
        <v>Corp</v>
      </c>
      <c r="U181" s="1" t="str">
        <f>IF(Q181="Cash",Q181,IF(OR(Q181="Receivable Investments",Q181="Payable Investments"),"Cash Adjustments",_xll.BDP(R181&amp;" FIGI",$U$1)))</f>
        <v>#N/A Field Not Applicable</v>
      </c>
      <c r="V181" s="10">
        <f>IF(OR(Q181="Cash",Q181="Receivable Investments",Q181="Payable Investments"),0,IF(Q181="Investments",VLOOKUP(R181,LQA!E:Q,12,0),"Not Covered"))</f>
        <v>0.3</v>
      </c>
      <c r="W181" s="76">
        <f>IF(OR(Q181="Cash",Q181="Receivable Investments",Q181="Payable Investments"),0,IF(Q181="Investments",VLOOKUP(R181,LQA!E:Q,9,0),"Not Covered"))</f>
        <v>1.312E-2</v>
      </c>
      <c r="X181" s="13" t="str">
        <f>IF(OR(H181=0,T184="Comdty"),"High",IF(V181&lt;='Liquidity Bucket'!$A$4,'Liquidity Bucket'!$I$4,IF(V181&lt;='Liquidity Bucket'!$A$5,'Liquidity Bucket'!$I$5,IF(V181&lt;='Liquidity Bucket'!$A$6,'Liquidity Bucket'!$I$6,IF(V181='Liquidity Bucket'!$A$8,'Liquidity Bucket'!$I$8,'Liquidity Bucket'!$I$7)))))</f>
        <v>High</v>
      </c>
      <c r="Y181" s="153">
        <f>IF(OR(Q181="Cash",Q181="Receivable Investments",Q181="Payable Investments"),0,IF(Q181="Investments",VLOOKUP(R181,'LQA Stress'!E:Q,12,0),"Not Covered"))</f>
        <v>1.4</v>
      </c>
      <c r="Z181" s="75">
        <f>IF(OR(Q181="Cash",Q181="Receivable Investments",Q181="Payable Investments"),0,IF(Q181="Investments",VLOOKUP(R181,'LQA Stress'!E:Q,9,0),"Not Covered"))</f>
        <v>3.1036000000000001E-2</v>
      </c>
      <c r="AA181" s="13" t="str">
        <f>IF(T184="Comdty","High",IF(Y181&lt;='Liquidity Bucket'!$A$4,'Liquidity Bucket'!$I$4,IF(Y181&lt;='Liquidity Bucket'!$A$5,'Liquidity Bucket'!$I$5,IF(Y181&lt;='Liquidity Bucket'!$A$6,'Liquidity Bucket'!$I$6,IF(Y181='Liquidity Bucket'!$A$8,'Liquidity Bucket'!$I$8,'Liquidity Bucket'!$I$7)))))</f>
        <v>High</v>
      </c>
      <c r="AB181" s="14">
        <f>(N181+M181)/'FX Rates'!$C$5</f>
        <v>1207963.6416408666</v>
      </c>
      <c r="AC181" s="15" t="str">
        <f>IF(X181="Not Covered", (H181/_xll.BDP(R181&amp;" FIGI",$AC$1)),"")</f>
        <v/>
      </c>
      <c r="AD181" s="16" t="str">
        <f>IF(X181="Not Covered", _xll.BDP(R181&amp;" FIGI",$AD$1),"")</f>
        <v/>
      </c>
      <c r="AE181" s="16" t="str">
        <f>IF(OR(T181="Corp",T181="Govt"),IF(_xll.BDP(R181&amp;" FIGI",$AE$1)="#N/A N/A","",_xll.BDP(R181&amp;" FIGI",$AE$1)),"")</f>
        <v/>
      </c>
      <c r="AF181" s="1" t="str">
        <f>IF(OR(T181="Corp",T181="Govt"),IF(_xll.BDP(R181&amp;" FIGI",$AF$1)="#N/A N/A","",_xll.BDP(R181&amp;" FIGI",$AF$1)),"")</f>
        <v>B2</v>
      </c>
      <c r="AG181" s="16" t="str">
        <f>IF(OR(T181="Corp",T181="Govt"),IF(_xll.BDP(R181&amp;" FIGI",$AG$1)="#N/A N/A","",_xll.BDP(R181&amp;" FIGI",$AG$1)),"")</f>
        <v/>
      </c>
      <c r="AH181" s="125">
        <f>IF(OR(S181="Cash",S181="M-Mkt"),21,IF(AE181="",0,VLOOKUP(AE181,'Rating Scale'!A:B,2,0)))</f>
        <v>0</v>
      </c>
      <c r="AI181" s="125">
        <f>IF(OR(S181="Cash",S181="M-Mkt"),21,IF(AF181="",0,VLOOKUP(AF181,'Rating Scale'!D:E,2,0)))</f>
        <v>7</v>
      </c>
      <c r="AJ181" s="125">
        <f>IF(OR(S181="Cash",S181="M-Mkt"),21,IF(AG181="",0,VLOOKUP(AG181,'Rating Scale'!G:H,2,0)))</f>
        <v>0</v>
      </c>
      <c r="AK181">
        <f t="shared" si="74"/>
        <v>7</v>
      </c>
      <c r="AL181" s="1" t="str">
        <f>IF(OR(U181="Cash",U181="Cash Adjustments"),_xll.BDP(G181&amp;" Curncy","Country"),IF(T181="Equity",_xll.BDP(R181&amp;" FIGI","CNTRY_ISSUE_ISO"),_xll.BDP(R181&amp;" FIGI",$AL$1)))</f>
        <v>CN</v>
      </c>
      <c r="AM181" s="126" t="str">
        <f>IF(OR(T181="Cash",T181="Cash Adjustments",T181="M-Mkt"), T181, IF(T181="Comdty",AS181, _xll.BDP(R181&amp;" FIGI", $AM$1)))</f>
        <v>Financial</v>
      </c>
      <c r="AN181" s="126" t="str">
        <f>IF(OR(T181="Cash",T181="Cash Adjustments",T181="M-Mkt"), T181,  IF(T181="Comdty",AS181,_xll.BDP(R181&amp;" FIGI", $AN$1)))</f>
        <v>Real Estate</v>
      </c>
      <c r="AO181" s="126" t="str">
        <f>IF(OR(T181="Cash",T181="Cash Adjustments",T181="M-Mkt"), T181,  IF(T181="Comdty",AS181,_xll.BDP(R181&amp;" FIGI", $AO$1)))</f>
        <v>Real Estate Oper/Develop</v>
      </c>
      <c r="AP181" s="13" t="str">
        <f>IF(OR(T181="Cash",T181="Cash Adjustments"), T181, IF(_xll.BDP(R181&amp;" FIGI", $AP$1)="#N/A Field Not Applicable","N",_xll.BDP(R181&amp;" FIGI", $AP$1)))</f>
        <v>N</v>
      </c>
      <c r="AQ181" s="1" t="str">
        <f>IF(OR(T181="Cash",T181="Cash Adjustments"), T181, IF(_xll.BDP(R181&amp;" FIGI", $AQ$1)="#N/A Field Not Applicable"," ",_xll.BDP(R181&amp;" FIGI", $AQ$1)))</f>
        <v xml:space="preserve"> </v>
      </c>
      <c r="AR181" s="1" t="str">
        <f>IF(OR(T181="Cash",T181="Cash Adjustments"), T181, IF(_xll.BDP(R181&amp;" FIGI", $AR$1)="#N/A Field Not Applicable"," ",_xll.BDP(R181&amp;" FIGI", $AR$1)))</f>
        <v>ACTV</v>
      </c>
      <c r="AS181" s="1" t="str">
        <f>VLOOKUP(T181,'SFC Classifcation'!$F$2:$H$7,3,0)</f>
        <v>Corporate</v>
      </c>
      <c r="AT181" s="22" t="str">
        <f t="shared" si="75"/>
        <v>Financial</v>
      </c>
      <c r="AU181" s="1" t="str">
        <f t="shared" si="76"/>
        <v>Non-Investment Grade</v>
      </c>
      <c r="AV181" s="1" t="str">
        <f>IF(OR(T181="Cash",T181="Cash Adjustments"),T181,VLOOKUP(AL181,'SFC Classifcation'!$A:$C,3,0))</f>
        <v>China</v>
      </c>
      <c r="AW181" s="22" t="str">
        <f t="shared" si="77"/>
        <v>High</v>
      </c>
      <c r="AX181" s="22" t="str">
        <f t="shared" si="78"/>
        <v>High</v>
      </c>
      <c r="AY181" s="45" t="str">
        <f>IF(OR(T181="Cash",T181="Cash Adjustments"), T181, _xll.BDP(R181&amp;" FIGI", $AY$1))</f>
        <v>Real Estate</v>
      </c>
      <c r="AZ181" s="45" t="str">
        <f>IF(OR(T181="Cash",T181="Cash Adjustments"), T181, _xll.BDP(R181&amp;" FIGI", $AZ$1))</f>
        <v>FINANCIAL</v>
      </c>
      <c r="BA181" s="45" t="str">
        <f>IF(OR(T181="Cash",T181="Cash Adjustments"), T181, _xll.BDP(R181&amp;" FIGI", $BA$1))</f>
        <v>#N/A Field Not Applicable</v>
      </c>
      <c r="BB181" s="45">
        <f>IF(OR(AS181="Government",AS181="Corporate"),(AK181*AB181/'SFC Report'!$C$20),"")</f>
        <v>1.536206131410791E-2</v>
      </c>
      <c r="BC181" s="174" t="str">
        <f>IF(OR(T181="Cash",T181="Cash Adjustments", T181="FX Forward", T181="Repo", T181="Equity", T181="M-Mkt"), "", _xll.BDP(R181&amp;" FIGI", $BC$1))</f>
        <v>1/25/2169</v>
      </c>
      <c r="BD181" s="125">
        <f ca="1">IF(OR(T181="Cash",T181="Cash Adjustments",T181="FX Forward",T181="Repo", T181="Equity", T181="M-Mkt"),"",(BC181-'SFC Report'!$B$13)/365)</f>
        <v>148.83835616438355</v>
      </c>
      <c r="BE181" s="82" t="str">
        <f t="shared" ca="1" si="79"/>
        <v>10 yrs or Above</v>
      </c>
      <c r="BF181" s="5">
        <f ca="1">IF(BC181="","",BD181*AB181/'SFC Report'!$C$20)</f>
        <v>0.32663770761261302</v>
      </c>
      <c r="BG181" s="14" cm="1">
        <f t="array" ref="BG181">IF(OR(AS181="Corporate",AS181="Government"),_xll.BDP(G181&amp;" ISIN", $BG$1),"")</f>
        <v>1.4067556151193079</v>
      </c>
      <c r="BH181" s="140">
        <f>IF(OR(AS181="Corporate",AS181="Government"),BG181*BN181/'SFC Report'!$C$20,"")</f>
        <v>3.0872380019183422E-3</v>
      </c>
      <c r="BI181" s="140">
        <f>IF(OR(AS181="Corporate",AS181="Government"),_xll.BDP(G181&amp;" ISIN", $BI$1),"")</f>
        <v>13.902198620022657</v>
      </c>
      <c r="BJ181" s="140">
        <f>IF(OR(AS181="Corporate",AS181="Government"),BI181*AB181/'SFC Report'!$C$20,"")</f>
        <v>3.0509489657384918E-2</v>
      </c>
      <c r="BK181" s="153" t="str">
        <f>IF(OR(T181="Cash",T181="Cash Adjustments"),"-",_xll.BDP(R181&amp;" FIGI",$BK$1))</f>
        <v>XS2013512608</v>
      </c>
      <c r="BL181" s="11" t="str">
        <f>IF(OR(AS181="Cash", AS181="Cash Adjustments"),"-",IF(ISNA(VLOOKUP(BK181,'BBG - VaR Data (Sample, Indus )'!C:N,5,0)),"-",VLOOKUP(BK181,'BBG - VaR Data (Sample, Indus )'!C:N,5,0)))</f>
        <v>-</v>
      </c>
      <c r="BM181" s="11">
        <f>IF(OR(AS181="Cash", AS181="Cash Adjustments"),"-",IF(ISNA(VLOOKUP(BK181,'BBG - Scenarios (Sample View)'!C:Z,14,0)),"-",VLOOKUP(BK181,'BBG - Scenarios (Sample View)'!C:Z,14,0)))</f>
        <v>-14.62</v>
      </c>
      <c r="BN181" s="14">
        <f t="shared" si="80"/>
        <v>1207963.6416408666</v>
      </c>
      <c r="BO181" s="1">
        <f t="shared" si="81"/>
        <v>2.3696005156200258E-3</v>
      </c>
      <c r="BP181" t="str">
        <f>IF(BC181&lt;&gt;0,MaturityBucket(BG181),"")</f>
        <v>1 - 2 yrs</v>
      </c>
      <c r="BQ181" s="11" t="str">
        <f>IF(OR(T181="Cash",T181="Cash Adjustments"),T181,VLOOKUP(AL181,'SFC Classifcation'!$A:$C,2,0))</f>
        <v>China</v>
      </c>
      <c r="BR181" s="1" t="e">
        <f>IF(S181="Bond",BH181/'SFC Report'!$B$7,"")</f>
        <v>#VALUE!</v>
      </c>
      <c r="BS181" t="str">
        <f>IF(OR(T181="Cash",T181="Cash Adjustments"),"-",_xll.BDP(R181&amp;" FIGI",$BS$1))</f>
        <v>#N/A N/A</v>
      </c>
      <c r="BT181" t="str">
        <f>IF(OR(T181="Cash",T181="Cash Adjustments"),"-",_xll.BDP(R181&amp;" FIGI",$BT$1))</f>
        <v>6/12/2019</v>
      </c>
      <c r="BU181" t="str">
        <f>IF(OR(T181="Cash",T181="Cash Adjustments"),"-",_xll.BDP(R181&amp;" FIGI",$BU$1))</f>
        <v>#N/A N/A</v>
      </c>
    </row>
    <row r="182" spans="1:73">
      <c r="A182" s="254" t="s">
        <v>116</v>
      </c>
      <c r="B182" s="254" t="s">
        <v>117</v>
      </c>
      <c r="C182" s="254" t="s">
        <v>117</v>
      </c>
      <c r="D182" s="254" t="s">
        <v>22</v>
      </c>
      <c r="E182" s="254"/>
      <c r="F182" s="254" t="s">
        <v>22</v>
      </c>
      <c r="G182" s="254" t="s">
        <v>23</v>
      </c>
      <c r="H182" s="270">
        <v>-8083.34</v>
      </c>
      <c r="I182" s="270">
        <v>1</v>
      </c>
      <c r="J182" s="270">
        <v>-8083.34</v>
      </c>
      <c r="K182" s="270">
        <v>-62647.5</v>
      </c>
      <c r="L182" s="270">
        <v>0</v>
      </c>
      <c r="M182" s="270">
        <v>0</v>
      </c>
      <c r="N182" s="270">
        <v>-62647.5</v>
      </c>
      <c r="O182" s="255">
        <v>-5.9999999999999995E-4</v>
      </c>
      <c r="Q182" s="1" t="str">
        <f t="shared" si="73"/>
        <v>Receivable Investments</v>
      </c>
      <c r="R182" s="1" t="str">
        <f>_xll.BDP(G182&amp;" ISIN",$R$1)</f>
        <v>#N/A Invalid Security</v>
      </c>
      <c r="S182" s="1" t="str">
        <f>IF(Q182="Cash",Q182,IF(OR(Q182="Receivable Investments",Q182="Payable Investments"),"Cash Adjustments",_xll.BDP(R182&amp;" FIGI",$S$1)))</f>
        <v>Cash Adjustments</v>
      </c>
      <c r="T182" s="1" t="str">
        <f>IF(Q182="Cash",Q182,IF(OR(Q182="Receivable Investments",Q182="Payable Investments"),"Cash Adjustments",VLOOKUP(R182,LQA!E:S,3,0)))</f>
        <v>Cash Adjustments</v>
      </c>
      <c r="U182" s="1" t="str">
        <f>IF(Q182="Cash",Q182,IF(OR(Q182="Receivable Investments",Q182="Payable Investments"),"Cash Adjustments",_xll.BDP(R182&amp;" FIGI",$U$1)))</f>
        <v>Cash Adjustments</v>
      </c>
      <c r="V182" s="10">
        <f>IF(OR(Q182="Cash",Q182="Receivable Investments",Q182="Payable Investments"),0,IF(Q182="Investments",VLOOKUP(R182,LQA!E:Q,12,0),"Not Covered"))</f>
        <v>0</v>
      </c>
      <c r="W182" s="76">
        <f>IF(OR(Q182="Cash",Q182="Receivable Investments",Q182="Payable Investments"),0,IF(Q182="Investments",VLOOKUP(R182,LQA!E:Q,9,0),"Not Covered"))</f>
        <v>0</v>
      </c>
      <c r="X182" s="13" t="str">
        <f>IF(OR(H182=0,T185="Comdty"),"High",IF(V182&lt;='Liquidity Bucket'!$A$4,'Liquidity Bucket'!$I$4,IF(V182&lt;='Liquidity Bucket'!$A$5,'Liquidity Bucket'!$I$5,IF(V182&lt;='Liquidity Bucket'!$A$6,'Liquidity Bucket'!$I$6,IF(V182='Liquidity Bucket'!$A$8,'Liquidity Bucket'!$I$8,'Liquidity Bucket'!$I$7)))))</f>
        <v>High</v>
      </c>
      <c r="Y182" s="153">
        <f>IF(OR(Q182="Cash",Q182="Receivable Investments",Q182="Payable Investments"),0,IF(Q182="Investments",VLOOKUP(R182,'LQA Stress'!E:Q,12,0),"Not Covered"))</f>
        <v>0</v>
      </c>
      <c r="Z182" s="75">
        <f>IF(OR(Q182="Cash",Q182="Receivable Investments",Q182="Payable Investments"),0,IF(Q182="Investments",VLOOKUP(R182,'LQA Stress'!E:Q,9,0),"Not Covered"))</f>
        <v>0</v>
      </c>
      <c r="AA182" s="13" t="str">
        <f>IF(T185="Comdty","High",IF(Y182&lt;='Liquidity Bucket'!$A$4,'Liquidity Bucket'!$I$4,IF(Y182&lt;='Liquidity Bucket'!$A$5,'Liquidity Bucket'!$I$5,IF(Y182&lt;='Liquidity Bucket'!$A$6,'Liquidity Bucket'!$I$6,IF(Y182='Liquidity Bucket'!$A$8,'Liquidity Bucket'!$I$8,'Liquidity Bucket'!$I$7)))))</f>
        <v>High</v>
      </c>
      <c r="AB182" s="14">
        <f>(N182+M182)/'FX Rates'!$C$5</f>
        <v>-8081.4628482972139</v>
      </c>
      <c r="AC182" s="15" t="str">
        <f>IF(X182="Not Covered", (H182/_xll.BDP(R182&amp;" FIGI",$AC$1)),"")</f>
        <v/>
      </c>
      <c r="AD182" s="16" t="str">
        <f>IF(X182="Not Covered", _xll.BDP(R182&amp;" FIGI",$AD$1),"")</f>
        <v/>
      </c>
      <c r="AE182" s="16" t="str">
        <f>IF(OR(T182="Corp",T182="Govt"),IF(_xll.BDP(R182&amp;" FIGI",$AE$1)="#N/A N/A","",_xll.BDP(R182&amp;" FIGI",$AE$1)),"")</f>
        <v/>
      </c>
      <c r="AF182" s="1" t="str">
        <f>IF(OR(T182="Corp",T182="Govt"),IF(_xll.BDP(R182&amp;" FIGI",$AF$1)="#N/A N/A","",_xll.BDP(R182&amp;" FIGI",$AF$1)),"")</f>
        <v/>
      </c>
      <c r="AG182" s="16" t="str">
        <f>IF(OR(T182="Corp",T182="Govt"),IF(_xll.BDP(R182&amp;" FIGI",$AG$1)="#N/A N/A","",_xll.BDP(R182&amp;" FIGI",$AG$1)),"")</f>
        <v/>
      </c>
      <c r="AH182" s="125">
        <f>IF(OR(S182="Cash",S182="M-Mkt"),21,IF(AE182="",0,VLOOKUP(AE182,'Rating Scale'!A:B,2,0)))</f>
        <v>0</v>
      </c>
      <c r="AI182" s="125">
        <f>IF(OR(S182="Cash",S182="M-Mkt"),21,IF(AF182="",0,VLOOKUP(AF182,'Rating Scale'!D:E,2,0)))</f>
        <v>0</v>
      </c>
      <c r="AJ182" s="125">
        <f>IF(OR(S182="Cash",S182="M-Mkt"),21,IF(AG182="",0,VLOOKUP(AG182,'Rating Scale'!G:H,2,0)))</f>
        <v>0</v>
      </c>
      <c r="AK182">
        <f t="shared" si="74"/>
        <v>0</v>
      </c>
      <c r="AL182" s="1" t="str">
        <f>IF(OR(U182="Cash",U182="Cash Adjustments"),_xll.BDP(G182&amp;" Curncy","Country"),IF(T182="Equity",_xll.BDP(R182&amp;" FIGI","CNTRY_ISSUE_ISO"),_xll.BDP(R182&amp;" FIGI",$AL$1)))</f>
        <v>US</v>
      </c>
      <c r="AM182" s="126" t="str">
        <f>IF(OR(T182="Cash",T182="Cash Adjustments",T182="M-Mkt"), T182, IF(T182="Comdty",AS182, _xll.BDP(R182&amp;" FIGI", $AM$1)))</f>
        <v>Cash Adjustments</v>
      </c>
      <c r="AN182" s="126" t="str">
        <f>IF(OR(T182="Cash",T182="Cash Adjustments",T182="M-Mkt"), T182,  IF(T182="Comdty",AS182,_xll.BDP(R182&amp;" FIGI", $AN$1)))</f>
        <v>Cash Adjustments</v>
      </c>
      <c r="AO182" s="126" t="str">
        <f>IF(OR(T182="Cash",T182="Cash Adjustments",T182="M-Mkt"), T182,  IF(T182="Comdty",AS182,_xll.BDP(R182&amp;" FIGI", $AO$1)))</f>
        <v>Cash Adjustments</v>
      </c>
      <c r="AP182" s="13" t="str">
        <f>IF(OR(T182="Cash",T182="Cash Adjustments"), T182, IF(_xll.BDP(R182&amp;" FIGI", $AP$1)="#N/A Field Not Applicable","N",_xll.BDP(R182&amp;" FIGI", $AP$1)))</f>
        <v>Cash Adjustments</v>
      </c>
      <c r="AQ182" s="1" t="str">
        <f>IF(OR(T182="Cash",T182="Cash Adjustments"), T182, IF(_xll.BDP(R182&amp;" FIGI", $AQ$1)="#N/A Field Not Applicable"," ",_xll.BDP(R182&amp;" FIGI", $AQ$1)))</f>
        <v>Cash Adjustments</v>
      </c>
      <c r="AR182" s="1" t="str">
        <f>IF(OR(T182="Cash",T182="Cash Adjustments"), T182, IF(_xll.BDP(R182&amp;" FIGI", $AR$1)="#N/A Field Not Applicable"," ",_xll.BDP(R182&amp;" FIGI", $AR$1)))</f>
        <v>Cash Adjustments</v>
      </c>
      <c r="AS182" s="1" t="str">
        <f>VLOOKUP(T182,'SFC Classifcation'!$F$2:$H$7,3,0)</f>
        <v>Cash Adjustments</v>
      </c>
      <c r="AT182" s="22" t="str">
        <f t="shared" si="75"/>
        <v>Cash Adjustments</v>
      </c>
      <c r="AU182" s="1" t="str">
        <f t="shared" si="76"/>
        <v/>
      </c>
      <c r="AV182" s="1" t="str">
        <f>IF(OR(T182="Cash",T182="Cash Adjustments"),T182,VLOOKUP(AL182,'SFC Classifcation'!$A:$C,3,0))</f>
        <v>Cash Adjustments</v>
      </c>
      <c r="AW182" s="22" t="str">
        <f t="shared" si="77"/>
        <v>High</v>
      </c>
      <c r="AX182" s="22" t="str">
        <f t="shared" si="78"/>
        <v>High</v>
      </c>
      <c r="AY182" s="45" t="str">
        <f>IF(OR(T182="Cash",T182="Cash Adjustments"), T182, _xll.BDP(R182&amp;" FIGI", $AY$1))</f>
        <v>Cash Adjustments</v>
      </c>
      <c r="AZ182" s="45" t="str">
        <f>IF(OR(T182="Cash",T182="Cash Adjustments"), T182, _xll.BDP(R182&amp;" FIGI", $AZ$1))</f>
        <v>Cash Adjustments</v>
      </c>
      <c r="BA182" s="45" t="str">
        <f>IF(OR(T182="Cash",T182="Cash Adjustments"), T182, _xll.BDP(R182&amp;" FIGI", $BA$1))</f>
        <v>Cash Adjustments</v>
      </c>
      <c r="BB182" s="45" t="str">
        <f>IF(OR(AS182="Government",AS182="Corporate"),(AK182*AB182/'SFC Report'!$C$20),"")</f>
        <v/>
      </c>
      <c r="BC182" s="174" t="str">
        <f>IF(OR(T182="Cash",T182="Cash Adjustments", T182="FX Forward", T182="Repo", T182="Equity", T182="M-Mkt"), "", _xll.BDP(R182&amp;" FIGI", $BC$1))</f>
        <v/>
      </c>
      <c r="BD182" s="125" t="str">
        <f>IF(OR(T182="Cash",T182="Cash Adjustments",T182="FX Forward",T182="Repo", T182="Equity", T182="M-Mkt"),"",(BC182-'SFC Report'!$B$13)/365)</f>
        <v/>
      </c>
      <c r="BE182" s="82" t="str">
        <f t="shared" si="79"/>
        <v/>
      </c>
      <c r="BF182" s="5" t="str">
        <f>IF(BC182="","",BD182*AB182/'SFC Report'!$C$20)</f>
        <v/>
      </c>
      <c r="BG182" s="14" t="str" cm="1">
        <f t="array" ref="BG182">IF(OR(AS182="Corporate",AS182="Government"),_xll.BDP(G182&amp;" ISIN", $BG$1),"")</f>
        <v/>
      </c>
      <c r="BH182" s="140" t="str">
        <f>IF(OR(AS182="Corporate",AS182="Government"),BG182*BN182/'SFC Report'!$C$20,"")</f>
        <v/>
      </c>
      <c r="BI182" s="140" t="str">
        <f>IF(OR(AS182="Corporate",AS182="Government"),_xll.BDP(G182&amp;" ISIN", $BI$1),"")</f>
        <v/>
      </c>
      <c r="BJ182" s="140" t="str">
        <f>IF(OR(AS182="Corporate",AS182="Government"),BI182*AB182/'SFC Report'!$C$20,"")</f>
        <v/>
      </c>
      <c r="BK182" s="153" t="str">
        <f>IF(OR(T182="Cash",T182="Cash Adjustments"),"-",_xll.BDP(R182&amp;" FIGI",$BK$1))</f>
        <v>-</v>
      </c>
      <c r="BL182" s="11" t="str">
        <f>IF(OR(AS182="Cash", AS182="Cash Adjustments"),"-",IF(ISNA(VLOOKUP(BK182,'BBG - VaR Data (Sample, Indus )'!C:N,5,0)),"-",VLOOKUP(BK182,'BBG - VaR Data (Sample, Indus )'!C:N,5,0)))</f>
        <v>-</v>
      </c>
      <c r="BM182" s="11" t="str">
        <f>IF(OR(AS182="Cash", AS182="Cash Adjustments"),"-",IF(ISNA(VLOOKUP(BK182,'BBG - Scenarios (Sample View)'!C:Z,14,0)),"-",VLOOKUP(BK182,'BBG - Scenarios (Sample View)'!C:Z,14,0)))</f>
        <v>-</v>
      </c>
      <c r="BN182" s="14">
        <f t="shared" si="80"/>
        <v>-8081.4628482972139</v>
      </c>
      <c r="BO182" s="1">
        <f t="shared" si="81"/>
        <v>-1.5852992484340433E-5</v>
      </c>
      <c r="BP182" t="str">
        <f>IF(BC182&lt;&gt;0,MaturityBucket(BG182),"")</f>
        <v/>
      </c>
      <c r="BQ182" s="11" t="str">
        <f>IF(OR(T182="Cash",T182="Cash Adjustments"),T182,VLOOKUP(AL182,'SFC Classifcation'!$A:$C,2,0))</f>
        <v>Cash Adjustments</v>
      </c>
      <c r="BR182" s="1" t="str">
        <f>IF(S182="Bond",BH182/'SFC Report'!$B$7,"")</f>
        <v/>
      </c>
      <c r="BS182" t="str">
        <f>IF(OR(T182="Cash",T182="Cash Adjustments"),"-",_xll.BDP(R182&amp;" FIGI",$BS$1))</f>
        <v>-</v>
      </c>
      <c r="BT182" t="str">
        <f>IF(OR(T182="Cash",T182="Cash Adjustments"),"-",_xll.BDP(R182&amp;" FIGI",$BT$1))</f>
        <v>-</v>
      </c>
      <c r="BU182" t="str">
        <f>IF(OR(T182="Cash",T182="Cash Adjustments"),"-",_xll.BDP(R182&amp;" FIGI",$BU$1))</f>
        <v>-</v>
      </c>
    </row>
    <row r="183" spans="1:73">
      <c r="A183" s="254" t="s">
        <v>116</v>
      </c>
      <c r="B183" s="254" t="s">
        <v>118</v>
      </c>
      <c r="C183" s="254" t="s">
        <v>118</v>
      </c>
      <c r="D183" s="254" t="s">
        <v>20</v>
      </c>
      <c r="E183" s="254"/>
      <c r="F183" s="254" t="s">
        <v>20</v>
      </c>
      <c r="G183" s="254" t="s">
        <v>21</v>
      </c>
      <c r="H183" s="270">
        <v>-5382.1</v>
      </c>
      <c r="I183" s="270">
        <v>1</v>
      </c>
      <c r="J183" s="270">
        <v>-5382.1</v>
      </c>
      <c r="K183" s="270">
        <v>-5382.1</v>
      </c>
      <c r="L183" s="270">
        <v>0</v>
      </c>
      <c r="M183" s="270">
        <v>0</v>
      </c>
      <c r="N183" s="270">
        <v>-5382.1</v>
      </c>
      <c r="O183" s="255">
        <v>-1E-4</v>
      </c>
      <c r="Q183" s="1" t="str">
        <f t="shared" si="73"/>
        <v>Receivable Investments</v>
      </c>
      <c r="R183" s="1" t="str">
        <f>_xll.BDP(G183&amp;" ISIN",$R$1)</f>
        <v>#N/A Invalid Security</v>
      </c>
      <c r="S183" s="1" t="str">
        <f>IF(Q183="Cash",Q183,IF(OR(Q183="Receivable Investments",Q183="Payable Investments"),"Cash Adjustments",_xll.BDP(R183&amp;" FIGI",$S$1)))</f>
        <v>Cash Adjustments</v>
      </c>
      <c r="T183" s="1" t="str">
        <f>IF(Q183="Cash",Q183,IF(OR(Q183="Receivable Investments",Q183="Payable Investments"),"Cash Adjustments",VLOOKUP(R183,LQA!E:S,3,0)))</f>
        <v>Cash Adjustments</v>
      </c>
      <c r="U183" s="1" t="str">
        <f>IF(Q183="Cash",Q183,IF(OR(Q183="Receivable Investments",Q183="Payable Investments"),"Cash Adjustments",_xll.BDP(R183&amp;" FIGI",$U$1)))</f>
        <v>Cash Adjustments</v>
      </c>
      <c r="V183" s="10">
        <f>IF(OR(Q183="Cash",Q183="Receivable Investments",Q183="Payable Investments"),0,IF(Q183="Investments",VLOOKUP(R183,LQA!E:Q,12,0),"Not Covered"))</f>
        <v>0</v>
      </c>
      <c r="W183" s="76">
        <f>IF(OR(Q183="Cash",Q183="Receivable Investments",Q183="Payable Investments"),0,IF(Q183="Investments",VLOOKUP(R183,LQA!E:Q,9,0),"Not Covered"))</f>
        <v>0</v>
      </c>
      <c r="X183" s="13" t="str">
        <f>IF(OR(H183=0,T186="Comdty"),"High",IF(V183&lt;='Liquidity Bucket'!$A$4,'Liquidity Bucket'!$I$4,IF(V183&lt;='Liquidity Bucket'!$A$5,'Liquidity Bucket'!$I$5,IF(V183&lt;='Liquidity Bucket'!$A$6,'Liquidity Bucket'!$I$6,IF(V183='Liquidity Bucket'!$A$8,'Liquidity Bucket'!$I$8,'Liquidity Bucket'!$I$7)))))</f>
        <v>High</v>
      </c>
      <c r="Y183" s="153">
        <f>IF(OR(Q183="Cash",Q183="Receivable Investments",Q183="Payable Investments"),0,IF(Q183="Investments",VLOOKUP(R183,'LQA Stress'!E:Q,12,0),"Not Covered"))</f>
        <v>0</v>
      </c>
      <c r="Z183" s="75">
        <f>IF(OR(Q183="Cash",Q183="Receivable Investments",Q183="Payable Investments"),0,IF(Q183="Investments",VLOOKUP(R183,'LQA Stress'!E:Q,9,0),"Not Covered"))</f>
        <v>0</v>
      </c>
      <c r="AA183" s="13" t="str">
        <f>IF(T186="Comdty","High",IF(Y183&lt;='Liquidity Bucket'!$A$4,'Liquidity Bucket'!$I$4,IF(Y183&lt;='Liquidity Bucket'!$A$5,'Liquidity Bucket'!$I$5,IF(Y183&lt;='Liquidity Bucket'!$A$6,'Liquidity Bucket'!$I$6,IF(Y183='Liquidity Bucket'!$A$8,'Liquidity Bucket'!$I$8,'Liquidity Bucket'!$I$7)))))</f>
        <v>High</v>
      </c>
      <c r="AB183" s="14">
        <f>(N183+M183)/'FX Rates'!$C$5</f>
        <v>-694.28534571723435</v>
      </c>
      <c r="AC183" s="15" t="str">
        <f>IF(X183="Not Covered", (H183/_xll.BDP(R183&amp;" FIGI",$AC$1)),"")</f>
        <v/>
      </c>
      <c r="AD183" s="16" t="str">
        <f>IF(X183="Not Covered", _xll.BDP(R183&amp;" FIGI",$AD$1),"")</f>
        <v/>
      </c>
      <c r="AE183" s="16" t="str">
        <f>IF(OR(T183="Corp",T183="Govt"),IF(_xll.BDP(R183&amp;" FIGI",$AE$1)="#N/A N/A","",_xll.BDP(R183&amp;" FIGI",$AE$1)),"")</f>
        <v/>
      </c>
      <c r="AF183" s="1" t="str">
        <f>IF(OR(T183="Corp",T183="Govt"),IF(_xll.BDP(R183&amp;" FIGI",$AF$1)="#N/A N/A","",_xll.BDP(R183&amp;" FIGI",$AF$1)),"")</f>
        <v/>
      </c>
      <c r="AG183" s="16" t="str">
        <f>IF(OR(T183="Corp",T183="Govt"),IF(_xll.BDP(R183&amp;" FIGI",$AG$1)="#N/A N/A","",_xll.BDP(R183&amp;" FIGI",$AG$1)),"")</f>
        <v/>
      </c>
      <c r="AH183" s="125">
        <f>IF(OR(S183="Cash",S183="M-Mkt"),21,IF(AE183="",0,VLOOKUP(AE183,'Rating Scale'!A:B,2,0)))</f>
        <v>0</v>
      </c>
      <c r="AI183" s="125">
        <f>IF(OR(S183="Cash",S183="M-Mkt"),21,IF(AF183="",0,VLOOKUP(AF183,'Rating Scale'!D:E,2,0)))</f>
        <v>0</v>
      </c>
      <c r="AJ183" s="125">
        <f>IF(OR(S183="Cash",S183="M-Mkt"),21,IF(AG183="",0,VLOOKUP(AG183,'Rating Scale'!G:H,2,0)))</f>
        <v>0</v>
      </c>
      <c r="AK183">
        <f t="shared" si="74"/>
        <v>0</v>
      </c>
      <c r="AL183" s="1" t="str">
        <f>IF(OR(U183="Cash",U183="Cash Adjustments"),_xll.BDP(G183&amp;" Curncy","Country"),IF(T183="Equity",_xll.BDP(R183&amp;" FIGI","CNTRY_ISSUE_ISO"),_xll.BDP(R183&amp;" FIGI",$AL$1)))</f>
        <v>HK</v>
      </c>
      <c r="AM183" s="126" t="str">
        <f>IF(OR(T183="Cash",T183="Cash Adjustments",T183="M-Mkt"), T183, IF(T183="Comdty",AS183, _xll.BDP(R183&amp;" FIGI", $AM$1)))</f>
        <v>Cash Adjustments</v>
      </c>
      <c r="AN183" s="126" t="str">
        <f>IF(OR(T183="Cash",T183="Cash Adjustments",T183="M-Mkt"), T183,  IF(T183="Comdty",AS183,_xll.BDP(R183&amp;" FIGI", $AN$1)))</f>
        <v>Cash Adjustments</v>
      </c>
      <c r="AO183" s="126" t="str">
        <f>IF(OR(T183="Cash",T183="Cash Adjustments",T183="M-Mkt"), T183,  IF(T183="Comdty",AS183,_xll.BDP(R183&amp;" FIGI", $AO$1)))</f>
        <v>Cash Adjustments</v>
      </c>
      <c r="AP183" s="13" t="str">
        <f>IF(OR(T183="Cash",T183="Cash Adjustments"), T183, IF(_xll.BDP(R183&amp;" FIGI", $AP$1)="#N/A Field Not Applicable","N",_xll.BDP(R183&amp;" FIGI", $AP$1)))</f>
        <v>Cash Adjustments</v>
      </c>
      <c r="AQ183" s="1" t="str">
        <f>IF(OR(T183="Cash",T183="Cash Adjustments"), T183, IF(_xll.BDP(R183&amp;" FIGI", $AQ$1)="#N/A Field Not Applicable"," ",_xll.BDP(R183&amp;" FIGI", $AQ$1)))</f>
        <v>Cash Adjustments</v>
      </c>
      <c r="AR183" s="1" t="str">
        <f>IF(OR(T183="Cash",T183="Cash Adjustments"), T183, IF(_xll.BDP(R183&amp;" FIGI", $AR$1)="#N/A Field Not Applicable"," ",_xll.BDP(R183&amp;" FIGI", $AR$1)))</f>
        <v>Cash Adjustments</v>
      </c>
      <c r="AS183" s="1" t="str">
        <f>VLOOKUP(T183,'SFC Classifcation'!$F$2:$H$7,3,0)</f>
        <v>Cash Adjustments</v>
      </c>
      <c r="AT183" s="22" t="str">
        <f t="shared" si="75"/>
        <v>Cash Adjustments</v>
      </c>
      <c r="AU183" s="1" t="str">
        <f t="shared" si="76"/>
        <v/>
      </c>
      <c r="AV183" s="1" t="str">
        <f>IF(OR(T183="Cash",T183="Cash Adjustments"),T183,VLOOKUP(AL183,'SFC Classifcation'!$A:$C,3,0))</f>
        <v>Cash Adjustments</v>
      </c>
      <c r="AW183" s="22" t="str">
        <f t="shared" si="77"/>
        <v>High</v>
      </c>
      <c r="AX183" s="22" t="str">
        <f t="shared" si="78"/>
        <v>High</v>
      </c>
      <c r="AY183" s="45" t="str">
        <f>IF(OR(T183="Cash",T183="Cash Adjustments"), T183, _xll.BDP(R183&amp;" FIGI", $AY$1))</f>
        <v>Cash Adjustments</v>
      </c>
      <c r="AZ183" s="45" t="str">
        <f>IF(OR(T183="Cash",T183="Cash Adjustments"), T183, _xll.BDP(R183&amp;" FIGI", $AZ$1))</f>
        <v>Cash Adjustments</v>
      </c>
      <c r="BA183" s="45" t="str">
        <f>IF(OR(T183="Cash",T183="Cash Adjustments"), T183, _xll.BDP(R183&amp;" FIGI", $BA$1))</f>
        <v>Cash Adjustments</v>
      </c>
      <c r="BB183" s="45" t="str">
        <f>IF(OR(AS183="Government",AS183="Corporate"),(AK183*AB183/'SFC Report'!$C$20),"")</f>
        <v/>
      </c>
      <c r="BC183" s="174" t="str">
        <f>IF(OR(T183="Cash",T183="Cash Adjustments", T183="FX Forward", T183="Repo", T183="Equity", T183="M-Mkt"), "", _xll.BDP(R183&amp;" FIGI", $BC$1))</f>
        <v/>
      </c>
      <c r="BD183" s="125" t="str">
        <f>IF(OR(T183="Cash",T183="Cash Adjustments",T183="FX Forward",T183="Repo", T183="Equity", T183="M-Mkt"),"",(BC183-'SFC Report'!$B$13)/365)</f>
        <v/>
      </c>
      <c r="BE183" s="82" t="str">
        <f t="shared" si="79"/>
        <v/>
      </c>
      <c r="BF183" s="5" t="str">
        <f>IF(BC183="","",BD183*AB183/'SFC Report'!$C$20)</f>
        <v/>
      </c>
      <c r="BG183" s="14" t="str" cm="1">
        <f t="array" ref="BG183">IF(OR(AS183="Corporate",AS183="Government"),_xll.BDP(G183&amp;" ISIN", $BG$1),"")</f>
        <v/>
      </c>
      <c r="BH183" s="140" t="str">
        <f>IF(OR(AS183="Corporate",AS183="Government"),BG183*BN183/'SFC Report'!$C$20,"")</f>
        <v/>
      </c>
      <c r="BI183" s="140" t="str">
        <f>IF(OR(AS183="Corporate",AS183="Government"),_xll.BDP(G183&amp;" ISIN", $BI$1),"")</f>
        <v/>
      </c>
      <c r="BJ183" s="140" t="str">
        <f>IF(OR(AS183="Corporate",AS183="Government"),BI183*AB183/'SFC Report'!$C$20,"")</f>
        <v/>
      </c>
      <c r="BK183" s="153" t="str">
        <f>IF(OR(T183="Cash",T183="Cash Adjustments"),"-",_xll.BDP(R183&amp;" FIGI",$BK$1))</f>
        <v>-</v>
      </c>
      <c r="BL183" s="11" t="str">
        <f>IF(OR(AS183="Cash", AS183="Cash Adjustments"),"-",IF(ISNA(VLOOKUP(BK183,'BBG - VaR Data (Sample, Indus )'!C:N,5,0)),"-",VLOOKUP(BK183,'BBG - VaR Data (Sample, Indus )'!C:N,5,0)))</f>
        <v>-</v>
      </c>
      <c r="BM183" s="11" t="str">
        <f>IF(OR(AS183="Cash", AS183="Cash Adjustments"),"-",IF(ISNA(VLOOKUP(BK183,'BBG - Scenarios (Sample View)'!C:Z,14,0)),"-",VLOOKUP(BK183,'BBG - Scenarios (Sample View)'!C:Z,14,0)))</f>
        <v>-</v>
      </c>
      <c r="BN183" s="14">
        <f t="shared" si="80"/>
        <v>-694.28534571723435</v>
      </c>
      <c r="BO183" s="1">
        <f t="shared" si="81"/>
        <v>-1.3619440656046715E-6</v>
      </c>
      <c r="BP183" t="str">
        <f>IF(BC183&lt;&gt;0,MaturityBucket(BG183),"")</f>
        <v/>
      </c>
      <c r="BQ183" s="11" t="str">
        <f>IF(OR(T183="Cash",T183="Cash Adjustments"),T183,VLOOKUP(AL183,'SFC Classifcation'!$A:$C,2,0))</f>
        <v>Cash Adjustments</v>
      </c>
      <c r="BR183" s="1" t="str">
        <f>IF(S183="Bond",BH183/'SFC Report'!$B$7,"")</f>
        <v/>
      </c>
      <c r="BS183" t="str">
        <f>IF(OR(T183="Cash",T183="Cash Adjustments"),"-",_xll.BDP(R183&amp;" FIGI",$BS$1))</f>
        <v>-</v>
      </c>
      <c r="BT183" t="str">
        <f>IF(OR(T183="Cash",T183="Cash Adjustments"),"-",_xll.BDP(R183&amp;" FIGI",$BT$1))</f>
        <v>-</v>
      </c>
      <c r="BU183" t="str">
        <f>IF(OR(T183="Cash",T183="Cash Adjustments"),"-",_xll.BDP(R183&amp;" FIGI",$BU$1))</f>
        <v>-</v>
      </c>
    </row>
    <row r="184" spans="1:73">
      <c r="A184" s="254" t="s">
        <v>116</v>
      </c>
      <c r="B184" s="254" t="s">
        <v>1164</v>
      </c>
      <c r="C184" s="254" t="s">
        <v>1164</v>
      </c>
      <c r="D184" s="254" t="s">
        <v>22</v>
      </c>
      <c r="E184" s="254"/>
      <c r="F184" s="254" t="s">
        <v>22</v>
      </c>
      <c r="G184" s="254" t="s">
        <v>23</v>
      </c>
      <c r="H184" s="270">
        <v>13723812</v>
      </c>
      <c r="I184" s="270">
        <v>1</v>
      </c>
      <c r="J184" s="270">
        <v>13723812</v>
      </c>
      <c r="K184" s="270">
        <v>106362287.76000001</v>
      </c>
      <c r="L184" s="270">
        <v>0</v>
      </c>
      <c r="M184" s="270">
        <v>0</v>
      </c>
      <c r="N184" s="270">
        <v>106362287.76000001</v>
      </c>
      <c r="O184" s="255">
        <v>1.0005999999999999</v>
      </c>
      <c r="Q184" s="1" t="str">
        <f t="shared" ref="Q184:Q193" si="82">IF(B184="Cash Long","Cash",A184)</f>
        <v>Receivable Investments</v>
      </c>
      <c r="R184" s="1" t="str">
        <f>_xll.BDP(G184&amp;" ISIN",$R$1)</f>
        <v>#N/A Invalid Security</v>
      </c>
      <c r="S184" s="1" t="str">
        <f>IF(Q184="Cash",Q184,IF(OR(Q184="Receivable Investments",Q184="Payable Investments"),"Cash Adjustments",_xll.BDP(R184&amp;" FIGI",$S$1)))</f>
        <v>Cash Adjustments</v>
      </c>
      <c r="T184" s="1" t="str">
        <f>IF(Q184="Cash",Q184,IF(OR(Q184="Receivable Investments",Q184="Payable Investments"),"Cash Adjustments",VLOOKUP(R184,LQA!E:S,3,0)))</f>
        <v>Cash Adjustments</v>
      </c>
      <c r="U184" s="1" t="str">
        <f>IF(Q184="Cash",Q184,IF(OR(Q184="Receivable Investments",Q184="Payable Investments"),"Cash Adjustments",_xll.BDP(R184&amp;" FIGI",$U$1)))</f>
        <v>Cash Adjustments</v>
      </c>
      <c r="V184" s="10">
        <f>IF(OR(Q184="Cash",Q184="Receivable Investments",Q184="Payable Investments"),0,IF(Q184="Investments",VLOOKUP(R184,LQA!E:Q,12,0),"Not Covered"))</f>
        <v>0</v>
      </c>
      <c r="W184" s="76">
        <f>IF(OR(Q184="Cash",Q184="Receivable Investments",Q184="Payable Investments"),0,IF(Q184="Investments",VLOOKUP(R184,LQA!E:Q,9,0),"Not Covered"))</f>
        <v>0</v>
      </c>
      <c r="X184" s="13" t="str">
        <f>IF(OR(H184=0,T187="Comdty"),"High",IF(V184&lt;='Liquidity Bucket'!$A$4,'Liquidity Bucket'!$I$4,IF(V184&lt;='Liquidity Bucket'!$A$5,'Liquidity Bucket'!$I$5,IF(V184&lt;='Liquidity Bucket'!$A$6,'Liquidity Bucket'!$I$6,IF(V184='Liquidity Bucket'!$A$8,'Liquidity Bucket'!$I$8,'Liquidity Bucket'!$I$7)))))</f>
        <v>High</v>
      </c>
      <c r="Y184" s="153">
        <f>IF(OR(Q184="Cash",Q184="Receivable Investments",Q184="Payable Investments"),0,IF(Q184="Investments",VLOOKUP(R184,'LQA Stress'!E:Q,12,0),"Not Covered"))</f>
        <v>0</v>
      </c>
      <c r="Z184" s="75">
        <f>IF(OR(Q184="Cash",Q184="Receivable Investments",Q184="Payable Investments"),0,IF(Q184="Investments",VLOOKUP(R184,'LQA Stress'!E:Q,9,0),"Not Covered"))</f>
        <v>0</v>
      </c>
      <c r="AA184" s="13" t="str">
        <f>IF(T187="Comdty","High",IF(Y184&lt;='Liquidity Bucket'!$A$4,'Liquidity Bucket'!$I$4,IF(Y184&lt;='Liquidity Bucket'!$A$5,'Liquidity Bucket'!$I$5,IF(Y184&lt;='Liquidity Bucket'!$A$6,'Liquidity Bucket'!$I$6,IF(Y184='Liquidity Bucket'!$A$8,'Liquidity Bucket'!$I$8,'Liquidity Bucket'!$I$7)))))</f>
        <v>High</v>
      </c>
      <c r="AB184" s="14">
        <f>(N184+M184)/'FX Rates'!$C$5</f>
        <v>13720625.356037153</v>
      </c>
      <c r="AC184" s="15" t="str">
        <f>IF(X184="Not Covered", (H184/_xll.BDP(R184&amp;" FIGI",$AC$1)),"")</f>
        <v/>
      </c>
      <c r="AD184" s="16" t="str">
        <f>IF(X184="Not Covered", _xll.BDP(R184&amp;" FIGI",$AD$1),"")</f>
        <v/>
      </c>
      <c r="AE184" s="16" t="str">
        <f>IF(OR(T184="Corp",T184="Govt"),IF(_xll.BDP(R184&amp;" FIGI",$AE$1)="#N/A N/A","",_xll.BDP(R184&amp;" FIGI",$AE$1)),"")</f>
        <v/>
      </c>
      <c r="AF184" s="1" t="str">
        <f>IF(OR(T184="Corp",T184="Govt"),IF(_xll.BDP(R184&amp;" FIGI",$AF$1)="#N/A N/A","",_xll.BDP(R184&amp;" FIGI",$AF$1)),"")</f>
        <v/>
      </c>
      <c r="AG184" s="16" t="str">
        <f>IF(OR(T184="Corp",T184="Govt"),IF(_xll.BDP(R184&amp;" FIGI",$AG$1)="#N/A N/A","",_xll.BDP(R184&amp;" FIGI",$AG$1)),"")</f>
        <v/>
      </c>
      <c r="AH184" s="125">
        <f>IF(OR(S184="Cash",S184="M-Mkt"),21,IF(AE184="",0,VLOOKUP(AE184,'Rating Scale'!A:B,2,0)))</f>
        <v>0</v>
      </c>
      <c r="AI184" s="125">
        <f>IF(OR(S184="Cash",S184="M-Mkt"),21,IF(AF184="",0,VLOOKUP(AF184,'Rating Scale'!D:E,2,0)))</f>
        <v>0</v>
      </c>
      <c r="AJ184" s="125">
        <f>IF(OR(S184="Cash",S184="M-Mkt"),21,IF(AG184="",0,VLOOKUP(AG184,'Rating Scale'!G:H,2,0)))</f>
        <v>0</v>
      </c>
      <c r="AK184">
        <f t="shared" ref="AK184:AK194" si="83">Rating(AH184,AI184,AJ184)</f>
        <v>0</v>
      </c>
      <c r="AL184" s="1" t="str">
        <f>IF(OR(U184="Cash",U184="Cash Adjustments"),_xll.BDP(G184&amp;" Curncy","Country"),IF(T184="Equity",_xll.BDP(R184&amp;" FIGI","CNTRY_ISSUE_ISO"),_xll.BDP(R184&amp;" FIGI",$AL$1)))</f>
        <v>US</v>
      </c>
      <c r="AM184" s="126" t="str">
        <f>IF(OR(T184="Cash",T184="Cash Adjustments",T184="M-Mkt"), T184, IF(T184="Comdty",AS184, _xll.BDP(R184&amp;" FIGI", $AM$1)))</f>
        <v>Cash Adjustments</v>
      </c>
      <c r="AN184" s="126" t="str">
        <f>IF(OR(T184="Cash",T184="Cash Adjustments",T184="M-Mkt"), T184,  IF(T184="Comdty",AS184,_xll.BDP(R184&amp;" FIGI", $AN$1)))</f>
        <v>Cash Adjustments</v>
      </c>
      <c r="AO184" s="126" t="str">
        <f>IF(OR(T184="Cash",T184="Cash Adjustments",T184="M-Mkt"), T184,  IF(T184="Comdty",AS184,_xll.BDP(R184&amp;" FIGI", $AO$1)))</f>
        <v>Cash Adjustments</v>
      </c>
      <c r="AP184" s="13" t="str">
        <f>IF(OR(T184="Cash",T184="Cash Adjustments"), T184, IF(_xll.BDP(R184&amp;" FIGI", $AP$1)="#N/A Field Not Applicable","N",_xll.BDP(R184&amp;" FIGI", $AP$1)))</f>
        <v>Cash Adjustments</v>
      </c>
      <c r="AQ184" s="1" t="str">
        <f>IF(OR(T184="Cash",T184="Cash Adjustments"), T184, IF(_xll.BDP(R184&amp;" FIGI", $AQ$1)="#N/A Field Not Applicable"," ",_xll.BDP(R184&amp;" FIGI", $AQ$1)))</f>
        <v>Cash Adjustments</v>
      </c>
      <c r="AR184" s="1" t="str">
        <f>IF(OR(T184="Cash",T184="Cash Adjustments"), T184, IF(_xll.BDP(R184&amp;" FIGI", $AR$1)="#N/A Field Not Applicable"," ",_xll.BDP(R184&amp;" FIGI", $AR$1)))</f>
        <v>Cash Adjustments</v>
      </c>
      <c r="AS184" s="1" t="str">
        <f>VLOOKUP(T184,'SFC Classifcation'!$F$2:$H$7,3,0)</f>
        <v>Cash Adjustments</v>
      </c>
      <c r="AT184" s="22" t="str">
        <f t="shared" ref="AT184:AT194" si="84">IF(OR(T184="Cash",T184="Cash Adjustments"),T184, IF(AM184&lt;&gt;"Financial","Non-Financial","Financial"))</f>
        <v>Cash Adjustments</v>
      </c>
      <c r="AU184" s="1" t="str">
        <f t="shared" ref="AU184:AU194" si="85">IF(OR(T184="Cash",T184="Cash Adjustments",T184="Equity", T184="Comdty"),"",IF(AK184&gt;=12,"Investment Grade", "Non-Investment Grade"))</f>
        <v/>
      </c>
      <c r="AV184" s="1" t="str">
        <f>IF(OR(T184="Cash",T184="Cash Adjustments"),T184,VLOOKUP(AL184,'SFC Classifcation'!$A:$C,3,0))</f>
        <v>Cash Adjustments</v>
      </c>
      <c r="AW184" s="22" t="str">
        <f t="shared" ref="AW184:AW194" si="86">LQBucket(X184,AK184,AD184,AC184)</f>
        <v>High</v>
      </c>
      <c r="AX184" s="22" t="str">
        <f t="shared" ref="AX184:AX194" si="87">LQBucket(AA184,AK184,AD184,AC184)</f>
        <v>High</v>
      </c>
      <c r="AY184" s="45" t="str">
        <f>IF(OR(T184="Cash",T184="Cash Adjustments"), T184, _xll.BDP(R184&amp;" FIGI", $AY$1))</f>
        <v>Cash Adjustments</v>
      </c>
      <c r="AZ184" s="45" t="str">
        <f>IF(OR(T184="Cash",T184="Cash Adjustments"), T184, _xll.BDP(R184&amp;" FIGI", $AZ$1))</f>
        <v>Cash Adjustments</v>
      </c>
      <c r="BA184" s="45" t="str">
        <f>IF(OR(T184="Cash",T184="Cash Adjustments"), T184, _xll.BDP(R184&amp;" FIGI", $BA$1))</f>
        <v>Cash Adjustments</v>
      </c>
      <c r="BB184" s="45" t="str">
        <f>IF(OR(AS184="Government",AS184="Corporate"),(AK184*AB184/'SFC Report'!$C$20),"")</f>
        <v/>
      </c>
      <c r="BC184" s="174" t="str">
        <f>IF(OR(T184="Cash",T184="Cash Adjustments", T184="FX Forward", T184="Repo", T184="Equity", T184="M-Mkt"), "", _xll.BDP(R184&amp;" FIGI", $BC$1))</f>
        <v/>
      </c>
      <c r="BD184" s="125" t="str">
        <f>IF(OR(T184="Cash",T184="Cash Adjustments",T184="FX Forward",T184="Repo", T184="Equity", T184="M-Mkt"),"",(BC184-'SFC Report'!$B$13)/365)</f>
        <v/>
      </c>
      <c r="BE184" s="82" t="str">
        <f t="shared" ref="BE184:BE194" si="88">IF(BC184&lt;&gt;0,MaturityBucket(BD184),"")</f>
        <v/>
      </c>
      <c r="BF184" s="5" t="str">
        <f>IF(BC184="","",BD184*AB184/'SFC Report'!$C$20)</f>
        <v/>
      </c>
      <c r="BG184" s="14" t="str" cm="1">
        <f t="array" ref="BG184">IF(OR(AS184="Corporate",AS184="Government"),_xll.BDP(G184&amp;" ISIN", $BG$1),"")</f>
        <v/>
      </c>
      <c r="BH184" s="140" t="str">
        <f>IF(OR(AS184="Corporate",AS184="Government"),BG184*BN184/'SFC Report'!$C$20,"")</f>
        <v/>
      </c>
      <c r="BI184" s="140" t="str">
        <f>IF(OR(AS184="Corporate",AS184="Government"),_xll.BDP(G184&amp;" ISIN", $BI$1),"")</f>
        <v/>
      </c>
      <c r="BJ184" s="140" t="str">
        <f>IF(OR(AS184="Corporate",AS184="Government"),BI184*AB184/'SFC Report'!$C$20,"")</f>
        <v/>
      </c>
      <c r="BK184" s="153" t="str">
        <f>IF(OR(T184="Cash",T184="Cash Adjustments"),"-",_xll.BDP(R184&amp;" FIGI",$BK$1))</f>
        <v>-</v>
      </c>
      <c r="BL184" s="11" t="str">
        <f>IF(OR(AS184="Cash", AS184="Cash Adjustments"),"-",IF(ISNA(VLOOKUP(BK184,'BBG - VaR Data (Sample, Indus )'!C:N,5,0)),"-",VLOOKUP(BK184,'BBG - VaR Data (Sample, Indus )'!C:N,5,0)))</f>
        <v>-</v>
      </c>
      <c r="BM184" s="11" t="str">
        <f>IF(OR(AS184="Cash", AS184="Cash Adjustments"),"-",IF(ISNA(VLOOKUP(BK184,'BBG - Scenarios (Sample View)'!C:Z,14,0)),"-",VLOOKUP(BK184,'BBG - Scenarios (Sample View)'!C:Z,14,0)))</f>
        <v>-</v>
      </c>
      <c r="BN184" s="14">
        <f t="shared" ref="BN184:BN194" si="89">AB184</f>
        <v>13720625.356037153</v>
      </c>
      <c r="BO184" s="1">
        <f t="shared" ref="BO184:BO194" si="90">BN184/SUM($BN$2:$BN$154)</f>
        <v>2.6915049259372433E-2</v>
      </c>
      <c r="BP184" t="str">
        <f>IF(BC184&lt;&gt;0,MaturityBucket(BG184),"")</f>
        <v/>
      </c>
      <c r="BQ184" s="11" t="str">
        <f>IF(OR(T184="Cash",T184="Cash Adjustments"),T184,VLOOKUP(AL184,'SFC Classifcation'!$A:$C,2,0))</f>
        <v>Cash Adjustments</v>
      </c>
      <c r="BR184" s="1" t="str">
        <f>IF(S184="Bond",BH184/'SFC Report'!$B$7,"")</f>
        <v/>
      </c>
      <c r="BS184" t="str">
        <f>IF(OR(T184="Cash",T184="Cash Adjustments"),"-",_xll.BDP(R184&amp;" FIGI",$BS$1))</f>
        <v>-</v>
      </c>
      <c r="BT184" t="str">
        <f>IF(OR(T184="Cash",T184="Cash Adjustments"),"-",_xll.BDP(R184&amp;" FIGI",$BT$1))</f>
        <v>-</v>
      </c>
      <c r="BU184" t="str">
        <f>IF(OR(T184="Cash",T184="Cash Adjustments"),"-",_xll.BDP(R184&amp;" FIGI",$BU$1))</f>
        <v>-</v>
      </c>
    </row>
    <row r="185" spans="1:73">
      <c r="A185" s="254" t="s">
        <v>119</v>
      </c>
      <c r="B185" s="254" t="s">
        <v>120</v>
      </c>
      <c r="C185" s="254" t="s">
        <v>120</v>
      </c>
      <c r="D185" s="254" t="s">
        <v>20</v>
      </c>
      <c r="E185" s="254"/>
      <c r="F185" s="254" t="s">
        <v>20</v>
      </c>
      <c r="G185" s="254" t="s">
        <v>21</v>
      </c>
      <c r="H185" s="270">
        <v>-134727.56</v>
      </c>
      <c r="I185" s="270">
        <v>1</v>
      </c>
      <c r="J185" s="270">
        <v>-134727.56</v>
      </c>
      <c r="K185" s="270">
        <v>-134727.56</v>
      </c>
      <c r="L185" s="270">
        <v>0</v>
      </c>
      <c r="M185" s="270">
        <v>0</v>
      </c>
      <c r="N185" s="270">
        <v>-134727.56</v>
      </c>
      <c r="O185" s="255">
        <v>1.1999999999999999E-3</v>
      </c>
      <c r="Q185" s="1" t="str">
        <f t="shared" si="82"/>
        <v>Payable Investments</v>
      </c>
      <c r="R185" s="1" t="str">
        <f>_xll.BDP(G185&amp;" ISIN",$R$1)</f>
        <v>#N/A Invalid Security</v>
      </c>
      <c r="S185" s="1" t="str">
        <f>IF(Q185="Cash",Q185,IF(OR(Q185="Receivable Investments",Q185="Payable Investments"),"Cash Adjustments",_xll.BDP(R185&amp;" FIGI",$S$1)))</f>
        <v>Cash Adjustments</v>
      </c>
      <c r="T185" s="1" t="str">
        <f>IF(Q185="Cash",Q185,IF(OR(Q185="Receivable Investments",Q185="Payable Investments"),"Cash Adjustments",VLOOKUP(R185,LQA!E:S,3,0)))</f>
        <v>Cash Adjustments</v>
      </c>
      <c r="U185" s="1" t="str">
        <f>IF(Q185="Cash",Q185,IF(OR(Q185="Receivable Investments",Q185="Payable Investments"),"Cash Adjustments",_xll.BDP(R185&amp;" FIGI",$U$1)))</f>
        <v>Cash Adjustments</v>
      </c>
      <c r="V185" s="10">
        <f>IF(OR(Q185="Cash",Q185="Receivable Investments",Q185="Payable Investments"),0,IF(Q185="Investments",VLOOKUP(R185,LQA!E:Q,12,0),"Not Covered"))</f>
        <v>0</v>
      </c>
      <c r="W185" s="76">
        <f>IF(OR(Q185="Cash",Q185="Receivable Investments",Q185="Payable Investments"),0,IF(Q185="Investments",VLOOKUP(R185,LQA!E:Q,9,0),"Not Covered"))</f>
        <v>0</v>
      </c>
      <c r="X185" s="13" t="str">
        <f>IF(OR(H185=0,T188="Comdty"),"High",IF(V185&lt;='Liquidity Bucket'!$A$4,'Liquidity Bucket'!$I$4,IF(V185&lt;='Liquidity Bucket'!$A$5,'Liquidity Bucket'!$I$5,IF(V185&lt;='Liquidity Bucket'!$A$6,'Liquidity Bucket'!$I$6,IF(V185='Liquidity Bucket'!$A$8,'Liquidity Bucket'!$I$8,'Liquidity Bucket'!$I$7)))))</f>
        <v>High</v>
      </c>
      <c r="Y185" s="153">
        <f>IF(OR(Q185="Cash",Q185="Receivable Investments",Q185="Payable Investments"),0,IF(Q185="Investments",VLOOKUP(R185,'LQA Stress'!E:Q,12,0),"Not Covered"))</f>
        <v>0</v>
      </c>
      <c r="Z185" s="75">
        <f>IF(OR(Q185="Cash",Q185="Receivable Investments",Q185="Payable Investments"),0,IF(Q185="Investments",VLOOKUP(R185,'LQA Stress'!E:Q,9,0),"Not Covered"))</f>
        <v>0</v>
      </c>
      <c r="AA185" s="13" t="str">
        <f>IF(T188="Comdty","High",IF(Y185&lt;='Liquidity Bucket'!$A$4,'Liquidity Bucket'!$I$4,IF(Y185&lt;='Liquidity Bucket'!$A$5,'Liquidity Bucket'!$I$5,IF(Y185&lt;='Liquidity Bucket'!$A$6,'Liquidity Bucket'!$I$6,IF(Y185='Liquidity Bucket'!$A$8,'Liquidity Bucket'!$I$8,'Liquidity Bucket'!$I$7)))))</f>
        <v>High</v>
      </c>
      <c r="AB185" s="14">
        <f>(N185+M185)/'FX Rates'!$C$5</f>
        <v>-17379.716202270381</v>
      </c>
      <c r="AC185" s="15" t="str">
        <f>IF(X185="Not Covered", (H185/_xll.BDP(R185&amp;" FIGI",$AC$1)),"")</f>
        <v/>
      </c>
      <c r="AD185" s="16" t="str">
        <f>IF(X185="Not Covered", _xll.BDP(R185&amp;" FIGI",$AD$1),"")</f>
        <v/>
      </c>
      <c r="AE185" s="16" t="str">
        <f>IF(OR(T185="Corp",T185="Govt"),IF(_xll.BDP(R185&amp;" FIGI",$AE$1)="#N/A N/A","",_xll.BDP(R185&amp;" FIGI",$AE$1)),"")</f>
        <v/>
      </c>
      <c r="AF185" s="1" t="str">
        <f>IF(OR(T185="Corp",T185="Govt"),IF(_xll.BDP(R185&amp;" FIGI",$AF$1)="#N/A N/A","",_xll.BDP(R185&amp;" FIGI",$AF$1)),"")</f>
        <v/>
      </c>
      <c r="AG185" s="16" t="str">
        <f>IF(OR(T185="Corp",T185="Govt"),IF(_xll.BDP(R185&amp;" FIGI",$AG$1)="#N/A N/A","",_xll.BDP(R185&amp;" FIGI",$AG$1)),"")</f>
        <v/>
      </c>
      <c r="AH185" s="125">
        <f>IF(OR(S185="Cash",S185="M-Mkt"),21,IF(AE185="",0,VLOOKUP(AE185,'Rating Scale'!A:B,2,0)))</f>
        <v>0</v>
      </c>
      <c r="AI185" s="125">
        <f>IF(OR(S185="Cash",S185="M-Mkt"),21,IF(AF185="",0,VLOOKUP(AF185,'Rating Scale'!D:E,2,0)))</f>
        <v>0</v>
      </c>
      <c r="AJ185" s="125">
        <f>IF(OR(S185="Cash",S185="M-Mkt"),21,IF(AG185="",0,VLOOKUP(AG185,'Rating Scale'!G:H,2,0)))</f>
        <v>0</v>
      </c>
      <c r="AK185">
        <f t="shared" si="83"/>
        <v>0</v>
      </c>
      <c r="AL185" s="1" t="str">
        <f>IF(OR(U185="Cash",U185="Cash Adjustments"),_xll.BDP(G185&amp;" Curncy","Country"),IF(T185="Equity",_xll.BDP(R185&amp;" FIGI","CNTRY_ISSUE_ISO"),_xll.BDP(R185&amp;" FIGI",$AL$1)))</f>
        <v>HK</v>
      </c>
      <c r="AM185" s="126" t="str">
        <f>IF(OR(T185="Cash",T185="Cash Adjustments",T185="M-Mkt"), T185, IF(T185="Comdty",AS185, _xll.BDP(R185&amp;" FIGI", $AM$1)))</f>
        <v>Cash Adjustments</v>
      </c>
      <c r="AN185" s="126" t="str">
        <f>IF(OR(T185="Cash",T185="Cash Adjustments",T185="M-Mkt"), T185,  IF(T185="Comdty",AS185,_xll.BDP(R185&amp;" FIGI", $AN$1)))</f>
        <v>Cash Adjustments</v>
      </c>
      <c r="AO185" s="126" t="str">
        <f>IF(OR(T185="Cash",T185="Cash Adjustments",T185="M-Mkt"), T185,  IF(T185="Comdty",AS185,_xll.BDP(R185&amp;" FIGI", $AO$1)))</f>
        <v>Cash Adjustments</v>
      </c>
      <c r="AP185" s="13" t="str">
        <f>IF(OR(T185="Cash",T185="Cash Adjustments"), T185, IF(_xll.BDP(R185&amp;" FIGI", $AP$1)="#N/A Field Not Applicable","N",_xll.BDP(R185&amp;" FIGI", $AP$1)))</f>
        <v>Cash Adjustments</v>
      </c>
      <c r="AQ185" s="1" t="str">
        <f>IF(OR(T185="Cash",T185="Cash Adjustments"), T185, IF(_xll.BDP(R185&amp;" FIGI", $AQ$1)="#N/A Field Not Applicable"," ",_xll.BDP(R185&amp;" FIGI", $AQ$1)))</f>
        <v>Cash Adjustments</v>
      </c>
      <c r="AR185" s="1" t="str">
        <f>IF(OR(T185="Cash",T185="Cash Adjustments"), T185, IF(_xll.BDP(R185&amp;" FIGI", $AR$1)="#N/A Field Not Applicable"," ",_xll.BDP(R185&amp;" FIGI", $AR$1)))</f>
        <v>Cash Adjustments</v>
      </c>
      <c r="AS185" s="1" t="str">
        <f>VLOOKUP(T185,'SFC Classifcation'!$F$2:$H$7,3,0)</f>
        <v>Cash Adjustments</v>
      </c>
      <c r="AT185" s="22" t="str">
        <f t="shared" si="84"/>
        <v>Cash Adjustments</v>
      </c>
      <c r="AU185" s="1" t="str">
        <f t="shared" si="85"/>
        <v/>
      </c>
      <c r="AV185" s="1" t="str">
        <f>IF(OR(T185="Cash",T185="Cash Adjustments"),T185,VLOOKUP(AL185,'SFC Classifcation'!$A:$C,3,0))</f>
        <v>Cash Adjustments</v>
      </c>
      <c r="AW185" s="22" t="str">
        <f t="shared" si="86"/>
        <v>High</v>
      </c>
      <c r="AX185" s="22" t="str">
        <f t="shared" si="87"/>
        <v>High</v>
      </c>
      <c r="AY185" s="45" t="str">
        <f>IF(OR(T185="Cash",T185="Cash Adjustments"), T185, _xll.BDP(R185&amp;" FIGI", $AY$1))</f>
        <v>Cash Adjustments</v>
      </c>
      <c r="AZ185" s="45" t="str">
        <f>IF(OR(T185="Cash",T185="Cash Adjustments"), T185, _xll.BDP(R185&amp;" FIGI", $AZ$1))</f>
        <v>Cash Adjustments</v>
      </c>
      <c r="BA185" s="45" t="str">
        <f>IF(OR(T185="Cash",T185="Cash Adjustments"), T185, _xll.BDP(R185&amp;" FIGI", $BA$1))</f>
        <v>Cash Adjustments</v>
      </c>
      <c r="BB185" s="45" t="str">
        <f>IF(OR(AS185="Government",AS185="Corporate"),(AK185*AB185/'SFC Report'!$C$20),"")</f>
        <v/>
      </c>
      <c r="BC185" s="174" t="str">
        <f>IF(OR(T185="Cash",T185="Cash Adjustments", T185="FX Forward", T185="Repo", T185="Equity", T185="M-Mkt"), "", _xll.BDP(R185&amp;" FIGI", $BC$1))</f>
        <v/>
      </c>
      <c r="BD185" s="125" t="str">
        <f>IF(OR(T185="Cash",T185="Cash Adjustments",T185="FX Forward",T185="Repo", T185="Equity", T185="M-Mkt"),"",(BC185-'SFC Report'!$B$13)/365)</f>
        <v/>
      </c>
      <c r="BE185" s="82" t="str">
        <f t="shared" si="88"/>
        <v/>
      </c>
      <c r="BF185" s="5" t="str">
        <f>IF(BC185="","",BD185*AB185/'SFC Report'!$C$20)</f>
        <v/>
      </c>
      <c r="BG185" s="14" t="str" cm="1">
        <f t="array" ref="BG185">IF(OR(AS185="Corporate",AS185="Government"),_xll.BDP(G185&amp;" ISIN", $BG$1),"")</f>
        <v/>
      </c>
      <c r="BH185" s="140" t="str">
        <f>IF(OR(AS185="Corporate",AS185="Government"),BG185*BN185/'SFC Report'!$C$20,"")</f>
        <v/>
      </c>
      <c r="BI185" s="140" t="str">
        <f>IF(OR(AS185="Corporate",AS185="Government"),_xll.BDP(G185&amp;" ISIN", $BI$1),"")</f>
        <v/>
      </c>
      <c r="BJ185" s="140" t="str">
        <f>IF(OR(AS185="Corporate",AS185="Government"),BI185*AB185/'SFC Report'!$C$20,"")</f>
        <v/>
      </c>
      <c r="BK185" s="153" t="str">
        <f>IF(OR(T185="Cash",T185="Cash Adjustments"),"-",_xll.BDP(R185&amp;" FIGI",$BK$1))</f>
        <v>-</v>
      </c>
      <c r="BL185" s="11" t="str">
        <f>IF(OR(AS185="Cash", AS185="Cash Adjustments"),"-",IF(ISNA(VLOOKUP(BK185,'BBG - VaR Data (Sample, Indus )'!C:N,5,0)),"-",VLOOKUP(BK185,'BBG - VaR Data (Sample, Indus )'!C:N,5,0)))</f>
        <v>-</v>
      </c>
      <c r="BM185" s="11" t="str">
        <f>IF(OR(AS185="Cash", AS185="Cash Adjustments"),"-",IF(ISNA(VLOOKUP(BK185,'BBG - Scenarios (Sample View)'!C:Z,14,0)),"-",VLOOKUP(BK185,'BBG - Scenarios (Sample View)'!C:Z,14,0)))</f>
        <v>-</v>
      </c>
      <c r="BN185" s="14">
        <f t="shared" si="89"/>
        <v>-17379.716202270381</v>
      </c>
      <c r="BO185" s="1">
        <f t="shared" si="90"/>
        <v>-3.4092900692182843E-5</v>
      </c>
      <c r="BP185" t="str">
        <f>IF(BC185&lt;&gt;0,MaturityBucket(BG185),"")</f>
        <v/>
      </c>
      <c r="BQ185" s="11" t="str">
        <f>IF(OR(T185="Cash",T185="Cash Adjustments"),T185,VLOOKUP(AL185,'SFC Classifcation'!$A:$C,2,0))</f>
        <v>Cash Adjustments</v>
      </c>
      <c r="BR185" s="1" t="str">
        <f>IF(S185="Bond",BH185/'SFC Report'!$B$7,"")</f>
        <v/>
      </c>
      <c r="BS185" t="str">
        <f>IF(OR(T185="Cash",T185="Cash Adjustments"),"-",_xll.BDP(R185&amp;" FIGI",$BS$1))</f>
        <v>-</v>
      </c>
      <c r="BT185" t="str">
        <f>IF(OR(T185="Cash",T185="Cash Adjustments"),"-",_xll.BDP(R185&amp;" FIGI",$BT$1))</f>
        <v>-</v>
      </c>
      <c r="BU185" t="str">
        <f>IF(OR(T185="Cash",T185="Cash Adjustments"),"-",_xll.BDP(R185&amp;" FIGI",$BU$1))</f>
        <v>-</v>
      </c>
    </row>
    <row r="186" spans="1:73">
      <c r="A186" s="254" t="s">
        <v>119</v>
      </c>
      <c r="B186" s="254" t="s">
        <v>121</v>
      </c>
      <c r="C186" s="254" t="s">
        <v>121</v>
      </c>
      <c r="D186" s="254" t="s">
        <v>20</v>
      </c>
      <c r="E186" s="254"/>
      <c r="F186" s="254" t="s">
        <v>20</v>
      </c>
      <c r="G186" s="254" t="s">
        <v>21</v>
      </c>
      <c r="H186" s="270">
        <v>-10211085.48</v>
      </c>
      <c r="I186" s="270">
        <v>1</v>
      </c>
      <c r="J186" s="270">
        <v>-10211085.48</v>
      </c>
      <c r="K186" s="270">
        <v>-10211085.48</v>
      </c>
      <c r="L186" s="270">
        <v>0</v>
      </c>
      <c r="M186" s="270">
        <v>0</v>
      </c>
      <c r="N186" s="270">
        <v>-10211085.48</v>
      </c>
      <c r="O186" s="255">
        <v>8.9399999999999993E-2</v>
      </c>
      <c r="Q186" s="1" t="str">
        <f t="shared" si="82"/>
        <v>Payable Investments</v>
      </c>
      <c r="R186" s="1" t="str">
        <f>_xll.BDP(G186&amp;" ISIN",$R$1)</f>
        <v>#N/A Invalid Security</v>
      </c>
      <c r="S186" s="1" t="str">
        <f>IF(Q186="Cash",Q186,IF(OR(Q186="Receivable Investments",Q186="Payable Investments"),"Cash Adjustments",_xll.BDP(R186&amp;" FIGI",$S$1)))</f>
        <v>Cash Adjustments</v>
      </c>
      <c r="T186" s="1" t="str">
        <f>IF(Q186="Cash",Q186,IF(OR(Q186="Receivable Investments",Q186="Payable Investments"),"Cash Adjustments",VLOOKUP(R186,LQA!E:S,3,0)))</f>
        <v>Cash Adjustments</v>
      </c>
      <c r="U186" s="1" t="str">
        <f>IF(Q186="Cash",Q186,IF(OR(Q186="Receivable Investments",Q186="Payable Investments"),"Cash Adjustments",_xll.BDP(R186&amp;" FIGI",$U$1)))</f>
        <v>Cash Adjustments</v>
      </c>
      <c r="V186" s="10">
        <f>IF(OR(Q186="Cash",Q186="Receivable Investments",Q186="Payable Investments"),0,IF(Q186="Investments",VLOOKUP(R186,LQA!E:Q,12,0),"Not Covered"))</f>
        <v>0</v>
      </c>
      <c r="W186" s="76">
        <f>IF(OR(Q186="Cash",Q186="Receivable Investments",Q186="Payable Investments"),0,IF(Q186="Investments",VLOOKUP(R186,LQA!E:Q,9,0),"Not Covered"))</f>
        <v>0</v>
      </c>
      <c r="X186" s="13" t="str">
        <f>IF(OR(H186=0,T189="Comdty"),"High",IF(V186&lt;='Liquidity Bucket'!$A$4,'Liquidity Bucket'!$I$4,IF(V186&lt;='Liquidity Bucket'!$A$5,'Liquidity Bucket'!$I$5,IF(V186&lt;='Liquidity Bucket'!$A$6,'Liquidity Bucket'!$I$6,IF(V186='Liquidity Bucket'!$A$8,'Liquidity Bucket'!$I$8,'Liquidity Bucket'!$I$7)))))</f>
        <v>High</v>
      </c>
      <c r="Y186" s="153">
        <f>IF(OR(Q186="Cash",Q186="Receivable Investments",Q186="Payable Investments"),0,IF(Q186="Investments",VLOOKUP(R186,'LQA Stress'!E:Q,12,0),"Not Covered"))</f>
        <v>0</v>
      </c>
      <c r="Z186" s="75">
        <f>IF(OR(Q186="Cash",Q186="Receivable Investments",Q186="Payable Investments"),0,IF(Q186="Investments",VLOOKUP(R186,'LQA Stress'!E:Q,9,0),"Not Covered"))</f>
        <v>0</v>
      </c>
      <c r="AA186" s="13" t="str">
        <f>IF(T189="Comdty","High",IF(Y186&lt;='Liquidity Bucket'!$A$4,'Liquidity Bucket'!$I$4,IF(Y186&lt;='Liquidity Bucket'!$A$5,'Liquidity Bucket'!$I$5,IF(Y186&lt;='Liquidity Bucket'!$A$6,'Liquidity Bucket'!$I$6,IF(Y186='Liquidity Bucket'!$A$8,'Liquidity Bucket'!$I$8,'Liquidity Bucket'!$I$7)))))</f>
        <v>High</v>
      </c>
      <c r="AB186" s="14">
        <f>(N186+M186)/'FX Rates'!$C$5</f>
        <v>-1317219.4891640868</v>
      </c>
      <c r="AC186" s="15" t="str">
        <f>IF(X186="Not Covered", (H186/_xll.BDP(R186&amp;" FIGI",$AC$1)),"")</f>
        <v/>
      </c>
      <c r="AD186" s="16" t="str">
        <f>IF(X186="Not Covered", _xll.BDP(R186&amp;" FIGI",$AD$1),"")</f>
        <v/>
      </c>
      <c r="AE186" s="16" t="str">
        <f>IF(OR(T186="Corp",T186="Govt"),IF(_xll.BDP(R186&amp;" FIGI",$AE$1)="#N/A N/A","",_xll.BDP(R186&amp;" FIGI",$AE$1)),"")</f>
        <v/>
      </c>
      <c r="AF186" s="1" t="str">
        <f>IF(OR(T186="Corp",T186="Govt"),IF(_xll.BDP(R186&amp;" FIGI",$AF$1)="#N/A N/A","",_xll.BDP(R186&amp;" FIGI",$AF$1)),"")</f>
        <v/>
      </c>
      <c r="AG186" s="16" t="str">
        <f>IF(OR(T186="Corp",T186="Govt"),IF(_xll.BDP(R186&amp;" FIGI",$AG$1)="#N/A N/A","",_xll.BDP(R186&amp;" FIGI",$AG$1)),"")</f>
        <v/>
      </c>
      <c r="AH186" s="125">
        <f>IF(OR(S186="Cash",S186="M-Mkt"),21,IF(AE186="",0,VLOOKUP(AE186,'Rating Scale'!A:B,2,0)))</f>
        <v>0</v>
      </c>
      <c r="AI186" s="125">
        <f>IF(OR(S186="Cash",S186="M-Mkt"),21,IF(AF186="",0,VLOOKUP(AF186,'Rating Scale'!D:E,2,0)))</f>
        <v>0</v>
      </c>
      <c r="AJ186" s="125">
        <f>IF(OR(S186="Cash",S186="M-Mkt"),21,IF(AG186="",0,VLOOKUP(AG186,'Rating Scale'!G:H,2,0)))</f>
        <v>0</v>
      </c>
      <c r="AK186">
        <f t="shared" si="83"/>
        <v>0</v>
      </c>
      <c r="AL186" s="1" t="str">
        <f>IF(OR(U186="Cash",U186="Cash Adjustments"),_xll.BDP(G186&amp;" Curncy","Country"),IF(T186="Equity",_xll.BDP(R186&amp;" FIGI","CNTRY_ISSUE_ISO"),_xll.BDP(R186&amp;" FIGI",$AL$1)))</f>
        <v>HK</v>
      </c>
      <c r="AM186" s="126" t="str">
        <f>IF(OR(T186="Cash",T186="Cash Adjustments",T186="M-Mkt"), T186, IF(T186="Comdty",AS186, _xll.BDP(R186&amp;" FIGI", $AM$1)))</f>
        <v>Cash Adjustments</v>
      </c>
      <c r="AN186" s="126" t="str">
        <f>IF(OR(T186="Cash",T186="Cash Adjustments",T186="M-Mkt"), T186,  IF(T186="Comdty",AS186,_xll.BDP(R186&amp;" FIGI", $AN$1)))</f>
        <v>Cash Adjustments</v>
      </c>
      <c r="AO186" s="126" t="str">
        <f>IF(OR(T186="Cash",T186="Cash Adjustments",T186="M-Mkt"), T186,  IF(T186="Comdty",AS186,_xll.BDP(R186&amp;" FIGI", $AO$1)))</f>
        <v>Cash Adjustments</v>
      </c>
      <c r="AP186" s="13" t="str">
        <f>IF(OR(T186="Cash",T186="Cash Adjustments"), T186, IF(_xll.BDP(R186&amp;" FIGI", $AP$1)="#N/A Field Not Applicable","N",_xll.BDP(R186&amp;" FIGI", $AP$1)))</f>
        <v>Cash Adjustments</v>
      </c>
      <c r="AQ186" s="1" t="str">
        <f>IF(OR(T186="Cash",T186="Cash Adjustments"), T186, IF(_xll.BDP(R186&amp;" FIGI", $AQ$1)="#N/A Field Not Applicable"," ",_xll.BDP(R186&amp;" FIGI", $AQ$1)))</f>
        <v>Cash Adjustments</v>
      </c>
      <c r="AR186" s="1" t="str">
        <f>IF(OR(T186="Cash",T186="Cash Adjustments"), T186, IF(_xll.BDP(R186&amp;" FIGI", $AR$1)="#N/A Field Not Applicable"," ",_xll.BDP(R186&amp;" FIGI", $AR$1)))</f>
        <v>Cash Adjustments</v>
      </c>
      <c r="AS186" s="1" t="str">
        <f>VLOOKUP(T186,'SFC Classifcation'!$F$2:$H$7,3,0)</f>
        <v>Cash Adjustments</v>
      </c>
      <c r="AT186" s="22" t="str">
        <f t="shared" si="84"/>
        <v>Cash Adjustments</v>
      </c>
      <c r="AU186" s="1" t="str">
        <f t="shared" si="85"/>
        <v/>
      </c>
      <c r="AV186" s="1" t="str">
        <f>IF(OR(T186="Cash",T186="Cash Adjustments"),T186,VLOOKUP(AL186,'SFC Classifcation'!$A:$C,3,0))</f>
        <v>Cash Adjustments</v>
      </c>
      <c r="AW186" s="22" t="str">
        <f t="shared" si="86"/>
        <v>High</v>
      </c>
      <c r="AX186" s="22" t="str">
        <f t="shared" si="87"/>
        <v>High</v>
      </c>
      <c r="AY186" s="45" t="str">
        <f>IF(OR(T186="Cash",T186="Cash Adjustments"), T186, _xll.BDP(R186&amp;" FIGI", $AY$1))</f>
        <v>Cash Adjustments</v>
      </c>
      <c r="AZ186" s="45" t="str">
        <f>IF(OR(T186="Cash",T186="Cash Adjustments"), T186, _xll.BDP(R186&amp;" FIGI", $AZ$1))</f>
        <v>Cash Adjustments</v>
      </c>
      <c r="BA186" s="45" t="str">
        <f>IF(OR(T186="Cash",T186="Cash Adjustments"), T186, _xll.BDP(R186&amp;" FIGI", $BA$1))</f>
        <v>Cash Adjustments</v>
      </c>
      <c r="BB186" s="45" t="str">
        <f>IF(OR(AS186="Government",AS186="Corporate"),(AK186*AB186/'SFC Report'!$C$20),"")</f>
        <v/>
      </c>
      <c r="BC186" s="174" t="str">
        <f>IF(OR(T186="Cash",T186="Cash Adjustments", T186="FX Forward", T186="Repo", T186="Equity", T186="M-Mkt"), "", _xll.BDP(R186&amp;" FIGI", $BC$1))</f>
        <v/>
      </c>
      <c r="BD186" s="125" t="str">
        <f>IF(OR(T186="Cash",T186="Cash Adjustments",T186="FX Forward",T186="Repo", T186="Equity", T186="M-Mkt"),"",(BC186-'SFC Report'!$B$13)/365)</f>
        <v/>
      </c>
      <c r="BE186" s="82" t="str">
        <f t="shared" si="88"/>
        <v/>
      </c>
      <c r="BF186" s="5" t="str">
        <f>IF(BC186="","",BD186*AB186/'SFC Report'!$C$20)</f>
        <v/>
      </c>
      <c r="BG186" s="14" t="str" cm="1">
        <f t="array" ref="BG186">IF(OR(AS186="Corporate",AS186="Government"),_xll.BDP(G186&amp;" ISIN", $BG$1),"")</f>
        <v/>
      </c>
      <c r="BH186" s="140" t="str">
        <f>IF(OR(AS186="Corporate",AS186="Government"),BG186*BN186/'SFC Report'!$C$20,"")</f>
        <v/>
      </c>
      <c r="BI186" s="140" t="str">
        <f>IF(OR(AS186="Corporate",AS186="Government"),_xll.BDP(G186&amp;" ISIN", $BI$1),"")</f>
        <v/>
      </c>
      <c r="BJ186" s="140" t="str">
        <f>IF(OR(AS186="Corporate",AS186="Government"),BI186*AB186/'SFC Report'!$C$20,"")</f>
        <v/>
      </c>
      <c r="BK186" s="153" t="str">
        <f>IF(OR(T186="Cash",T186="Cash Adjustments"),"-",_xll.BDP(R186&amp;" FIGI",$BK$1))</f>
        <v>-</v>
      </c>
      <c r="BL186" s="11" t="str">
        <f>IF(OR(AS186="Cash", AS186="Cash Adjustments"),"-",IF(ISNA(VLOOKUP(BK186,'BBG - VaR Data (Sample, Indus )'!C:N,5,0)),"-",VLOOKUP(BK186,'BBG - VaR Data (Sample, Indus )'!C:N,5,0)))</f>
        <v>-</v>
      </c>
      <c r="BM186" s="11" t="str">
        <f>IF(OR(AS186="Cash", AS186="Cash Adjustments"),"-",IF(ISNA(VLOOKUP(BK186,'BBG - Scenarios (Sample View)'!C:Z,14,0)),"-",VLOOKUP(BK186,'BBG - Scenarios (Sample View)'!C:Z,14,0)))</f>
        <v>-</v>
      </c>
      <c r="BN186" s="14">
        <f t="shared" si="89"/>
        <v>-1317219.4891640868</v>
      </c>
      <c r="BO186" s="1">
        <f t="shared" si="90"/>
        <v>-2.583922125725651E-3</v>
      </c>
      <c r="BP186" t="str">
        <f>IF(BC186&lt;&gt;0,MaturityBucket(BG186),"")</f>
        <v/>
      </c>
      <c r="BQ186" s="11" t="str">
        <f>IF(OR(T186="Cash",T186="Cash Adjustments"),T186,VLOOKUP(AL186,'SFC Classifcation'!$A:$C,2,0))</f>
        <v>Cash Adjustments</v>
      </c>
      <c r="BR186" s="1" t="str">
        <f>IF(S186="Bond",BH186/'SFC Report'!$B$7,"")</f>
        <v/>
      </c>
      <c r="BS186" t="str">
        <f>IF(OR(T186="Cash",T186="Cash Adjustments"),"-",_xll.BDP(R186&amp;" FIGI",$BS$1))</f>
        <v>-</v>
      </c>
      <c r="BT186" t="str">
        <f>IF(OR(T186="Cash",T186="Cash Adjustments"),"-",_xll.BDP(R186&amp;" FIGI",$BT$1))</f>
        <v>-</v>
      </c>
      <c r="BU186" t="str">
        <f>IF(OR(T186="Cash",T186="Cash Adjustments"),"-",_xll.BDP(R186&amp;" FIGI",$BU$1))</f>
        <v>-</v>
      </c>
    </row>
    <row r="187" spans="1:73">
      <c r="A187" s="254" t="s">
        <v>119</v>
      </c>
      <c r="B187" s="254" t="s">
        <v>993</v>
      </c>
      <c r="C187" s="254" t="s">
        <v>993</v>
      </c>
      <c r="D187" s="254" t="s">
        <v>20</v>
      </c>
      <c r="E187" s="254"/>
      <c r="F187" s="254" t="s">
        <v>20</v>
      </c>
      <c r="G187" s="254" t="s">
        <v>21</v>
      </c>
      <c r="H187" s="270">
        <v>-106000</v>
      </c>
      <c r="I187" s="270">
        <v>1</v>
      </c>
      <c r="J187" s="270">
        <v>-106000</v>
      </c>
      <c r="K187" s="270">
        <v>-106000</v>
      </c>
      <c r="L187" s="270">
        <v>0</v>
      </c>
      <c r="M187" s="270">
        <v>0</v>
      </c>
      <c r="N187" s="270">
        <v>-106000</v>
      </c>
      <c r="O187" s="255">
        <v>8.9999999999999998E-4</v>
      </c>
      <c r="Q187" s="1" t="str">
        <f t="shared" si="82"/>
        <v>Payable Investments</v>
      </c>
      <c r="R187" s="1" t="str">
        <f>_xll.BDP(G187&amp;" ISIN",$R$1)</f>
        <v>#N/A Invalid Security</v>
      </c>
      <c r="S187" s="1" t="str">
        <f>IF(Q187="Cash",Q187,IF(OR(Q187="Receivable Investments",Q187="Payable Investments"),"Cash Adjustments",_xll.BDP(R187&amp;" FIGI",$S$1)))</f>
        <v>Cash Adjustments</v>
      </c>
      <c r="T187" s="1" t="str">
        <f>IF(Q187="Cash",Q187,IF(OR(Q187="Receivable Investments",Q187="Payable Investments"),"Cash Adjustments",VLOOKUP(R187,LQA!E:S,3,0)))</f>
        <v>Cash Adjustments</v>
      </c>
      <c r="U187" s="1" t="str">
        <f>IF(Q187="Cash",Q187,IF(OR(Q187="Receivable Investments",Q187="Payable Investments"),"Cash Adjustments",_xll.BDP(R187&amp;" FIGI",$U$1)))</f>
        <v>Cash Adjustments</v>
      </c>
      <c r="V187" s="10">
        <f>IF(OR(Q187="Cash",Q187="Receivable Investments",Q187="Payable Investments"),0,IF(Q187="Investments",VLOOKUP(R187,LQA!E:Q,12,0),"Not Covered"))</f>
        <v>0</v>
      </c>
      <c r="W187" s="76">
        <f>IF(OR(Q187="Cash",Q187="Receivable Investments",Q187="Payable Investments"),0,IF(Q187="Investments",VLOOKUP(R187,LQA!E:Q,9,0),"Not Covered"))</f>
        <v>0</v>
      </c>
      <c r="X187" s="13" t="str">
        <f>IF(OR(H187=0,T190="Comdty"),"High",IF(V187&lt;='Liquidity Bucket'!$A$4,'Liquidity Bucket'!$I$4,IF(V187&lt;='Liquidity Bucket'!$A$5,'Liquidity Bucket'!$I$5,IF(V187&lt;='Liquidity Bucket'!$A$6,'Liquidity Bucket'!$I$6,IF(V187='Liquidity Bucket'!$A$8,'Liquidity Bucket'!$I$8,'Liquidity Bucket'!$I$7)))))</f>
        <v>High</v>
      </c>
      <c r="Y187" s="153">
        <f>IF(OR(Q187="Cash",Q187="Receivable Investments",Q187="Payable Investments"),0,IF(Q187="Investments",VLOOKUP(R187,'LQA Stress'!E:Q,12,0),"Not Covered"))</f>
        <v>0</v>
      </c>
      <c r="Z187" s="75">
        <f>IF(OR(Q187="Cash",Q187="Receivable Investments",Q187="Payable Investments"),0,IF(Q187="Investments",VLOOKUP(R187,'LQA Stress'!E:Q,9,0),"Not Covered"))</f>
        <v>0</v>
      </c>
      <c r="AA187" s="13" t="str">
        <f>IF(T190="Comdty","High",IF(Y187&lt;='Liquidity Bucket'!$A$4,'Liquidity Bucket'!$I$4,IF(Y187&lt;='Liquidity Bucket'!$A$5,'Liquidity Bucket'!$I$5,IF(Y187&lt;='Liquidity Bucket'!$A$6,'Liquidity Bucket'!$I$6,IF(Y187='Liquidity Bucket'!$A$8,'Liquidity Bucket'!$I$8,'Liquidity Bucket'!$I$7)))))</f>
        <v>High</v>
      </c>
      <c r="AB187" s="14">
        <f>(N187+M187)/'FX Rates'!$C$5</f>
        <v>-13673.89060887513</v>
      </c>
      <c r="AC187" s="15" t="str">
        <f>IF(X187="Not Covered", (H187/_xll.BDP(R187&amp;" FIGI",$AC$1)),"")</f>
        <v/>
      </c>
      <c r="AD187" s="16" t="str">
        <f>IF(X187="Not Covered", _xll.BDP(R187&amp;" FIGI",$AD$1),"")</f>
        <v/>
      </c>
      <c r="AE187" s="16" t="str">
        <f>IF(OR(T187="Corp",T187="Govt"),IF(_xll.BDP(R187&amp;" FIGI",$AE$1)="#N/A N/A","",_xll.BDP(R187&amp;" FIGI",$AE$1)),"")</f>
        <v/>
      </c>
      <c r="AF187" s="1" t="str">
        <f>IF(OR(T187="Corp",T187="Govt"),IF(_xll.BDP(R187&amp;" FIGI",$AF$1)="#N/A N/A","",_xll.BDP(R187&amp;" FIGI",$AF$1)),"")</f>
        <v/>
      </c>
      <c r="AG187" s="16" t="str">
        <f>IF(OR(T187="Corp",T187="Govt"),IF(_xll.BDP(R187&amp;" FIGI",$AG$1)="#N/A N/A","",_xll.BDP(R187&amp;" FIGI",$AG$1)),"")</f>
        <v/>
      </c>
      <c r="AH187" s="125">
        <f>IF(OR(S187="Cash",S187="M-Mkt"),21,IF(AE187="",0,VLOOKUP(AE187,'Rating Scale'!A:B,2,0)))</f>
        <v>0</v>
      </c>
      <c r="AI187" s="125">
        <f>IF(OR(S187="Cash",S187="M-Mkt"),21,IF(AF187="",0,VLOOKUP(AF187,'Rating Scale'!D:E,2,0)))</f>
        <v>0</v>
      </c>
      <c r="AJ187" s="125">
        <f>IF(OR(S187="Cash",S187="M-Mkt"),21,IF(AG187="",0,VLOOKUP(AG187,'Rating Scale'!G:H,2,0)))</f>
        <v>0</v>
      </c>
      <c r="AK187">
        <f t="shared" si="83"/>
        <v>0</v>
      </c>
      <c r="AL187" s="1" t="str">
        <f>IF(OR(U187="Cash",U187="Cash Adjustments"),_xll.BDP(G187&amp;" Curncy","Country"),IF(T187="Equity",_xll.BDP(R187&amp;" FIGI","CNTRY_ISSUE_ISO"),_xll.BDP(R187&amp;" FIGI",$AL$1)))</f>
        <v>HK</v>
      </c>
      <c r="AM187" s="126" t="str">
        <f>IF(OR(T187="Cash",T187="Cash Adjustments",T187="M-Mkt"), T187, IF(T187="Comdty",AS187, _xll.BDP(R187&amp;" FIGI", $AM$1)))</f>
        <v>Cash Adjustments</v>
      </c>
      <c r="AN187" s="126" t="str">
        <f>IF(OR(T187="Cash",T187="Cash Adjustments",T187="M-Mkt"), T187,  IF(T187="Comdty",AS187,_xll.BDP(R187&amp;" FIGI", $AN$1)))</f>
        <v>Cash Adjustments</v>
      </c>
      <c r="AO187" s="126" t="str">
        <f>IF(OR(T187="Cash",T187="Cash Adjustments",T187="M-Mkt"), T187,  IF(T187="Comdty",AS187,_xll.BDP(R187&amp;" FIGI", $AO$1)))</f>
        <v>Cash Adjustments</v>
      </c>
      <c r="AP187" s="13" t="str">
        <f>IF(OR(T187="Cash",T187="Cash Adjustments"), T187, IF(_xll.BDP(R187&amp;" FIGI", $AP$1)="#N/A Field Not Applicable","N",_xll.BDP(R187&amp;" FIGI", $AP$1)))</f>
        <v>Cash Adjustments</v>
      </c>
      <c r="AQ187" s="1" t="str">
        <f>IF(OR(T187="Cash",T187="Cash Adjustments"), T187, IF(_xll.BDP(R187&amp;" FIGI", $AQ$1)="#N/A Field Not Applicable"," ",_xll.BDP(R187&amp;" FIGI", $AQ$1)))</f>
        <v>Cash Adjustments</v>
      </c>
      <c r="AR187" s="1" t="str">
        <f>IF(OR(T187="Cash",T187="Cash Adjustments"), T187, IF(_xll.BDP(R187&amp;" FIGI", $AR$1)="#N/A Field Not Applicable"," ",_xll.BDP(R187&amp;" FIGI", $AR$1)))</f>
        <v>Cash Adjustments</v>
      </c>
      <c r="AS187" s="1" t="str">
        <f>VLOOKUP(T187,'SFC Classifcation'!$F$2:$H$7,3,0)</f>
        <v>Cash Adjustments</v>
      </c>
      <c r="AT187" s="22" t="str">
        <f t="shared" si="84"/>
        <v>Cash Adjustments</v>
      </c>
      <c r="AU187" s="1" t="str">
        <f t="shared" si="85"/>
        <v/>
      </c>
      <c r="AV187" s="1" t="str">
        <f>IF(OR(T187="Cash",T187="Cash Adjustments"),T187,VLOOKUP(AL187,'SFC Classifcation'!$A:$C,3,0))</f>
        <v>Cash Adjustments</v>
      </c>
      <c r="AW187" s="22" t="str">
        <f t="shared" si="86"/>
        <v>High</v>
      </c>
      <c r="AX187" s="22" t="str">
        <f t="shared" si="87"/>
        <v>High</v>
      </c>
      <c r="AY187" s="45" t="str">
        <f>IF(OR(T187="Cash",T187="Cash Adjustments"), T187, _xll.BDP(R187&amp;" FIGI", $AY$1))</f>
        <v>Cash Adjustments</v>
      </c>
      <c r="AZ187" s="45" t="str">
        <f>IF(OR(T187="Cash",T187="Cash Adjustments"), T187, _xll.BDP(R187&amp;" FIGI", $AZ$1))</f>
        <v>Cash Adjustments</v>
      </c>
      <c r="BA187" s="45" t="str">
        <f>IF(OR(T187="Cash",T187="Cash Adjustments"), T187, _xll.BDP(R187&amp;" FIGI", $BA$1))</f>
        <v>Cash Adjustments</v>
      </c>
      <c r="BB187" s="45" t="str">
        <f>IF(OR(AS187="Government",AS187="Corporate"),(AK187*AB187/'SFC Report'!$C$20),"")</f>
        <v/>
      </c>
      <c r="BC187" s="174" t="str">
        <f>IF(OR(T187="Cash",T187="Cash Adjustments", T187="FX Forward", T187="Repo", T187="Equity", T187="M-Mkt"), "", _xll.BDP(R187&amp;" FIGI", $BC$1))</f>
        <v/>
      </c>
      <c r="BD187" s="125" t="str">
        <f>IF(OR(T187="Cash",T187="Cash Adjustments",T187="FX Forward",T187="Repo", T187="Equity", T187="M-Mkt"),"",(BC187-'SFC Report'!$B$13)/365)</f>
        <v/>
      </c>
      <c r="BE187" s="82" t="str">
        <f t="shared" si="88"/>
        <v/>
      </c>
      <c r="BF187" s="5" t="str">
        <f>IF(BC187="","",BD187*AB187/'SFC Report'!$C$20)</f>
        <v/>
      </c>
      <c r="BG187" s="14" t="str" cm="1">
        <f t="array" ref="BG187">IF(OR(AS187="Corporate",AS187="Government"),_xll.BDP(G187&amp;" ISIN", $BG$1),"")</f>
        <v/>
      </c>
      <c r="BH187" s="140" t="str">
        <f>IF(OR(AS187="Corporate",AS187="Government"),BG187*BN187/'SFC Report'!$C$20,"")</f>
        <v/>
      </c>
      <c r="BI187" s="140" t="str">
        <f>IF(OR(AS187="Corporate",AS187="Government"),_xll.BDP(G187&amp;" ISIN", $BI$1),"")</f>
        <v/>
      </c>
      <c r="BJ187" s="140" t="str">
        <f>IF(OR(AS187="Corporate",AS187="Government"),BI187*AB187/'SFC Report'!$C$20,"")</f>
        <v/>
      </c>
      <c r="BK187" s="153" t="str">
        <f>IF(OR(T187="Cash",T187="Cash Adjustments"),"-",_xll.BDP(R187&amp;" FIGI",$BK$1))</f>
        <v>-</v>
      </c>
      <c r="BL187" s="11" t="str">
        <f>IF(OR(AS187="Cash", AS187="Cash Adjustments"),"-",IF(ISNA(VLOOKUP(BK187,'BBG - VaR Data (Sample, Indus )'!C:N,5,0)),"-",VLOOKUP(BK187,'BBG - VaR Data (Sample, Indus )'!C:N,5,0)))</f>
        <v>-</v>
      </c>
      <c r="BM187" s="11" t="str">
        <f>IF(OR(AS187="Cash", AS187="Cash Adjustments"),"-",IF(ISNA(VLOOKUP(BK187,'BBG - Scenarios (Sample View)'!C:Z,14,0)),"-",VLOOKUP(BK187,'BBG - Scenarios (Sample View)'!C:Z,14,0)))</f>
        <v>-</v>
      </c>
      <c r="BN187" s="14">
        <f t="shared" si="89"/>
        <v>-13673.89060887513</v>
      </c>
      <c r="BO187" s="1">
        <f t="shared" si="90"/>
        <v>-2.6823372095296477E-5</v>
      </c>
      <c r="BP187" t="str">
        <f>IF(BC187&lt;&gt;0,MaturityBucket(BG187),"")</f>
        <v/>
      </c>
      <c r="BQ187" s="11" t="str">
        <f>IF(OR(T187="Cash",T187="Cash Adjustments"),T187,VLOOKUP(AL187,'SFC Classifcation'!$A:$C,2,0))</f>
        <v>Cash Adjustments</v>
      </c>
      <c r="BR187" s="1" t="str">
        <f>IF(S187="Bond",BH187/'SFC Report'!$B$7,"")</f>
        <v/>
      </c>
      <c r="BS187" t="str">
        <f>IF(OR(T187="Cash",T187="Cash Adjustments"),"-",_xll.BDP(R187&amp;" FIGI",$BS$1))</f>
        <v>-</v>
      </c>
      <c r="BT187" t="str">
        <f>IF(OR(T187="Cash",T187="Cash Adjustments"),"-",_xll.BDP(R187&amp;" FIGI",$BT$1))</f>
        <v>-</v>
      </c>
      <c r="BU187" t="str">
        <f>IF(OR(T187="Cash",T187="Cash Adjustments"),"-",_xll.BDP(R187&amp;" FIGI",$BU$1))</f>
        <v>-</v>
      </c>
    </row>
    <row r="188" spans="1:73">
      <c r="A188" s="254" t="s">
        <v>119</v>
      </c>
      <c r="B188" s="254" t="s">
        <v>122</v>
      </c>
      <c r="C188" s="254" t="s">
        <v>122</v>
      </c>
      <c r="D188" s="254" t="s">
        <v>20</v>
      </c>
      <c r="E188" s="254"/>
      <c r="F188" s="254" t="s">
        <v>20</v>
      </c>
      <c r="G188" s="254" t="s">
        <v>21</v>
      </c>
      <c r="H188" s="270">
        <v>-4331427.4800000004</v>
      </c>
      <c r="I188" s="270">
        <v>1</v>
      </c>
      <c r="J188" s="270">
        <v>-4331427.4800000004</v>
      </c>
      <c r="K188" s="270">
        <v>-4331427.4800000004</v>
      </c>
      <c r="L188" s="270">
        <v>0</v>
      </c>
      <c r="M188" s="270">
        <v>0</v>
      </c>
      <c r="N188" s="270">
        <v>-4331427.4800000004</v>
      </c>
      <c r="O188" s="255">
        <v>3.7900000000000003E-2</v>
      </c>
      <c r="Q188" s="1" t="str">
        <f t="shared" si="82"/>
        <v>Payable Investments</v>
      </c>
      <c r="R188" s="1" t="str">
        <f>_xll.BDP(G188&amp;" ISIN",$R$1)</f>
        <v>#N/A Invalid Security</v>
      </c>
      <c r="S188" s="1" t="str">
        <f>IF(Q188="Cash",Q188,IF(OR(Q188="Receivable Investments",Q188="Payable Investments"),"Cash Adjustments",_xll.BDP(R188&amp;" FIGI",$S$1)))</f>
        <v>Cash Adjustments</v>
      </c>
      <c r="T188" s="1" t="str">
        <f>IF(Q188="Cash",Q188,IF(OR(Q188="Receivable Investments",Q188="Payable Investments"),"Cash Adjustments",VLOOKUP(R188,LQA!E:S,3,0)))</f>
        <v>Cash Adjustments</v>
      </c>
      <c r="U188" s="1" t="str">
        <f>IF(Q188="Cash",Q188,IF(OR(Q188="Receivable Investments",Q188="Payable Investments"),"Cash Adjustments",_xll.BDP(R188&amp;" FIGI",$U$1)))</f>
        <v>Cash Adjustments</v>
      </c>
      <c r="V188" s="10">
        <f>IF(OR(Q188="Cash",Q188="Receivable Investments",Q188="Payable Investments"),0,IF(Q188="Investments",VLOOKUP(R188,LQA!E:Q,12,0),"Not Covered"))</f>
        <v>0</v>
      </c>
      <c r="W188" s="76">
        <f>IF(OR(Q188="Cash",Q188="Receivable Investments",Q188="Payable Investments"),0,IF(Q188="Investments",VLOOKUP(R188,LQA!E:Q,9,0),"Not Covered"))</f>
        <v>0</v>
      </c>
      <c r="X188" s="13" t="str">
        <f>IF(OR(H188=0,T191="Comdty"),"High",IF(V188&lt;='Liquidity Bucket'!$A$4,'Liquidity Bucket'!$I$4,IF(V188&lt;='Liquidity Bucket'!$A$5,'Liquidity Bucket'!$I$5,IF(V188&lt;='Liquidity Bucket'!$A$6,'Liquidity Bucket'!$I$6,IF(V188='Liquidity Bucket'!$A$8,'Liquidity Bucket'!$I$8,'Liquidity Bucket'!$I$7)))))</f>
        <v>High</v>
      </c>
      <c r="Y188" s="153">
        <f>IF(OR(Q188="Cash",Q188="Receivable Investments",Q188="Payable Investments"),0,IF(Q188="Investments",VLOOKUP(R188,'LQA Stress'!E:Q,12,0),"Not Covered"))</f>
        <v>0</v>
      </c>
      <c r="Z188" s="75">
        <f>IF(OR(Q188="Cash",Q188="Receivable Investments",Q188="Payable Investments"),0,IF(Q188="Investments",VLOOKUP(R188,'LQA Stress'!E:Q,9,0),"Not Covered"))</f>
        <v>0</v>
      </c>
      <c r="AA188" s="13" t="str">
        <f>IF(T191="Comdty","High",IF(Y188&lt;='Liquidity Bucket'!$A$4,'Liquidity Bucket'!$I$4,IF(Y188&lt;='Liquidity Bucket'!$A$5,'Liquidity Bucket'!$I$5,IF(Y188&lt;='Liquidity Bucket'!$A$6,'Liquidity Bucket'!$I$6,IF(Y188='Liquidity Bucket'!$A$8,'Liquidity Bucket'!$I$8,'Liquidity Bucket'!$I$7)))))</f>
        <v>High</v>
      </c>
      <c r="AB188" s="14">
        <f>(N188+M188)/'FX Rates'!$C$5</f>
        <v>-558749.67492260074</v>
      </c>
      <c r="AC188" s="15" t="str">
        <f>IF(X188="Not Covered", (H188/_xll.BDP(R188&amp;" FIGI",$AC$1)),"")</f>
        <v/>
      </c>
      <c r="AD188" s="16" t="str">
        <f>IF(X188="Not Covered", _xll.BDP(R188&amp;" FIGI",$AD$1),"")</f>
        <v/>
      </c>
      <c r="AE188" s="16" t="str">
        <f>IF(OR(T188="Corp",T188="Govt"),IF(_xll.BDP(R188&amp;" FIGI",$AE$1)="#N/A N/A","",_xll.BDP(R188&amp;" FIGI",$AE$1)),"")</f>
        <v/>
      </c>
      <c r="AF188" s="1" t="str">
        <f>IF(OR(T188="Corp",T188="Govt"),IF(_xll.BDP(R188&amp;" FIGI",$AF$1)="#N/A N/A","",_xll.BDP(R188&amp;" FIGI",$AF$1)),"")</f>
        <v/>
      </c>
      <c r="AG188" s="16" t="str">
        <f>IF(OR(T188="Corp",T188="Govt"),IF(_xll.BDP(R188&amp;" FIGI",$AG$1)="#N/A N/A","",_xll.BDP(R188&amp;" FIGI",$AG$1)),"")</f>
        <v/>
      </c>
      <c r="AH188" s="125">
        <f>IF(OR(S188="Cash",S188="M-Mkt"),21,IF(AE188="",0,VLOOKUP(AE188,'Rating Scale'!A:B,2,0)))</f>
        <v>0</v>
      </c>
      <c r="AI188" s="125">
        <f>IF(OR(S188="Cash",S188="M-Mkt"),21,IF(AF188="",0,VLOOKUP(AF188,'Rating Scale'!D:E,2,0)))</f>
        <v>0</v>
      </c>
      <c r="AJ188" s="125">
        <f>IF(OR(S188="Cash",S188="M-Mkt"),21,IF(AG188="",0,VLOOKUP(AG188,'Rating Scale'!G:H,2,0)))</f>
        <v>0</v>
      </c>
      <c r="AK188">
        <f t="shared" si="83"/>
        <v>0</v>
      </c>
      <c r="AL188" s="1" t="str">
        <f>IF(OR(U188="Cash",U188="Cash Adjustments"),_xll.BDP(G188&amp;" Curncy","Country"),IF(T188="Equity",_xll.BDP(R188&amp;" FIGI","CNTRY_ISSUE_ISO"),_xll.BDP(R188&amp;" FIGI",$AL$1)))</f>
        <v>HK</v>
      </c>
      <c r="AM188" s="126" t="str">
        <f>IF(OR(T188="Cash",T188="Cash Adjustments",T188="M-Mkt"), T188, IF(T188="Comdty",AS188, _xll.BDP(R188&amp;" FIGI", $AM$1)))</f>
        <v>Cash Adjustments</v>
      </c>
      <c r="AN188" s="126" t="str">
        <f>IF(OR(T188="Cash",T188="Cash Adjustments",T188="M-Mkt"), T188,  IF(T188="Comdty",AS188,_xll.BDP(R188&amp;" FIGI", $AN$1)))</f>
        <v>Cash Adjustments</v>
      </c>
      <c r="AO188" s="126" t="str">
        <f>IF(OR(T188="Cash",T188="Cash Adjustments",T188="M-Mkt"), T188,  IF(T188="Comdty",AS188,_xll.BDP(R188&amp;" FIGI", $AO$1)))</f>
        <v>Cash Adjustments</v>
      </c>
      <c r="AP188" s="13" t="str">
        <f>IF(OR(T188="Cash",T188="Cash Adjustments"), T188, IF(_xll.BDP(R188&amp;" FIGI", $AP$1)="#N/A Field Not Applicable","N",_xll.BDP(R188&amp;" FIGI", $AP$1)))</f>
        <v>Cash Adjustments</v>
      </c>
      <c r="AQ188" s="1" t="str">
        <f>IF(OR(T188="Cash",T188="Cash Adjustments"), T188, IF(_xll.BDP(R188&amp;" FIGI", $AQ$1)="#N/A Field Not Applicable"," ",_xll.BDP(R188&amp;" FIGI", $AQ$1)))</f>
        <v>Cash Adjustments</v>
      </c>
      <c r="AR188" s="1" t="str">
        <f>IF(OR(T188="Cash",T188="Cash Adjustments"), T188, IF(_xll.BDP(R188&amp;" FIGI", $AR$1)="#N/A Field Not Applicable"," ",_xll.BDP(R188&amp;" FIGI", $AR$1)))</f>
        <v>Cash Adjustments</v>
      </c>
      <c r="AS188" s="1" t="str">
        <f>VLOOKUP(T188,'SFC Classifcation'!$F$2:$H$7,3,0)</f>
        <v>Cash Adjustments</v>
      </c>
      <c r="AT188" s="22" t="str">
        <f t="shared" si="84"/>
        <v>Cash Adjustments</v>
      </c>
      <c r="AU188" s="1" t="str">
        <f t="shared" si="85"/>
        <v/>
      </c>
      <c r="AV188" s="1" t="str">
        <f>IF(OR(T188="Cash",T188="Cash Adjustments"),T188,VLOOKUP(AL188,'SFC Classifcation'!$A:$C,3,0))</f>
        <v>Cash Adjustments</v>
      </c>
      <c r="AW188" s="22" t="str">
        <f t="shared" si="86"/>
        <v>High</v>
      </c>
      <c r="AX188" s="22" t="str">
        <f t="shared" si="87"/>
        <v>High</v>
      </c>
      <c r="AY188" s="45" t="str">
        <f>IF(OR(T188="Cash",T188="Cash Adjustments"), T188, _xll.BDP(R188&amp;" FIGI", $AY$1))</f>
        <v>Cash Adjustments</v>
      </c>
      <c r="AZ188" s="45" t="str">
        <f>IF(OR(T188="Cash",T188="Cash Adjustments"), T188, _xll.BDP(R188&amp;" FIGI", $AZ$1))</f>
        <v>Cash Adjustments</v>
      </c>
      <c r="BA188" s="45" t="str">
        <f>IF(OR(T188="Cash",T188="Cash Adjustments"), T188, _xll.BDP(R188&amp;" FIGI", $BA$1))</f>
        <v>Cash Adjustments</v>
      </c>
      <c r="BB188" s="45" t="str">
        <f>IF(OR(AS188="Government",AS188="Corporate"),(AK188*AB188/'SFC Report'!$C$20),"")</f>
        <v/>
      </c>
      <c r="BC188" s="174" t="str">
        <f>IF(OR(T188="Cash",T188="Cash Adjustments", T188="FX Forward", T188="Repo", T188="Equity", T188="M-Mkt"), "", _xll.BDP(R188&amp;" FIGI", $BC$1))</f>
        <v/>
      </c>
      <c r="BD188" s="125" t="str">
        <f>IF(OR(T188="Cash",T188="Cash Adjustments",T188="FX Forward",T188="Repo", T188="Equity", T188="M-Mkt"),"",(BC188-'SFC Report'!$B$13)/365)</f>
        <v/>
      </c>
      <c r="BE188" s="82" t="str">
        <f t="shared" si="88"/>
        <v/>
      </c>
      <c r="BF188" s="5" t="str">
        <f>IF(BC188="","",BD188*AB188/'SFC Report'!$C$20)</f>
        <v/>
      </c>
      <c r="BG188" s="14" t="str" cm="1">
        <f t="array" ref="BG188">IF(OR(AS188="Corporate",AS188="Government"),_xll.BDP(G188&amp;" ISIN", $BG$1),"")</f>
        <v/>
      </c>
      <c r="BH188" s="140" t="str">
        <f>IF(OR(AS188="Corporate",AS188="Government"),BG188*BN188/'SFC Report'!$C$20,"")</f>
        <v/>
      </c>
      <c r="BI188" s="140" t="str">
        <f>IF(OR(AS188="Corporate",AS188="Government"),_xll.BDP(G188&amp;" ISIN", $BI$1),"")</f>
        <v/>
      </c>
      <c r="BJ188" s="140" t="str">
        <f>IF(OR(AS188="Corporate",AS188="Government"),BI188*AB188/'SFC Report'!$C$20,"")</f>
        <v/>
      </c>
      <c r="BK188" s="153" t="str">
        <f>IF(OR(T188="Cash",T188="Cash Adjustments"),"-",_xll.BDP(R188&amp;" FIGI",$BK$1))</f>
        <v>-</v>
      </c>
      <c r="BL188" s="11" t="str">
        <f>IF(OR(AS188="Cash", AS188="Cash Adjustments"),"-",IF(ISNA(VLOOKUP(BK188,'BBG - VaR Data (Sample, Indus )'!C:N,5,0)),"-",VLOOKUP(BK188,'BBG - VaR Data (Sample, Indus )'!C:N,5,0)))</f>
        <v>-</v>
      </c>
      <c r="BM188" s="11" t="str">
        <f>IF(OR(AS188="Cash", AS188="Cash Adjustments"),"-",IF(ISNA(VLOOKUP(BK188,'BBG - Scenarios (Sample View)'!C:Z,14,0)),"-",VLOOKUP(BK188,'BBG - Scenarios (Sample View)'!C:Z,14,0)))</f>
        <v>-</v>
      </c>
      <c r="BN188" s="14">
        <f t="shared" si="89"/>
        <v>-558749.67492260074</v>
      </c>
      <c r="BO188" s="1">
        <f t="shared" si="90"/>
        <v>-1.0960706698097391E-3</v>
      </c>
      <c r="BP188" t="str">
        <f>IF(BC188&lt;&gt;0,MaturityBucket(BG188),"")</f>
        <v/>
      </c>
      <c r="BQ188" s="11" t="str">
        <f>IF(OR(T188="Cash",T188="Cash Adjustments"),T188,VLOOKUP(AL188,'SFC Classifcation'!$A:$C,2,0))</f>
        <v>Cash Adjustments</v>
      </c>
      <c r="BR188" s="1" t="str">
        <f>IF(S188="Bond",BH188/'SFC Report'!$B$7,"")</f>
        <v/>
      </c>
      <c r="BS188" t="str">
        <f>IF(OR(T188="Cash",T188="Cash Adjustments"),"-",_xll.BDP(R188&amp;" FIGI",$BS$1))</f>
        <v>-</v>
      </c>
      <c r="BT188" t="str">
        <f>IF(OR(T188="Cash",T188="Cash Adjustments"),"-",_xll.BDP(R188&amp;" FIGI",$BT$1))</f>
        <v>-</v>
      </c>
      <c r="BU188" t="str">
        <f>IF(OR(T188="Cash",T188="Cash Adjustments"),"-",_xll.BDP(R188&amp;" FIGI",$BU$1))</f>
        <v>-</v>
      </c>
    </row>
    <row r="189" spans="1:73">
      <c r="A189" s="254" t="s">
        <v>119</v>
      </c>
      <c r="B189" s="254" t="s">
        <v>123</v>
      </c>
      <c r="C189" s="254" t="s">
        <v>123</v>
      </c>
      <c r="D189" s="254" t="s">
        <v>22</v>
      </c>
      <c r="E189" s="254"/>
      <c r="F189" s="254" t="s">
        <v>22</v>
      </c>
      <c r="G189" s="254" t="s">
        <v>23</v>
      </c>
      <c r="H189" s="270">
        <v>-12552120</v>
      </c>
      <c r="I189" s="270">
        <v>1</v>
      </c>
      <c r="J189" s="270">
        <v>-12552120</v>
      </c>
      <c r="K189" s="270">
        <v>-97281440.420000002</v>
      </c>
      <c r="L189" s="270">
        <v>327.08</v>
      </c>
      <c r="M189" s="270">
        <v>0</v>
      </c>
      <c r="N189" s="270">
        <v>-97281113.340000004</v>
      </c>
      <c r="O189" s="255">
        <v>0.85150000000000003</v>
      </c>
      <c r="Q189" s="1" t="str">
        <f t="shared" si="82"/>
        <v>Payable Investments</v>
      </c>
      <c r="R189" s="1" t="str">
        <f>_xll.BDP(G189&amp;" ISIN",$R$1)</f>
        <v>#N/A Invalid Security</v>
      </c>
      <c r="S189" s="1" t="str">
        <f>IF(Q189="Cash",Q189,IF(OR(Q189="Receivable Investments",Q189="Payable Investments"),"Cash Adjustments",_xll.BDP(R189&amp;" FIGI",$S$1)))</f>
        <v>Cash Adjustments</v>
      </c>
      <c r="T189" s="1" t="str">
        <f>IF(Q189="Cash",Q189,IF(OR(Q189="Receivable Investments",Q189="Payable Investments"),"Cash Adjustments",VLOOKUP(R189,LQA!E:S,3,0)))</f>
        <v>Cash Adjustments</v>
      </c>
      <c r="U189" s="1" t="str">
        <f>IF(Q189="Cash",Q189,IF(OR(Q189="Receivable Investments",Q189="Payable Investments"),"Cash Adjustments",_xll.BDP(R189&amp;" FIGI",$U$1)))</f>
        <v>Cash Adjustments</v>
      </c>
      <c r="V189" s="10">
        <f>IF(OR(Q189="Cash",Q189="Receivable Investments",Q189="Payable Investments"),0,IF(Q189="Investments",VLOOKUP(R189,LQA!E:Q,12,0),"Not Covered"))</f>
        <v>0</v>
      </c>
      <c r="W189" s="76">
        <f>IF(OR(Q189="Cash",Q189="Receivable Investments",Q189="Payable Investments"),0,IF(Q189="Investments",VLOOKUP(R189,LQA!E:Q,9,0),"Not Covered"))</f>
        <v>0</v>
      </c>
      <c r="X189" s="13" t="str">
        <f>IF(OR(H189=0,T192="Comdty"),"High",IF(V189&lt;='Liquidity Bucket'!$A$4,'Liquidity Bucket'!$I$4,IF(V189&lt;='Liquidity Bucket'!$A$5,'Liquidity Bucket'!$I$5,IF(V189&lt;='Liquidity Bucket'!$A$6,'Liquidity Bucket'!$I$6,IF(V189='Liquidity Bucket'!$A$8,'Liquidity Bucket'!$I$8,'Liquidity Bucket'!$I$7)))))</f>
        <v>High</v>
      </c>
      <c r="Y189" s="153">
        <f>IF(OR(Q189="Cash",Q189="Receivable Investments",Q189="Payable Investments"),0,IF(Q189="Investments",VLOOKUP(R189,'LQA Stress'!E:Q,12,0),"Not Covered"))</f>
        <v>0</v>
      </c>
      <c r="Z189" s="75">
        <f>IF(OR(Q189="Cash",Q189="Receivable Investments",Q189="Payable Investments"),0,IF(Q189="Investments",VLOOKUP(R189,'LQA Stress'!E:Q,9,0),"Not Covered"))</f>
        <v>0</v>
      </c>
      <c r="AA189" s="13" t="str">
        <f>IF(T192="Comdty","High",IF(Y189&lt;='Liquidity Bucket'!$A$4,'Liquidity Bucket'!$I$4,IF(Y189&lt;='Liquidity Bucket'!$A$5,'Liquidity Bucket'!$I$5,IF(Y189&lt;='Liquidity Bucket'!$A$6,'Liquidity Bucket'!$I$6,IF(Y189='Liquidity Bucket'!$A$8,'Liquidity Bucket'!$I$8,'Liquidity Bucket'!$I$7)))))</f>
        <v>High</v>
      </c>
      <c r="AB189" s="14">
        <f>(N189+M189)/'FX Rates'!$C$5</f>
        <v>-12549163.22755418</v>
      </c>
      <c r="AC189" s="15" t="str">
        <f>IF(X189="Not Covered", (H189/_xll.BDP(R189&amp;" FIGI",$AC$1)),"")</f>
        <v/>
      </c>
      <c r="AD189" s="16" t="str">
        <f>IF(X189="Not Covered", _xll.BDP(R189&amp;" FIGI",$AD$1),"")</f>
        <v/>
      </c>
      <c r="AE189" s="16" t="str">
        <f>IF(OR(T189="Corp",T189="Govt"),IF(_xll.BDP(R189&amp;" FIGI",$AE$1)="#N/A N/A","",_xll.BDP(R189&amp;" FIGI",$AE$1)),"")</f>
        <v/>
      </c>
      <c r="AF189" s="1" t="str">
        <f>IF(OR(T189="Corp",T189="Govt"),IF(_xll.BDP(R189&amp;" FIGI",$AF$1)="#N/A N/A","",_xll.BDP(R189&amp;" FIGI",$AF$1)),"")</f>
        <v/>
      </c>
      <c r="AG189" s="16" t="str">
        <f>IF(OR(T189="Corp",T189="Govt"),IF(_xll.BDP(R189&amp;" FIGI",$AG$1)="#N/A N/A","",_xll.BDP(R189&amp;" FIGI",$AG$1)),"")</f>
        <v/>
      </c>
      <c r="AH189" s="125">
        <f>IF(OR(S189="Cash",S189="M-Mkt"),21,IF(AE189="",0,VLOOKUP(AE189,'Rating Scale'!A:B,2,0)))</f>
        <v>0</v>
      </c>
      <c r="AI189" s="125">
        <f>IF(OR(S189="Cash",S189="M-Mkt"),21,IF(AF189="",0,VLOOKUP(AF189,'Rating Scale'!D:E,2,0)))</f>
        <v>0</v>
      </c>
      <c r="AJ189" s="125">
        <f>IF(OR(S189="Cash",S189="M-Mkt"),21,IF(AG189="",0,VLOOKUP(AG189,'Rating Scale'!G:H,2,0)))</f>
        <v>0</v>
      </c>
      <c r="AK189">
        <f t="shared" si="83"/>
        <v>0</v>
      </c>
      <c r="AL189" s="1" t="str">
        <f>IF(OR(U189="Cash",U189="Cash Adjustments"),_xll.BDP(G189&amp;" Curncy","Country"),IF(T189="Equity",_xll.BDP(R189&amp;" FIGI","CNTRY_ISSUE_ISO"),_xll.BDP(R189&amp;" FIGI",$AL$1)))</f>
        <v>US</v>
      </c>
      <c r="AM189" s="126" t="str">
        <f>IF(OR(T189="Cash",T189="Cash Adjustments",T189="M-Mkt"), T189, IF(T189="Comdty",AS189, _xll.BDP(R189&amp;" FIGI", $AM$1)))</f>
        <v>Cash Adjustments</v>
      </c>
      <c r="AN189" s="126" t="str">
        <f>IF(OR(T189="Cash",T189="Cash Adjustments",T189="M-Mkt"), T189,  IF(T189="Comdty",AS189,_xll.BDP(R189&amp;" FIGI", $AN$1)))</f>
        <v>Cash Adjustments</v>
      </c>
      <c r="AO189" s="126" t="str">
        <f>IF(OR(T189="Cash",T189="Cash Adjustments",T189="M-Mkt"), T189,  IF(T189="Comdty",AS189,_xll.BDP(R189&amp;" FIGI", $AO$1)))</f>
        <v>Cash Adjustments</v>
      </c>
      <c r="AP189" s="13" t="str">
        <f>IF(OR(T189="Cash",T189="Cash Adjustments"), T189, IF(_xll.BDP(R189&amp;" FIGI", $AP$1)="#N/A Field Not Applicable","N",_xll.BDP(R189&amp;" FIGI", $AP$1)))</f>
        <v>Cash Adjustments</v>
      </c>
      <c r="AQ189" s="1" t="str">
        <f>IF(OR(T189="Cash",T189="Cash Adjustments"), T189, IF(_xll.BDP(R189&amp;" FIGI", $AQ$1)="#N/A Field Not Applicable"," ",_xll.BDP(R189&amp;" FIGI", $AQ$1)))</f>
        <v>Cash Adjustments</v>
      </c>
      <c r="AR189" s="1" t="str">
        <f>IF(OR(T189="Cash",T189="Cash Adjustments"), T189, IF(_xll.BDP(R189&amp;" FIGI", $AR$1)="#N/A Field Not Applicable"," ",_xll.BDP(R189&amp;" FIGI", $AR$1)))</f>
        <v>Cash Adjustments</v>
      </c>
      <c r="AS189" s="1" t="str">
        <f>VLOOKUP(T189,'SFC Classifcation'!$F$2:$H$7,3,0)</f>
        <v>Cash Adjustments</v>
      </c>
      <c r="AT189" s="22" t="str">
        <f t="shared" si="84"/>
        <v>Cash Adjustments</v>
      </c>
      <c r="AU189" s="1" t="str">
        <f t="shared" si="85"/>
        <v/>
      </c>
      <c r="AV189" s="1" t="str">
        <f>IF(OR(T189="Cash",T189="Cash Adjustments"),T189,VLOOKUP(AL189,'SFC Classifcation'!$A:$C,3,0))</f>
        <v>Cash Adjustments</v>
      </c>
      <c r="AW189" s="22" t="str">
        <f t="shared" si="86"/>
        <v>High</v>
      </c>
      <c r="AX189" s="22" t="str">
        <f t="shared" si="87"/>
        <v>High</v>
      </c>
      <c r="AY189" s="45" t="str">
        <f>IF(OR(T189="Cash",T189="Cash Adjustments"), T189, _xll.BDP(R189&amp;" FIGI", $AY$1))</f>
        <v>Cash Adjustments</v>
      </c>
      <c r="AZ189" s="45" t="str">
        <f>IF(OR(T189="Cash",T189="Cash Adjustments"), T189, _xll.BDP(R189&amp;" FIGI", $AZ$1))</f>
        <v>Cash Adjustments</v>
      </c>
      <c r="BA189" s="45" t="str">
        <f>IF(OR(T189="Cash",T189="Cash Adjustments"), T189, _xll.BDP(R189&amp;" FIGI", $BA$1))</f>
        <v>Cash Adjustments</v>
      </c>
      <c r="BB189" s="45" t="str">
        <f>IF(OR(AS189="Government",AS189="Corporate"),(AK189*AB189/'SFC Report'!$C$20),"")</f>
        <v/>
      </c>
      <c r="BC189" s="174" t="str">
        <f>IF(OR(T189="Cash",T189="Cash Adjustments", T189="FX Forward", T189="Repo", T189="Equity", T189="M-Mkt"), "", _xll.BDP(R189&amp;" FIGI", $BC$1))</f>
        <v/>
      </c>
      <c r="BD189" s="125" t="str">
        <f>IF(OR(T189="Cash",T189="Cash Adjustments",T189="FX Forward",T189="Repo", T189="Equity", T189="M-Mkt"),"",(BC189-'SFC Report'!$B$13)/365)</f>
        <v/>
      </c>
      <c r="BE189" s="82" t="str">
        <f t="shared" si="88"/>
        <v/>
      </c>
      <c r="BF189" s="5" t="str">
        <f>IF(BC189="","",BD189*AB189/'SFC Report'!$C$20)</f>
        <v/>
      </c>
      <c r="BG189" s="14" t="str" cm="1">
        <f t="array" ref="BG189">IF(OR(AS189="Corporate",AS189="Government"),_xll.BDP(G189&amp;" ISIN", $BG$1),"")</f>
        <v/>
      </c>
      <c r="BH189" s="140" t="str">
        <f>IF(OR(AS189="Corporate",AS189="Government"),BG189*BN189/'SFC Report'!$C$20,"")</f>
        <v/>
      </c>
      <c r="BI189" s="140" t="str">
        <f>IF(OR(AS189="Corporate",AS189="Government"),_xll.BDP(G189&amp;" ISIN", $BI$1),"")</f>
        <v/>
      </c>
      <c r="BJ189" s="140" t="str">
        <f>IF(OR(AS189="Corporate",AS189="Government"),BI189*AB189/'SFC Report'!$C$20,"")</f>
        <v/>
      </c>
      <c r="BK189" s="153" t="str">
        <f>IF(OR(T189="Cash",T189="Cash Adjustments"),"-",_xll.BDP(R189&amp;" FIGI",$BK$1))</f>
        <v>-</v>
      </c>
      <c r="BL189" s="11" t="str">
        <f>IF(OR(AS189="Cash", AS189="Cash Adjustments"),"-",IF(ISNA(VLOOKUP(BK189,'BBG - VaR Data (Sample, Indus )'!C:N,5,0)),"-",VLOOKUP(BK189,'BBG - VaR Data (Sample, Indus )'!C:N,5,0)))</f>
        <v>-</v>
      </c>
      <c r="BM189" s="11" t="str">
        <f>IF(OR(AS189="Cash", AS189="Cash Adjustments"),"-",IF(ISNA(VLOOKUP(BK189,'BBG - Scenarios (Sample View)'!C:Z,14,0)),"-",VLOOKUP(BK189,'BBG - Scenarios (Sample View)'!C:Z,14,0)))</f>
        <v>-</v>
      </c>
      <c r="BN189" s="14">
        <f t="shared" si="89"/>
        <v>-12549163.22755418</v>
      </c>
      <c r="BO189" s="1">
        <f t="shared" si="90"/>
        <v>-2.4617051895882355E-2</v>
      </c>
      <c r="BP189" t="str">
        <f>IF(BC189&lt;&gt;0,MaturityBucket(BG189),"")</f>
        <v/>
      </c>
      <c r="BQ189" s="11" t="str">
        <f>IF(OR(T189="Cash",T189="Cash Adjustments"),T189,VLOOKUP(AL189,'SFC Classifcation'!$A:$C,2,0))</f>
        <v>Cash Adjustments</v>
      </c>
      <c r="BR189" s="1" t="str">
        <f>IF(S189="Bond",BH189/'SFC Report'!$B$7,"")</f>
        <v/>
      </c>
      <c r="BS189" t="str">
        <f>IF(OR(T189="Cash",T189="Cash Adjustments"),"-",_xll.BDP(R189&amp;" FIGI",$BS$1))</f>
        <v>-</v>
      </c>
      <c r="BT189" t="str">
        <f>IF(OR(T189="Cash",T189="Cash Adjustments"),"-",_xll.BDP(R189&amp;" FIGI",$BT$1))</f>
        <v>-</v>
      </c>
      <c r="BU189" t="str">
        <f>IF(OR(T189="Cash",T189="Cash Adjustments"),"-",_xll.BDP(R189&amp;" FIGI",$BU$1))</f>
        <v>-</v>
      </c>
    </row>
    <row r="190" spans="1:73">
      <c r="A190" s="254" t="s">
        <v>119</v>
      </c>
      <c r="B190" s="254" t="s">
        <v>124</v>
      </c>
      <c r="C190" s="254" t="s">
        <v>124</v>
      </c>
      <c r="D190" s="254" t="s">
        <v>20</v>
      </c>
      <c r="E190" s="254"/>
      <c r="F190" s="254" t="s">
        <v>20</v>
      </c>
      <c r="G190" s="254" t="s">
        <v>21</v>
      </c>
      <c r="H190" s="270">
        <v>1006.98</v>
      </c>
      <c r="I190" s="270">
        <v>1</v>
      </c>
      <c r="J190" s="270">
        <v>1006.98</v>
      </c>
      <c r="K190" s="270">
        <v>1006.98</v>
      </c>
      <c r="L190" s="270">
        <v>0</v>
      </c>
      <c r="M190" s="270">
        <v>0</v>
      </c>
      <c r="N190" s="270">
        <v>1006.98</v>
      </c>
      <c r="O190" s="255">
        <v>0</v>
      </c>
      <c r="Q190" s="1" t="str">
        <f t="shared" si="82"/>
        <v>Payable Investments</v>
      </c>
      <c r="R190" s="1" t="str">
        <f>_xll.BDP(G190&amp;" ISIN",$R$1)</f>
        <v>#N/A Invalid Security</v>
      </c>
      <c r="S190" s="1" t="str">
        <f>IF(Q190="Cash",Q190,IF(OR(Q190="Receivable Investments",Q190="Payable Investments"),"Cash Adjustments",_xll.BDP(R190&amp;" FIGI",$S$1)))</f>
        <v>Cash Adjustments</v>
      </c>
      <c r="T190" s="1" t="str">
        <f>IF(Q190="Cash",Q190,IF(OR(Q190="Receivable Investments",Q190="Payable Investments"),"Cash Adjustments",VLOOKUP(R190,LQA!E:S,3,0)))</f>
        <v>Cash Adjustments</v>
      </c>
      <c r="U190" s="1" t="str">
        <f>IF(Q190="Cash",Q190,IF(OR(Q190="Receivable Investments",Q190="Payable Investments"),"Cash Adjustments",_xll.BDP(R190&amp;" FIGI",$U$1)))</f>
        <v>Cash Adjustments</v>
      </c>
      <c r="V190" s="10">
        <f>IF(OR(Q190="Cash",Q190="Receivable Investments",Q190="Payable Investments"),0,IF(Q190="Investments",VLOOKUP(R190,LQA!E:Q,12,0),"Not Covered"))</f>
        <v>0</v>
      </c>
      <c r="W190" s="76">
        <f>IF(OR(Q190="Cash",Q190="Receivable Investments",Q190="Payable Investments"),0,IF(Q190="Investments",VLOOKUP(R190,LQA!E:Q,9,0),"Not Covered"))</f>
        <v>0</v>
      </c>
      <c r="X190" s="13" t="str">
        <f>IF(OR(H190=0,T193="Comdty"),"High",IF(V190&lt;='Liquidity Bucket'!$A$4,'Liquidity Bucket'!$I$4,IF(V190&lt;='Liquidity Bucket'!$A$5,'Liquidity Bucket'!$I$5,IF(V190&lt;='Liquidity Bucket'!$A$6,'Liquidity Bucket'!$I$6,IF(V190='Liquidity Bucket'!$A$8,'Liquidity Bucket'!$I$8,'Liquidity Bucket'!$I$7)))))</f>
        <v>High</v>
      </c>
      <c r="Y190" s="153">
        <f>IF(OR(Q190="Cash",Q190="Receivable Investments",Q190="Payable Investments"),0,IF(Q190="Investments",VLOOKUP(R190,'LQA Stress'!E:Q,12,0),"Not Covered"))</f>
        <v>0</v>
      </c>
      <c r="Z190" s="75">
        <f>IF(OR(Q190="Cash",Q190="Receivable Investments",Q190="Payable Investments"),0,IF(Q190="Investments",VLOOKUP(R190,'LQA Stress'!E:Q,9,0),"Not Covered"))</f>
        <v>0</v>
      </c>
      <c r="AA190" s="13" t="str">
        <f>IF(T193="Comdty","High",IF(Y190&lt;='Liquidity Bucket'!$A$4,'Liquidity Bucket'!$I$4,IF(Y190&lt;='Liquidity Bucket'!$A$5,'Liquidity Bucket'!$I$5,IF(Y190&lt;='Liquidity Bucket'!$A$6,'Liquidity Bucket'!$I$6,IF(Y190='Liquidity Bucket'!$A$8,'Liquidity Bucket'!$I$8,'Liquidity Bucket'!$I$7)))))</f>
        <v>High</v>
      </c>
      <c r="AB190" s="14">
        <f>(N190+M190)/'FX Rates'!$C$5</f>
        <v>129.89938080495358</v>
      </c>
      <c r="AC190" s="15" t="str">
        <f>IF(X190="Not Covered", (H190/_xll.BDP(R190&amp;" FIGI",$AC$1)),"")</f>
        <v/>
      </c>
      <c r="AD190" s="16" t="str">
        <f>IF(X190="Not Covered", _xll.BDP(R190&amp;" FIGI",$AD$1),"")</f>
        <v/>
      </c>
      <c r="AE190" s="16" t="str">
        <f>IF(OR(T190="Corp",T190="Govt"),IF(_xll.BDP(R190&amp;" FIGI",$AE$1)="#N/A N/A","",_xll.BDP(R190&amp;" FIGI",$AE$1)),"")</f>
        <v/>
      </c>
      <c r="AF190" s="1" t="str">
        <f>IF(OR(T190="Corp",T190="Govt"),IF(_xll.BDP(R190&amp;" FIGI",$AF$1)="#N/A N/A","",_xll.BDP(R190&amp;" FIGI",$AF$1)),"")</f>
        <v/>
      </c>
      <c r="AG190" s="16" t="str">
        <f>IF(OR(T190="Corp",T190="Govt"),IF(_xll.BDP(R190&amp;" FIGI",$AG$1)="#N/A N/A","",_xll.BDP(R190&amp;" FIGI",$AG$1)),"")</f>
        <v/>
      </c>
      <c r="AH190" s="125">
        <f>IF(OR(S190="Cash",S190="M-Mkt"),21,IF(AE190="",0,VLOOKUP(AE190,'Rating Scale'!A:B,2,0)))</f>
        <v>0</v>
      </c>
      <c r="AI190" s="125">
        <f>IF(OR(S190="Cash",S190="M-Mkt"),21,IF(AF190="",0,VLOOKUP(AF190,'Rating Scale'!D:E,2,0)))</f>
        <v>0</v>
      </c>
      <c r="AJ190" s="125">
        <f>IF(OR(S190="Cash",S190="M-Mkt"),21,IF(AG190="",0,VLOOKUP(AG190,'Rating Scale'!G:H,2,0)))</f>
        <v>0</v>
      </c>
      <c r="AK190">
        <f t="shared" si="83"/>
        <v>0</v>
      </c>
      <c r="AL190" s="1" t="str">
        <f>IF(OR(U190="Cash",U190="Cash Adjustments"),_xll.BDP(G190&amp;" Curncy","Country"),IF(T190="Equity",_xll.BDP(R190&amp;" FIGI","CNTRY_ISSUE_ISO"),_xll.BDP(R190&amp;" FIGI",$AL$1)))</f>
        <v>HK</v>
      </c>
      <c r="AM190" s="126" t="str">
        <f>IF(OR(T190="Cash",T190="Cash Adjustments",T190="M-Mkt"), T190, IF(T190="Comdty",AS190, _xll.BDP(R190&amp;" FIGI", $AM$1)))</f>
        <v>Cash Adjustments</v>
      </c>
      <c r="AN190" s="126" t="str">
        <f>IF(OR(T190="Cash",T190="Cash Adjustments",T190="M-Mkt"), T190,  IF(T190="Comdty",AS190,_xll.BDP(R190&amp;" FIGI", $AN$1)))</f>
        <v>Cash Adjustments</v>
      </c>
      <c r="AO190" s="126" t="str">
        <f>IF(OR(T190="Cash",T190="Cash Adjustments",T190="M-Mkt"), T190,  IF(T190="Comdty",AS190,_xll.BDP(R190&amp;" FIGI", $AO$1)))</f>
        <v>Cash Adjustments</v>
      </c>
      <c r="AP190" s="13" t="str">
        <f>IF(OR(T190="Cash",T190="Cash Adjustments"), T190, IF(_xll.BDP(R190&amp;" FIGI", $AP$1)="#N/A Field Not Applicable","N",_xll.BDP(R190&amp;" FIGI", $AP$1)))</f>
        <v>Cash Adjustments</v>
      </c>
      <c r="AQ190" s="1" t="str">
        <f>IF(OR(T190="Cash",T190="Cash Adjustments"), T190, IF(_xll.BDP(R190&amp;" FIGI", $AQ$1)="#N/A Field Not Applicable"," ",_xll.BDP(R190&amp;" FIGI", $AQ$1)))</f>
        <v>Cash Adjustments</v>
      </c>
      <c r="AR190" s="1" t="str">
        <f>IF(OR(T190="Cash",T190="Cash Adjustments"), T190, IF(_xll.BDP(R190&amp;" FIGI", $AR$1)="#N/A Field Not Applicable"," ",_xll.BDP(R190&amp;" FIGI", $AR$1)))</f>
        <v>Cash Adjustments</v>
      </c>
      <c r="AS190" s="1" t="str">
        <f>VLOOKUP(T190,'SFC Classifcation'!$F$2:$H$7,3,0)</f>
        <v>Cash Adjustments</v>
      </c>
      <c r="AT190" s="22" t="str">
        <f t="shared" si="84"/>
        <v>Cash Adjustments</v>
      </c>
      <c r="AU190" s="1" t="str">
        <f t="shared" si="85"/>
        <v/>
      </c>
      <c r="AV190" s="1" t="str">
        <f>IF(OR(T190="Cash",T190="Cash Adjustments"),T190,VLOOKUP(AL190,'SFC Classifcation'!$A:$C,3,0))</f>
        <v>Cash Adjustments</v>
      </c>
      <c r="AW190" s="22" t="str">
        <f t="shared" si="86"/>
        <v>High</v>
      </c>
      <c r="AX190" s="22" t="str">
        <f t="shared" si="87"/>
        <v>High</v>
      </c>
      <c r="AY190" s="45" t="str">
        <f>IF(OR(T190="Cash",T190="Cash Adjustments"), T190, _xll.BDP(R190&amp;" FIGI", $AY$1))</f>
        <v>Cash Adjustments</v>
      </c>
      <c r="AZ190" s="45" t="str">
        <f>IF(OR(T190="Cash",T190="Cash Adjustments"), T190, _xll.BDP(R190&amp;" FIGI", $AZ$1))</f>
        <v>Cash Adjustments</v>
      </c>
      <c r="BA190" s="45" t="str">
        <f>IF(OR(T190="Cash",T190="Cash Adjustments"), T190, _xll.BDP(R190&amp;" FIGI", $BA$1))</f>
        <v>Cash Adjustments</v>
      </c>
      <c r="BB190" s="45" t="str">
        <f>IF(OR(AS190="Government",AS190="Corporate"),(AK190*AB190/'SFC Report'!$C$20),"")</f>
        <v/>
      </c>
      <c r="BC190" s="174" t="str">
        <f>IF(OR(T190="Cash",T190="Cash Adjustments", T190="FX Forward", T190="Repo", T190="Equity", T190="M-Mkt"), "", _xll.BDP(R190&amp;" FIGI", $BC$1))</f>
        <v/>
      </c>
      <c r="BD190" s="125" t="str">
        <f>IF(OR(T190="Cash",T190="Cash Adjustments",T190="FX Forward",T190="Repo", T190="Equity", T190="M-Mkt"),"",(BC190-'SFC Report'!$B$13)/365)</f>
        <v/>
      </c>
      <c r="BE190" s="82" t="str">
        <f t="shared" si="88"/>
        <v/>
      </c>
      <c r="BF190" s="5" t="str">
        <f>IF(BC190="","",BD190*AB190/'SFC Report'!$C$20)</f>
        <v/>
      </c>
      <c r="BG190" s="14" t="str" cm="1">
        <f t="array" ref="BG190">IF(OR(AS190="Corporate",AS190="Government"),_xll.BDP(G190&amp;" ISIN", $BG$1),"")</f>
        <v/>
      </c>
      <c r="BH190" s="140" t="str">
        <f>IF(OR(AS190="Corporate",AS190="Government"),BG190*BN190/'SFC Report'!$C$20,"")</f>
        <v/>
      </c>
      <c r="BI190" s="140" t="str">
        <f>IF(OR(AS190="Corporate",AS190="Government"),_xll.BDP(G190&amp;" ISIN", $BI$1),"")</f>
        <v/>
      </c>
      <c r="BJ190" s="140" t="str">
        <f>IF(OR(AS190="Corporate",AS190="Government"),BI190*AB190/'SFC Report'!$C$20,"")</f>
        <v/>
      </c>
      <c r="BK190" s="153" t="str">
        <f>IF(OR(T190="Cash",T190="Cash Adjustments"),"-",_xll.BDP(R190&amp;" FIGI",$BK$1))</f>
        <v>-</v>
      </c>
      <c r="BL190" s="11" t="str">
        <f>IF(OR(AS190="Cash", AS190="Cash Adjustments"),"-",IF(ISNA(VLOOKUP(BK190,'BBG - VaR Data (Sample, Indus )'!C:N,5,0)),"-",VLOOKUP(BK190,'BBG - VaR Data (Sample, Indus )'!C:N,5,0)))</f>
        <v>-</v>
      </c>
      <c r="BM190" s="11" t="str">
        <f>IF(OR(AS190="Cash", AS190="Cash Adjustments"),"-",IF(ISNA(VLOOKUP(BK190,'BBG - Scenarios (Sample View)'!C:Z,14,0)),"-",VLOOKUP(BK190,'BBG - Scenarios (Sample View)'!C:Z,14,0)))</f>
        <v>-</v>
      </c>
      <c r="BN190" s="14">
        <f t="shared" si="89"/>
        <v>129.89938080495358</v>
      </c>
      <c r="BO190" s="1">
        <f t="shared" si="90"/>
        <v>2.5481697389171365E-7</v>
      </c>
      <c r="BP190" t="str">
        <f>IF(BC190&lt;&gt;0,MaturityBucket(BG190),"")</f>
        <v/>
      </c>
      <c r="BQ190" s="11" t="str">
        <f>IF(OR(T190="Cash",T190="Cash Adjustments"),T190,VLOOKUP(AL190,'SFC Classifcation'!$A:$C,2,0))</f>
        <v>Cash Adjustments</v>
      </c>
      <c r="BR190" s="1" t="str">
        <f>IF(S190="Bond",BH190/'SFC Report'!$B$7,"")</f>
        <v/>
      </c>
      <c r="BS190" t="str">
        <f>IF(OR(T190="Cash",T190="Cash Adjustments"),"-",_xll.BDP(R190&amp;" FIGI",$BS$1))</f>
        <v>-</v>
      </c>
      <c r="BT190" t="str">
        <f>IF(OR(T190="Cash",T190="Cash Adjustments"),"-",_xll.BDP(R190&amp;" FIGI",$BT$1))</f>
        <v>-</v>
      </c>
      <c r="BU190" t="str">
        <f>IF(OR(T190="Cash",T190="Cash Adjustments"),"-",_xll.BDP(R190&amp;" FIGI",$BU$1))</f>
        <v>-</v>
      </c>
    </row>
    <row r="191" spans="1:73">
      <c r="A191" s="254" t="s">
        <v>119</v>
      </c>
      <c r="B191" s="254" t="s">
        <v>1165</v>
      </c>
      <c r="C191" s="254" t="s">
        <v>1165</v>
      </c>
      <c r="D191" s="254" t="s">
        <v>22</v>
      </c>
      <c r="E191" s="254"/>
      <c r="F191" s="254" t="s">
        <v>22</v>
      </c>
      <c r="G191" s="254" t="s">
        <v>23</v>
      </c>
      <c r="H191" s="270">
        <v>-4250</v>
      </c>
      <c r="I191" s="270">
        <v>1</v>
      </c>
      <c r="J191" s="270">
        <v>-4250</v>
      </c>
      <c r="K191" s="270">
        <v>-32938.35</v>
      </c>
      <c r="L191" s="270">
        <v>0</v>
      </c>
      <c r="M191" s="270">
        <v>0</v>
      </c>
      <c r="N191" s="270">
        <v>-32938.35</v>
      </c>
      <c r="O191" s="255">
        <v>2.9999999999999997E-4</v>
      </c>
      <c r="Q191" s="1" t="str">
        <f t="shared" si="82"/>
        <v>Payable Investments</v>
      </c>
      <c r="R191" s="1" t="str">
        <f>_xll.BDP(G191&amp;" ISIN",$R$1)</f>
        <v>#N/A Invalid Security</v>
      </c>
      <c r="S191" s="1" t="str">
        <f>IF(Q191="Cash",Q191,IF(OR(Q191="Receivable Investments",Q191="Payable Investments"),"Cash Adjustments",_xll.BDP(R191&amp;" FIGI",$S$1)))</f>
        <v>Cash Adjustments</v>
      </c>
      <c r="T191" s="1" t="str">
        <f>IF(Q191="Cash",Q191,IF(OR(Q191="Receivable Investments",Q191="Payable Investments"),"Cash Adjustments",VLOOKUP(R191,LQA!E:S,3,0)))</f>
        <v>Cash Adjustments</v>
      </c>
      <c r="U191" s="1" t="str">
        <f>IF(Q191="Cash",Q191,IF(OR(Q191="Receivable Investments",Q191="Payable Investments"),"Cash Adjustments",_xll.BDP(R191&amp;" FIGI",$U$1)))</f>
        <v>Cash Adjustments</v>
      </c>
      <c r="V191" s="10">
        <f>IF(OR(Q191="Cash",Q191="Receivable Investments",Q191="Payable Investments"),0,IF(Q191="Investments",VLOOKUP(R191,LQA!E:Q,12,0),"Not Covered"))</f>
        <v>0</v>
      </c>
      <c r="W191" s="76">
        <f>IF(OR(Q191="Cash",Q191="Receivable Investments",Q191="Payable Investments"),0,IF(Q191="Investments",VLOOKUP(R191,LQA!E:Q,9,0),"Not Covered"))</f>
        <v>0</v>
      </c>
      <c r="X191" s="13" t="str">
        <f>IF(OR(H191=0,T194="Comdty"),"High",IF(V191&lt;='Liquidity Bucket'!$A$4,'Liquidity Bucket'!$I$4,IF(V191&lt;='Liquidity Bucket'!$A$5,'Liquidity Bucket'!$I$5,IF(V191&lt;='Liquidity Bucket'!$A$6,'Liquidity Bucket'!$I$6,IF(V191='Liquidity Bucket'!$A$8,'Liquidity Bucket'!$I$8,'Liquidity Bucket'!$I$7)))))</f>
        <v>High</v>
      </c>
      <c r="Y191" s="153">
        <f>IF(OR(Q191="Cash",Q191="Receivable Investments",Q191="Payable Investments"),0,IF(Q191="Investments",VLOOKUP(R191,'LQA Stress'!E:Q,12,0),"Not Covered"))</f>
        <v>0</v>
      </c>
      <c r="Z191" s="75">
        <f>IF(OR(Q191="Cash",Q191="Receivable Investments",Q191="Payable Investments"),0,IF(Q191="Investments",VLOOKUP(R191,'LQA Stress'!E:Q,9,0),"Not Covered"))</f>
        <v>0</v>
      </c>
      <c r="AA191" s="13" t="str">
        <f>IF(T194="Comdty","High",IF(Y191&lt;='Liquidity Bucket'!$A$4,'Liquidity Bucket'!$I$4,IF(Y191&lt;='Liquidity Bucket'!$A$5,'Liquidity Bucket'!$I$5,IF(Y191&lt;='Liquidity Bucket'!$A$6,'Liquidity Bucket'!$I$6,IF(Y191='Liquidity Bucket'!$A$8,'Liquidity Bucket'!$I$8,'Liquidity Bucket'!$I$7)))))</f>
        <v>High</v>
      </c>
      <c r="AB191" s="14">
        <f>(N191+M191)/'FX Rates'!$C$5</f>
        <v>-4249.0131578947367</v>
      </c>
      <c r="AC191" s="15" t="str">
        <f>IF(X191="Not Covered", (H191/_xll.BDP(R191&amp;" FIGI",$AC$1)),"")</f>
        <v/>
      </c>
      <c r="AD191" s="16" t="str">
        <f>IF(X191="Not Covered", _xll.BDP(R191&amp;" FIGI",$AD$1),"")</f>
        <v/>
      </c>
      <c r="AE191" s="16" t="str">
        <f>IF(OR(T191="Corp",T191="Govt"),IF(_xll.BDP(R191&amp;" FIGI",$AE$1)="#N/A N/A","",_xll.BDP(R191&amp;" FIGI",$AE$1)),"")</f>
        <v/>
      </c>
      <c r="AF191" s="1" t="str">
        <f>IF(OR(T191="Corp",T191="Govt"),IF(_xll.BDP(R191&amp;" FIGI",$AF$1)="#N/A N/A","",_xll.BDP(R191&amp;" FIGI",$AF$1)),"")</f>
        <v/>
      </c>
      <c r="AG191" s="16" t="str">
        <f>IF(OR(T191="Corp",T191="Govt"),IF(_xll.BDP(R191&amp;" FIGI",$AG$1)="#N/A N/A","",_xll.BDP(R191&amp;" FIGI",$AG$1)),"")</f>
        <v/>
      </c>
      <c r="AH191" s="125">
        <f>IF(OR(S191="Cash",S191="M-Mkt"),21,IF(AE191="",0,VLOOKUP(AE191,'Rating Scale'!A:B,2,0)))</f>
        <v>0</v>
      </c>
      <c r="AI191" s="125">
        <f>IF(OR(S191="Cash",S191="M-Mkt"),21,IF(AF191="",0,VLOOKUP(AF191,'Rating Scale'!D:E,2,0)))</f>
        <v>0</v>
      </c>
      <c r="AJ191" s="125">
        <f>IF(OR(S191="Cash",S191="M-Mkt"),21,IF(AG191="",0,VLOOKUP(AG191,'Rating Scale'!G:H,2,0)))</f>
        <v>0</v>
      </c>
      <c r="AK191">
        <f t="shared" si="83"/>
        <v>0</v>
      </c>
      <c r="AL191" s="1" t="str">
        <f>IF(OR(U191="Cash",U191="Cash Adjustments"),_xll.BDP(G191&amp;" Curncy","Country"),IF(T191="Equity",_xll.BDP(R191&amp;" FIGI","CNTRY_ISSUE_ISO"),_xll.BDP(R191&amp;" FIGI",$AL$1)))</f>
        <v>US</v>
      </c>
      <c r="AM191" s="126" t="str">
        <f>IF(OR(T191="Cash",T191="Cash Adjustments",T191="M-Mkt"), T191, IF(T191="Comdty",AS191, _xll.BDP(R191&amp;" FIGI", $AM$1)))</f>
        <v>Cash Adjustments</v>
      </c>
      <c r="AN191" s="126" t="str">
        <f>IF(OR(T191="Cash",T191="Cash Adjustments",T191="M-Mkt"), T191,  IF(T191="Comdty",AS191,_xll.BDP(R191&amp;" FIGI", $AN$1)))</f>
        <v>Cash Adjustments</v>
      </c>
      <c r="AO191" s="126" t="str">
        <f>IF(OR(T191="Cash",T191="Cash Adjustments",T191="M-Mkt"), T191,  IF(T191="Comdty",AS191,_xll.BDP(R191&amp;" FIGI", $AO$1)))</f>
        <v>Cash Adjustments</v>
      </c>
      <c r="AP191" s="13" t="str">
        <f>IF(OR(T191="Cash",T191="Cash Adjustments"), T191, IF(_xll.BDP(R191&amp;" FIGI", $AP$1)="#N/A Field Not Applicable","N",_xll.BDP(R191&amp;" FIGI", $AP$1)))</f>
        <v>Cash Adjustments</v>
      </c>
      <c r="AQ191" s="1" t="str">
        <f>IF(OR(T191="Cash",T191="Cash Adjustments"), T191, IF(_xll.BDP(R191&amp;" FIGI", $AQ$1)="#N/A Field Not Applicable"," ",_xll.BDP(R191&amp;" FIGI", $AQ$1)))</f>
        <v>Cash Adjustments</v>
      </c>
      <c r="AR191" s="1" t="str">
        <f>IF(OR(T191="Cash",T191="Cash Adjustments"), T191, IF(_xll.BDP(R191&amp;" FIGI", $AR$1)="#N/A Field Not Applicable"," ",_xll.BDP(R191&amp;" FIGI", $AR$1)))</f>
        <v>Cash Adjustments</v>
      </c>
      <c r="AS191" s="1" t="str">
        <f>VLOOKUP(T191,'SFC Classifcation'!$F$2:$H$7,3,0)</f>
        <v>Cash Adjustments</v>
      </c>
      <c r="AT191" s="22" t="str">
        <f t="shared" si="84"/>
        <v>Cash Adjustments</v>
      </c>
      <c r="AU191" s="1" t="str">
        <f t="shared" si="85"/>
        <v/>
      </c>
      <c r="AV191" s="1" t="str">
        <f>IF(OR(T191="Cash",T191="Cash Adjustments"),T191,VLOOKUP(AL191,'SFC Classifcation'!$A:$C,3,0))</f>
        <v>Cash Adjustments</v>
      </c>
      <c r="AW191" s="22" t="str">
        <f t="shared" si="86"/>
        <v>High</v>
      </c>
      <c r="AX191" s="22" t="str">
        <f t="shared" si="87"/>
        <v>High</v>
      </c>
      <c r="AY191" s="45" t="str">
        <f>IF(OR(T191="Cash",T191="Cash Adjustments"), T191, _xll.BDP(R191&amp;" FIGI", $AY$1))</f>
        <v>Cash Adjustments</v>
      </c>
      <c r="AZ191" s="45" t="str">
        <f>IF(OR(T191="Cash",T191="Cash Adjustments"), T191, _xll.BDP(R191&amp;" FIGI", $AZ$1))</f>
        <v>Cash Adjustments</v>
      </c>
      <c r="BA191" s="45" t="str">
        <f>IF(OR(T191="Cash",T191="Cash Adjustments"), T191, _xll.BDP(R191&amp;" FIGI", $BA$1))</f>
        <v>Cash Adjustments</v>
      </c>
      <c r="BB191" s="45" t="str">
        <f>IF(OR(AS191="Government",AS191="Corporate"),(AK191*AB191/'SFC Report'!$C$20),"")</f>
        <v/>
      </c>
      <c r="BC191" s="174" t="str">
        <f>IF(OR(T191="Cash",T191="Cash Adjustments", T191="FX Forward", T191="Repo", T191="Equity", T191="M-Mkt"), "", _xll.BDP(R191&amp;" FIGI", $BC$1))</f>
        <v/>
      </c>
      <c r="BD191" s="125" t="str">
        <f>IF(OR(T191="Cash",T191="Cash Adjustments",T191="FX Forward",T191="Repo", T191="Equity", T191="M-Mkt"),"",(BC191-'SFC Report'!$B$13)/365)</f>
        <v/>
      </c>
      <c r="BE191" s="82" t="str">
        <f t="shared" si="88"/>
        <v/>
      </c>
      <c r="BF191" s="5" t="str">
        <f>IF(BC191="","",BD191*AB191/'SFC Report'!$C$20)</f>
        <v/>
      </c>
      <c r="BG191" s="14" t="str" cm="1">
        <f t="array" ref="BG191">IF(OR(AS191="Corporate",AS191="Government"),_xll.BDP(G191&amp;" ISIN", $BG$1),"")</f>
        <v/>
      </c>
      <c r="BH191" s="140" t="str">
        <f>IF(OR(AS191="Corporate",AS191="Government"),BG191*BN191/'SFC Report'!$C$20,"")</f>
        <v/>
      </c>
      <c r="BI191" s="140" t="str">
        <f>IF(OR(AS191="Corporate",AS191="Government"),_xll.BDP(G191&amp;" ISIN", $BI$1),"")</f>
        <v/>
      </c>
      <c r="BJ191" s="140" t="str">
        <f>IF(OR(AS191="Corporate",AS191="Government"),BI191*AB191/'SFC Report'!$C$20,"")</f>
        <v/>
      </c>
      <c r="BK191" s="153" t="str">
        <f>IF(OR(T191="Cash",T191="Cash Adjustments"),"-",_xll.BDP(R191&amp;" FIGI",$BK$1))</f>
        <v>-</v>
      </c>
      <c r="BL191" s="11" t="str">
        <f>IF(OR(AS191="Cash", AS191="Cash Adjustments"),"-",IF(ISNA(VLOOKUP(BK191,'BBG - VaR Data (Sample, Indus )'!C:N,5,0)),"-",VLOOKUP(BK191,'BBG - VaR Data (Sample, Indus )'!C:N,5,0)))</f>
        <v>-</v>
      </c>
      <c r="BM191" s="11" t="str">
        <f>IF(OR(AS191="Cash", AS191="Cash Adjustments"),"-",IF(ISNA(VLOOKUP(BK191,'BBG - Scenarios (Sample View)'!C:Z,14,0)),"-",VLOOKUP(BK191,'BBG - Scenarios (Sample View)'!C:Z,14,0)))</f>
        <v>-</v>
      </c>
      <c r="BN191" s="14">
        <f t="shared" si="89"/>
        <v>-4249.0131578947367</v>
      </c>
      <c r="BO191" s="1">
        <f t="shared" si="90"/>
        <v>-8.3350718703312135E-6</v>
      </c>
      <c r="BP191" t="str">
        <f>IF(BC191&lt;&gt;0,MaturityBucket(BG191),"")</f>
        <v/>
      </c>
      <c r="BQ191" s="11" t="str">
        <f>IF(OR(T191="Cash",T191="Cash Adjustments"),T191,VLOOKUP(AL191,'SFC Classifcation'!$A:$C,2,0))</f>
        <v>Cash Adjustments</v>
      </c>
      <c r="BR191" s="1" t="str">
        <f>IF(S191="Bond",BH191/'SFC Report'!$B$7,"")</f>
        <v/>
      </c>
      <c r="BS191" t="str">
        <f>IF(OR(T191="Cash",T191="Cash Adjustments"),"-",_xll.BDP(R191&amp;" FIGI",$BS$1))</f>
        <v>-</v>
      </c>
      <c r="BT191" t="str">
        <f>IF(OR(T191="Cash",T191="Cash Adjustments"),"-",_xll.BDP(R191&amp;" FIGI",$BT$1))</f>
        <v>-</v>
      </c>
      <c r="BU191" t="str">
        <f>IF(OR(T191="Cash",T191="Cash Adjustments"),"-",_xll.BDP(R191&amp;" FIGI",$BU$1))</f>
        <v>-</v>
      </c>
    </row>
    <row r="192" spans="1:73">
      <c r="A192" s="254" t="s">
        <v>119</v>
      </c>
      <c r="B192" s="254" t="s">
        <v>125</v>
      </c>
      <c r="C192" s="254" t="s">
        <v>125</v>
      </c>
      <c r="D192" s="254" t="s">
        <v>20</v>
      </c>
      <c r="E192" s="254"/>
      <c r="F192" s="254" t="s">
        <v>20</v>
      </c>
      <c r="G192" s="254" t="s">
        <v>21</v>
      </c>
      <c r="H192" s="270">
        <v>-281342.12</v>
      </c>
      <c r="I192" s="270">
        <v>1</v>
      </c>
      <c r="J192" s="270">
        <v>-281342.12</v>
      </c>
      <c r="K192" s="270">
        <v>-281342.12</v>
      </c>
      <c r="L192" s="270">
        <v>0</v>
      </c>
      <c r="M192" s="270">
        <v>0</v>
      </c>
      <c r="N192" s="270">
        <v>-281342.12</v>
      </c>
      <c r="O192" s="255">
        <v>2.5000000000000001E-3</v>
      </c>
      <c r="Q192" s="1" t="str">
        <f t="shared" si="82"/>
        <v>Payable Investments</v>
      </c>
      <c r="R192" s="1" t="str">
        <f>_xll.BDP(G192&amp;" ISIN",$R$1)</f>
        <v>#N/A Invalid Security</v>
      </c>
      <c r="S192" s="1" t="str">
        <f>IF(Q192="Cash",Q192,IF(OR(Q192="Receivable Investments",Q192="Payable Investments"),"Cash Adjustments",_xll.BDP(R192&amp;" FIGI",$S$1)))</f>
        <v>Cash Adjustments</v>
      </c>
      <c r="T192" s="1" t="str">
        <f>IF(Q192="Cash",Q192,IF(OR(Q192="Receivable Investments",Q192="Payable Investments"),"Cash Adjustments",VLOOKUP(R192,LQA!E:S,3,0)))</f>
        <v>Cash Adjustments</v>
      </c>
      <c r="U192" s="1" t="str">
        <f>IF(Q192="Cash",Q192,IF(OR(Q192="Receivable Investments",Q192="Payable Investments"),"Cash Adjustments",_xll.BDP(R192&amp;" FIGI",$U$1)))</f>
        <v>Cash Adjustments</v>
      </c>
      <c r="V192" s="10">
        <f>IF(OR(Q192="Cash",Q192="Receivable Investments",Q192="Payable Investments"),0,IF(Q192="Investments",VLOOKUP(R192,LQA!E:Q,12,0),"Not Covered"))</f>
        <v>0</v>
      </c>
      <c r="W192" s="76">
        <f>IF(OR(Q192="Cash",Q192="Receivable Investments",Q192="Payable Investments"),0,IF(Q192="Investments",VLOOKUP(R192,LQA!E:Q,9,0),"Not Covered"))</f>
        <v>0</v>
      </c>
      <c r="X192" s="13" t="str">
        <f>IF(OR(H192=0,T195="Comdty"),"High",IF(V192&lt;='Liquidity Bucket'!$A$4,'Liquidity Bucket'!$I$4,IF(V192&lt;='Liquidity Bucket'!$A$5,'Liquidity Bucket'!$I$5,IF(V192&lt;='Liquidity Bucket'!$A$6,'Liquidity Bucket'!$I$6,IF(V192='Liquidity Bucket'!$A$8,'Liquidity Bucket'!$I$8,'Liquidity Bucket'!$I$7)))))</f>
        <v>High</v>
      </c>
      <c r="Y192" s="153">
        <f>IF(OR(Q192="Cash",Q192="Receivable Investments",Q192="Payable Investments"),0,IF(Q192="Investments",VLOOKUP(R192,'LQA Stress'!E:Q,12,0),"Not Covered"))</f>
        <v>0</v>
      </c>
      <c r="Z192" s="75">
        <f>IF(OR(Q192="Cash",Q192="Receivable Investments",Q192="Payable Investments"),0,IF(Q192="Investments",VLOOKUP(R192,'LQA Stress'!E:Q,9,0),"Not Covered"))</f>
        <v>0</v>
      </c>
      <c r="AA192" s="13" t="str">
        <f>IF(T195="Comdty","High",IF(Y192&lt;='Liquidity Bucket'!$A$4,'Liquidity Bucket'!$I$4,IF(Y192&lt;='Liquidity Bucket'!$A$5,'Liquidity Bucket'!$I$5,IF(Y192&lt;='Liquidity Bucket'!$A$6,'Liquidity Bucket'!$I$6,IF(Y192='Liquidity Bucket'!$A$8,'Liquidity Bucket'!$I$8,'Liquidity Bucket'!$I$7)))))</f>
        <v>High</v>
      </c>
      <c r="AB192" s="14">
        <f>(N192+M192)/'FX Rates'!$C$5</f>
        <v>-36292.843137254902</v>
      </c>
      <c r="AC192" s="15" t="str">
        <f>IF(X192="Not Covered", (H192/_xll.BDP(R192&amp;" FIGI",$AC$1)),"")</f>
        <v/>
      </c>
      <c r="AD192" s="16" t="str">
        <f>IF(X192="Not Covered", _xll.BDP(R192&amp;" FIGI",$AD$1),"")</f>
        <v/>
      </c>
      <c r="AE192" s="16" t="str">
        <f>IF(OR(T192="Corp",T192="Govt"),IF(_xll.BDP(R192&amp;" FIGI",$AE$1)="#N/A N/A","",_xll.BDP(R192&amp;" FIGI",$AE$1)),"")</f>
        <v/>
      </c>
      <c r="AF192" s="1" t="str">
        <f>IF(OR(T192="Corp",T192="Govt"),IF(_xll.BDP(R192&amp;" FIGI",$AF$1)="#N/A N/A","",_xll.BDP(R192&amp;" FIGI",$AF$1)),"")</f>
        <v/>
      </c>
      <c r="AG192" s="16" t="str">
        <f>IF(OR(T192="Corp",T192="Govt"),IF(_xll.BDP(R192&amp;" FIGI",$AG$1)="#N/A N/A","",_xll.BDP(R192&amp;" FIGI",$AG$1)),"")</f>
        <v/>
      </c>
      <c r="AH192" s="125">
        <f>IF(OR(S192="Cash",S192="M-Mkt"),21,IF(AE192="",0,VLOOKUP(AE192,'Rating Scale'!A:B,2,0)))</f>
        <v>0</v>
      </c>
      <c r="AI192" s="125">
        <f>IF(OR(S192="Cash",S192="M-Mkt"),21,IF(AF192="",0,VLOOKUP(AF192,'Rating Scale'!D:E,2,0)))</f>
        <v>0</v>
      </c>
      <c r="AJ192" s="125">
        <f>IF(OR(S192="Cash",S192="M-Mkt"),21,IF(AG192="",0,VLOOKUP(AG192,'Rating Scale'!G:H,2,0)))</f>
        <v>0</v>
      </c>
      <c r="AK192">
        <f t="shared" si="83"/>
        <v>0</v>
      </c>
      <c r="AL192" s="1" t="str">
        <f>IF(OR(U192="Cash",U192="Cash Adjustments"),_xll.BDP(G192&amp;" Curncy","Country"),IF(T192="Equity",_xll.BDP(R192&amp;" FIGI","CNTRY_ISSUE_ISO"),_xll.BDP(R192&amp;" FIGI",$AL$1)))</f>
        <v>HK</v>
      </c>
      <c r="AM192" s="126" t="str">
        <f>IF(OR(T192="Cash",T192="Cash Adjustments",T192="M-Mkt"), T192, IF(T192="Comdty",AS192, _xll.BDP(R192&amp;" FIGI", $AM$1)))</f>
        <v>Cash Adjustments</v>
      </c>
      <c r="AN192" s="126" t="str">
        <f>IF(OR(T192="Cash",T192="Cash Adjustments",T192="M-Mkt"), T192,  IF(T192="Comdty",AS192,_xll.BDP(R192&amp;" FIGI", $AN$1)))</f>
        <v>Cash Adjustments</v>
      </c>
      <c r="AO192" s="126" t="str">
        <f>IF(OR(T192="Cash",T192="Cash Adjustments",T192="M-Mkt"), T192,  IF(T192="Comdty",AS192,_xll.BDP(R192&amp;" FIGI", $AO$1)))</f>
        <v>Cash Adjustments</v>
      </c>
      <c r="AP192" s="13" t="str">
        <f>IF(OR(T192="Cash",T192="Cash Adjustments"), T192, IF(_xll.BDP(R192&amp;" FIGI", $AP$1)="#N/A Field Not Applicable","N",_xll.BDP(R192&amp;" FIGI", $AP$1)))</f>
        <v>Cash Adjustments</v>
      </c>
      <c r="AQ192" s="1" t="str">
        <f>IF(OR(T192="Cash",T192="Cash Adjustments"), T192, IF(_xll.BDP(R192&amp;" FIGI", $AQ$1)="#N/A Field Not Applicable"," ",_xll.BDP(R192&amp;" FIGI", $AQ$1)))</f>
        <v>Cash Adjustments</v>
      </c>
      <c r="AR192" s="1" t="str">
        <f>IF(OR(T192="Cash",T192="Cash Adjustments"), T192, IF(_xll.BDP(R192&amp;" FIGI", $AR$1)="#N/A Field Not Applicable"," ",_xll.BDP(R192&amp;" FIGI", $AR$1)))</f>
        <v>Cash Adjustments</v>
      </c>
      <c r="AS192" s="1" t="str">
        <f>VLOOKUP(T192,'SFC Classifcation'!$F$2:$H$7,3,0)</f>
        <v>Cash Adjustments</v>
      </c>
      <c r="AT192" s="22" t="str">
        <f t="shared" si="84"/>
        <v>Cash Adjustments</v>
      </c>
      <c r="AU192" s="1" t="str">
        <f t="shared" si="85"/>
        <v/>
      </c>
      <c r="AV192" s="1" t="str">
        <f>IF(OR(T192="Cash",T192="Cash Adjustments"),T192,VLOOKUP(AL192,'SFC Classifcation'!$A:$C,3,0))</f>
        <v>Cash Adjustments</v>
      </c>
      <c r="AW192" s="22" t="str">
        <f t="shared" si="86"/>
        <v>High</v>
      </c>
      <c r="AX192" s="22" t="str">
        <f t="shared" si="87"/>
        <v>High</v>
      </c>
      <c r="AY192" s="45" t="str">
        <f>IF(OR(T192="Cash",T192="Cash Adjustments"), T192, _xll.BDP(R192&amp;" FIGI", $AY$1))</f>
        <v>Cash Adjustments</v>
      </c>
      <c r="AZ192" s="45" t="str">
        <f>IF(OR(T192="Cash",T192="Cash Adjustments"), T192, _xll.BDP(R192&amp;" FIGI", $AZ$1))</f>
        <v>Cash Adjustments</v>
      </c>
      <c r="BA192" s="45" t="str">
        <f>IF(OR(T192="Cash",T192="Cash Adjustments"), T192, _xll.BDP(R192&amp;" FIGI", $BA$1))</f>
        <v>Cash Adjustments</v>
      </c>
      <c r="BB192" s="45" t="str">
        <f>IF(OR(AS192="Government",AS192="Corporate"),(AK192*AB192/'SFC Report'!$C$20),"")</f>
        <v/>
      </c>
      <c r="BC192" s="174" t="str">
        <f>IF(OR(T192="Cash",T192="Cash Adjustments", T192="FX Forward", T192="Repo", T192="Equity", T192="M-Mkt"), "", _xll.BDP(R192&amp;" FIGI", $BC$1))</f>
        <v/>
      </c>
      <c r="BD192" s="125" t="str">
        <f>IF(OR(T192="Cash",T192="Cash Adjustments",T192="FX Forward",T192="Repo", T192="Equity", T192="M-Mkt"),"",(BC192-'SFC Report'!$B$13)/365)</f>
        <v/>
      </c>
      <c r="BE192" s="82" t="str">
        <f t="shared" si="88"/>
        <v/>
      </c>
      <c r="BF192" s="5" t="str">
        <f>IF(BC192="","",BD192*AB192/'SFC Report'!$C$20)</f>
        <v/>
      </c>
      <c r="BG192" s="14" t="str" cm="1">
        <f t="array" ref="BG192">IF(OR(AS192="Corporate",AS192="Government"),_xll.BDP(G192&amp;" ISIN", $BG$1),"")</f>
        <v/>
      </c>
      <c r="BH192" s="140" t="str">
        <f>IF(OR(AS192="Corporate",AS192="Government"),BG192*BN192/'SFC Report'!$C$20,"")</f>
        <v/>
      </c>
      <c r="BI192" s="140" t="str">
        <f>IF(OR(AS192="Corporate",AS192="Government"),_xll.BDP(G192&amp;" ISIN", $BI$1),"")</f>
        <v/>
      </c>
      <c r="BJ192" s="140" t="str">
        <f>IF(OR(AS192="Corporate",AS192="Government"),BI192*AB192/'SFC Report'!$C$20,"")</f>
        <v/>
      </c>
      <c r="BK192" s="153" t="str">
        <f>IF(OR(T192="Cash",T192="Cash Adjustments"),"-",_xll.BDP(R192&amp;" FIGI",$BK$1))</f>
        <v>-</v>
      </c>
      <c r="BL192" s="11" t="str">
        <f>IF(OR(AS192="Cash", AS192="Cash Adjustments"),"-",IF(ISNA(VLOOKUP(BK192,'BBG - VaR Data (Sample, Indus )'!C:N,5,0)),"-",VLOOKUP(BK192,'BBG - VaR Data (Sample, Indus )'!C:N,5,0)))</f>
        <v>-</v>
      </c>
      <c r="BM192" s="11" t="str">
        <f>IF(OR(AS192="Cash", AS192="Cash Adjustments"),"-",IF(ISNA(VLOOKUP(BK192,'BBG - Scenarios (Sample View)'!C:Z,14,0)),"-",VLOOKUP(BK192,'BBG - Scenarios (Sample View)'!C:Z,14,0)))</f>
        <v>-</v>
      </c>
      <c r="BN192" s="14">
        <f t="shared" si="89"/>
        <v>-36292.843137254902</v>
      </c>
      <c r="BO192" s="1">
        <f t="shared" si="90"/>
        <v>-7.1193814819241059E-5</v>
      </c>
      <c r="BP192" t="str">
        <f>IF(BC192&lt;&gt;0,MaturityBucket(BG192),"")</f>
        <v/>
      </c>
      <c r="BQ192" s="11" t="str">
        <f>IF(OR(T192="Cash",T192="Cash Adjustments"),T192,VLOOKUP(AL192,'SFC Classifcation'!$A:$C,2,0))</f>
        <v>Cash Adjustments</v>
      </c>
      <c r="BR192" s="1" t="str">
        <f>IF(S192="Bond",BH192/'SFC Report'!$B$7,"")</f>
        <v/>
      </c>
      <c r="BS192" t="str">
        <f>IF(OR(T192="Cash",T192="Cash Adjustments"),"-",_xll.BDP(R192&amp;" FIGI",$BS$1))</f>
        <v>-</v>
      </c>
      <c r="BT192" t="str">
        <f>IF(OR(T192="Cash",T192="Cash Adjustments"),"-",_xll.BDP(R192&amp;" FIGI",$BT$1))</f>
        <v>-</v>
      </c>
      <c r="BU192" t="str">
        <f>IF(OR(T192="Cash",T192="Cash Adjustments"),"-",_xll.BDP(R192&amp;" FIGI",$BU$1))</f>
        <v>-</v>
      </c>
    </row>
    <row r="193" spans="1:73">
      <c r="A193" s="254" t="s">
        <v>119</v>
      </c>
      <c r="B193" s="254" t="s">
        <v>1081</v>
      </c>
      <c r="C193" s="254" t="s">
        <v>1081</v>
      </c>
      <c r="D193" s="254" t="s">
        <v>22</v>
      </c>
      <c r="E193" s="254"/>
      <c r="F193" s="254" t="s">
        <v>22</v>
      </c>
      <c r="G193" s="254" t="s">
        <v>23</v>
      </c>
      <c r="H193" s="270">
        <v>-8550</v>
      </c>
      <c r="I193" s="270">
        <v>1</v>
      </c>
      <c r="J193" s="270">
        <v>-8550</v>
      </c>
      <c r="K193" s="270">
        <v>-66591.28</v>
      </c>
      <c r="L193" s="270">
        <v>0</v>
      </c>
      <c r="M193" s="270">
        <v>0</v>
      </c>
      <c r="N193" s="270">
        <v>-66591.28</v>
      </c>
      <c r="O193" s="255">
        <v>5.9999999999999995E-4</v>
      </c>
      <c r="Q193" s="1" t="str">
        <f t="shared" si="82"/>
        <v>Payable Investments</v>
      </c>
      <c r="R193" s="1" t="str">
        <f>_xll.BDP(G193&amp;" ISIN",$R$1)</f>
        <v>#N/A Invalid Security</v>
      </c>
      <c r="S193" s="1" t="str">
        <f>IF(Q193="Cash",Q193,IF(OR(Q193="Receivable Investments",Q193="Payable Investments"),"Cash Adjustments",_xll.BDP(R193&amp;" FIGI",$S$1)))</f>
        <v>Cash Adjustments</v>
      </c>
      <c r="T193" s="1" t="str">
        <f>IF(Q193="Cash",Q193,IF(OR(Q193="Receivable Investments",Q193="Payable Investments"),"Cash Adjustments",VLOOKUP(R193,LQA!E:S,3,0)))</f>
        <v>Cash Adjustments</v>
      </c>
      <c r="U193" s="1" t="str">
        <f>IF(Q193="Cash",Q193,IF(OR(Q193="Receivable Investments",Q193="Payable Investments"),"Cash Adjustments",_xll.BDP(R193&amp;" FIGI",$U$1)))</f>
        <v>Cash Adjustments</v>
      </c>
      <c r="V193" s="10">
        <f>IF(OR(Q193="Cash",Q193="Receivable Investments",Q193="Payable Investments"),0,IF(Q193="Investments",VLOOKUP(R193,LQA!E:Q,12,0),"Not Covered"))</f>
        <v>0</v>
      </c>
      <c r="W193" s="76">
        <f>IF(OR(Q193="Cash",Q193="Receivable Investments",Q193="Payable Investments"),0,IF(Q193="Investments",VLOOKUP(R193,LQA!E:Q,9,0),"Not Covered"))</f>
        <v>0</v>
      </c>
      <c r="X193" s="13" t="str">
        <f>IF(OR(H193=0,T196="Comdty"),"High",IF(V193&lt;='Liquidity Bucket'!$A$4,'Liquidity Bucket'!$I$4,IF(V193&lt;='Liquidity Bucket'!$A$5,'Liquidity Bucket'!$I$5,IF(V193&lt;='Liquidity Bucket'!$A$6,'Liquidity Bucket'!$I$6,IF(V193='Liquidity Bucket'!$A$8,'Liquidity Bucket'!$I$8,'Liquidity Bucket'!$I$7)))))</f>
        <v>High</v>
      </c>
      <c r="Y193" s="153">
        <f>IF(OR(Q193="Cash",Q193="Receivable Investments",Q193="Payable Investments"),0,IF(Q193="Investments",VLOOKUP(R193,'LQA Stress'!E:Q,12,0),"Not Covered"))</f>
        <v>0</v>
      </c>
      <c r="Z193" s="75">
        <f>IF(OR(Q193="Cash",Q193="Receivable Investments",Q193="Payable Investments"),0,IF(Q193="Investments",VLOOKUP(R193,'LQA Stress'!E:Q,9,0),"Not Covered"))</f>
        <v>0</v>
      </c>
      <c r="AA193" s="13" t="str">
        <f>IF(T196="Comdty","High",IF(Y193&lt;='Liquidity Bucket'!$A$4,'Liquidity Bucket'!$I$4,IF(Y193&lt;='Liquidity Bucket'!$A$5,'Liquidity Bucket'!$I$5,IF(Y193&lt;='Liquidity Bucket'!$A$6,'Liquidity Bucket'!$I$6,IF(Y193='Liquidity Bucket'!$A$8,'Liquidity Bucket'!$I$8,'Liquidity Bucket'!$I$7)))))</f>
        <v>High</v>
      </c>
      <c r="AB193" s="14">
        <f>(N193+M193)/'FX Rates'!$C$5</f>
        <v>-8590.2063983488133</v>
      </c>
      <c r="AC193" s="15" t="str">
        <f>IF(X193="Not Covered", (H193/_xll.BDP(R193&amp;" FIGI",$AC$1)),"")</f>
        <v/>
      </c>
      <c r="AD193" s="16" t="str">
        <f>IF(X193="Not Covered", _xll.BDP(R193&amp;" FIGI",$AD$1),"")</f>
        <v/>
      </c>
      <c r="AE193" s="16" t="str">
        <f>IF(OR(T193="Corp",T193="Govt"),IF(_xll.BDP(R193&amp;" FIGI",$AE$1)="#N/A N/A","",_xll.BDP(R193&amp;" FIGI",$AE$1)),"")</f>
        <v/>
      </c>
      <c r="AF193" s="1" t="str">
        <f>IF(OR(T193="Corp",T193="Govt"),IF(_xll.BDP(R193&amp;" FIGI",$AF$1)="#N/A N/A","",_xll.BDP(R193&amp;" FIGI",$AF$1)),"")</f>
        <v/>
      </c>
      <c r="AG193" s="16" t="str">
        <f>IF(OR(T193="Corp",T193="Govt"),IF(_xll.BDP(R193&amp;" FIGI",$AG$1)="#N/A N/A","",_xll.BDP(R193&amp;" FIGI",$AG$1)),"")</f>
        <v/>
      </c>
      <c r="AH193" s="125">
        <f>IF(OR(S193="Cash",S193="M-Mkt"),21,IF(AE193="",0,VLOOKUP(AE193,'Rating Scale'!A:B,2,0)))</f>
        <v>0</v>
      </c>
      <c r="AI193" s="125">
        <f>IF(OR(S193="Cash",S193="M-Mkt"),21,IF(AF193="",0,VLOOKUP(AF193,'Rating Scale'!D:E,2,0)))</f>
        <v>0</v>
      </c>
      <c r="AJ193" s="125">
        <f>IF(OR(S193="Cash",S193="M-Mkt"),21,IF(AG193="",0,VLOOKUP(AG193,'Rating Scale'!G:H,2,0)))</f>
        <v>0</v>
      </c>
      <c r="AK193">
        <f t="shared" si="83"/>
        <v>0</v>
      </c>
      <c r="AL193" s="1" t="str">
        <f>IF(OR(U193="Cash",U193="Cash Adjustments"),_xll.BDP(G193&amp;" Curncy","Country"),IF(T193="Equity",_xll.BDP(R193&amp;" FIGI","CNTRY_ISSUE_ISO"),_xll.BDP(R193&amp;" FIGI",$AL$1)))</f>
        <v>US</v>
      </c>
      <c r="AM193" s="126" t="str">
        <f>IF(OR(T193="Cash",T193="Cash Adjustments",T193="M-Mkt"), T193, IF(T193="Comdty",AS193, _xll.BDP(R193&amp;" FIGI", $AM$1)))</f>
        <v>Cash Adjustments</v>
      </c>
      <c r="AN193" s="126" t="str">
        <f>IF(OR(T193="Cash",T193="Cash Adjustments",T193="M-Mkt"), T193,  IF(T193="Comdty",AS193,_xll.BDP(R193&amp;" FIGI", $AN$1)))</f>
        <v>Cash Adjustments</v>
      </c>
      <c r="AO193" s="126" t="str">
        <f>IF(OR(T193="Cash",T193="Cash Adjustments",T193="M-Mkt"), T193,  IF(T193="Comdty",AS193,_xll.BDP(R193&amp;" FIGI", $AO$1)))</f>
        <v>Cash Adjustments</v>
      </c>
      <c r="AP193" s="13" t="str">
        <f>IF(OR(T193="Cash",T193="Cash Adjustments"), T193, IF(_xll.BDP(R193&amp;" FIGI", $AP$1)="#N/A Field Not Applicable","N",_xll.BDP(R193&amp;" FIGI", $AP$1)))</f>
        <v>Cash Adjustments</v>
      </c>
      <c r="AQ193" s="1" t="str">
        <f>IF(OR(T193="Cash",T193="Cash Adjustments"), T193, IF(_xll.BDP(R193&amp;" FIGI", $AQ$1)="#N/A Field Not Applicable"," ",_xll.BDP(R193&amp;" FIGI", $AQ$1)))</f>
        <v>Cash Adjustments</v>
      </c>
      <c r="AR193" s="1" t="str">
        <f>IF(OR(T193="Cash",T193="Cash Adjustments"), T193, IF(_xll.BDP(R193&amp;" FIGI", $AR$1)="#N/A Field Not Applicable"," ",_xll.BDP(R193&amp;" FIGI", $AR$1)))</f>
        <v>Cash Adjustments</v>
      </c>
      <c r="AS193" s="1" t="str">
        <f>VLOOKUP(T193,'SFC Classifcation'!$F$2:$H$7,3,0)</f>
        <v>Cash Adjustments</v>
      </c>
      <c r="AT193" s="22" t="str">
        <f t="shared" si="84"/>
        <v>Cash Adjustments</v>
      </c>
      <c r="AU193" s="1" t="str">
        <f t="shared" si="85"/>
        <v/>
      </c>
      <c r="AV193" s="1" t="str">
        <f>IF(OR(T193="Cash",T193="Cash Adjustments"),T193,VLOOKUP(AL193,'SFC Classifcation'!$A:$C,3,0))</f>
        <v>Cash Adjustments</v>
      </c>
      <c r="AW193" s="22" t="str">
        <f t="shared" si="86"/>
        <v>High</v>
      </c>
      <c r="AX193" s="22" t="str">
        <f t="shared" si="87"/>
        <v>High</v>
      </c>
      <c r="AY193" s="45" t="str">
        <f>IF(OR(T193="Cash",T193="Cash Adjustments"), T193, _xll.BDP(R193&amp;" FIGI", $AY$1))</f>
        <v>Cash Adjustments</v>
      </c>
      <c r="AZ193" s="45" t="str">
        <f>IF(OR(T193="Cash",T193="Cash Adjustments"), T193, _xll.BDP(R193&amp;" FIGI", $AZ$1))</f>
        <v>Cash Adjustments</v>
      </c>
      <c r="BA193" s="45" t="str">
        <f>IF(OR(T193="Cash",T193="Cash Adjustments"), T193, _xll.BDP(R193&amp;" FIGI", $BA$1))</f>
        <v>Cash Adjustments</v>
      </c>
      <c r="BB193" s="45" t="str">
        <f>IF(OR(AS193="Government",AS193="Corporate"),(AK193*AB193/'SFC Report'!$C$20),"")</f>
        <v/>
      </c>
      <c r="BC193" s="174" t="str">
        <f>IF(OR(T193="Cash",T193="Cash Adjustments", T193="FX Forward", T193="Repo", T193="Equity", T193="M-Mkt"), "", _xll.BDP(R193&amp;" FIGI", $BC$1))</f>
        <v/>
      </c>
      <c r="BD193" s="125" t="str">
        <f>IF(OR(T193="Cash",T193="Cash Adjustments",T193="FX Forward",T193="Repo", T193="Equity", T193="M-Mkt"),"",(BC193-'SFC Report'!$B$13)/365)</f>
        <v/>
      </c>
      <c r="BE193" s="82" t="str">
        <f t="shared" si="88"/>
        <v/>
      </c>
      <c r="BF193" s="5" t="str">
        <f>IF(BC193="","",BD193*AB193/'SFC Report'!$C$20)</f>
        <v/>
      </c>
      <c r="BG193" s="14" t="str" cm="1">
        <f t="array" ref="BG193">IF(OR(AS193="Corporate",AS193="Government"),_xll.BDP(G193&amp;" ISIN", $BG$1),"")</f>
        <v/>
      </c>
      <c r="BH193" s="140" t="str">
        <f>IF(OR(AS193="Corporate",AS193="Government"),BG193*BN193/'SFC Report'!$C$20,"")</f>
        <v/>
      </c>
      <c r="BI193" s="140" t="str">
        <f>IF(OR(AS193="Corporate",AS193="Government"),_xll.BDP(G193&amp;" ISIN", $BI$1),"")</f>
        <v/>
      </c>
      <c r="BJ193" s="140" t="str">
        <f>IF(OR(AS193="Corporate",AS193="Government"),BI193*AB193/'SFC Report'!$C$20,"")</f>
        <v/>
      </c>
      <c r="BK193" s="153" t="str">
        <f>IF(OR(T193="Cash",T193="Cash Adjustments"),"-",_xll.BDP(R193&amp;" FIGI",$BK$1))</f>
        <v>-</v>
      </c>
      <c r="BL193" s="11" t="str">
        <f>IF(OR(AS193="Cash", AS193="Cash Adjustments"),"-",IF(ISNA(VLOOKUP(BK193,'BBG - VaR Data (Sample, Indus )'!C:N,5,0)),"-",VLOOKUP(BK193,'BBG - VaR Data (Sample, Indus )'!C:N,5,0)))</f>
        <v>-</v>
      </c>
      <c r="BM193" s="11" t="str">
        <f>IF(OR(AS193="Cash", AS193="Cash Adjustments"),"-",IF(ISNA(VLOOKUP(BK193,'BBG - Scenarios (Sample View)'!C:Z,14,0)),"-",VLOOKUP(BK193,'BBG - Scenarios (Sample View)'!C:Z,14,0)))</f>
        <v>-</v>
      </c>
      <c r="BN193" s="14">
        <f t="shared" si="89"/>
        <v>-8590.2063983488133</v>
      </c>
      <c r="BO193" s="1">
        <f t="shared" si="90"/>
        <v>-1.6850968695679944E-5</v>
      </c>
      <c r="BP193" t="str">
        <f>IF(BC193&lt;&gt;0,MaturityBucket(BG193),"")</f>
        <v/>
      </c>
      <c r="BQ193" s="11" t="str">
        <f>IF(OR(T193="Cash",T193="Cash Adjustments"),T193,VLOOKUP(AL193,'SFC Classifcation'!$A:$C,2,0))</f>
        <v>Cash Adjustments</v>
      </c>
      <c r="BR193" s="1" t="str">
        <f>IF(S193="Bond",BH193/'SFC Report'!$B$7,"")</f>
        <v/>
      </c>
      <c r="BS193" t="str">
        <f>IF(OR(T193="Cash",T193="Cash Adjustments"),"-",_xll.BDP(R193&amp;" FIGI",$BS$1))</f>
        <v>-</v>
      </c>
      <c r="BT193" t="str">
        <f>IF(OR(T193="Cash",T193="Cash Adjustments"),"-",_xll.BDP(R193&amp;" FIGI",$BT$1))</f>
        <v>-</v>
      </c>
      <c r="BU193" t="str">
        <f>IF(OR(T193="Cash",T193="Cash Adjustments"),"-",_xll.BDP(R193&amp;" FIGI",$BU$1))</f>
        <v>-</v>
      </c>
    </row>
    <row r="194" spans="1:73">
      <c r="A194" s="254" t="s">
        <v>119</v>
      </c>
      <c r="B194" s="254" t="s">
        <v>126</v>
      </c>
      <c r="C194" s="254" t="s">
        <v>126</v>
      </c>
      <c r="D194" s="254" t="s">
        <v>20</v>
      </c>
      <c r="E194" s="254"/>
      <c r="F194" s="254" t="s">
        <v>20</v>
      </c>
      <c r="G194" s="254" t="s">
        <v>21</v>
      </c>
      <c r="H194" s="270">
        <v>-1804761.45</v>
      </c>
      <c r="I194" s="270">
        <v>1</v>
      </c>
      <c r="J194" s="270">
        <v>-1804761.45</v>
      </c>
      <c r="K194" s="270">
        <v>-1804761.45</v>
      </c>
      <c r="L194" s="270">
        <v>0</v>
      </c>
      <c r="M194" s="270">
        <v>0</v>
      </c>
      <c r="N194" s="270">
        <v>-1804761.45</v>
      </c>
      <c r="O194" s="255">
        <v>1.5800000000000002E-2</v>
      </c>
      <c r="Q194" s="1" t="str">
        <f>IF(B194="Cash Long","Cash",A194)</f>
        <v>Payable Investments</v>
      </c>
      <c r="R194" s="1" t="str">
        <f>_xll.BDP(G194&amp;" ISIN",$R$1)</f>
        <v>#N/A Invalid Security</v>
      </c>
      <c r="S194" s="1" t="str">
        <f>IF(Q194="Cash",Q194,IF(OR(Q194="Receivable Investments",Q194="Payable Investments"),"Cash Adjustments",_xll.BDP(R194&amp;" FIGI",$S$1)))</f>
        <v>Cash Adjustments</v>
      </c>
      <c r="T194" s="1" t="str">
        <f>IF(Q194="Cash",Q194,IF(OR(Q194="Receivable Investments",Q194="Payable Investments"),"Cash Adjustments",VLOOKUP(R194,LQA!E:S,3,0)))</f>
        <v>Cash Adjustments</v>
      </c>
      <c r="U194" s="1" t="str">
        <f>IF(Q194="Cash",Q194,IF(OR(Q194="Receivable Investments",Q194="Payable Investments"),"Cash Adjustments",_xll.BDP(R194&amp;" FIGI",$U$1)))</f>
        <v>Cash Adjustments</v>
      </c>
      <c r="V194" s="10">
        <f>IF(OR(Q194="Cash",Q194="Receivable Investments",Q194="Payable Investments"),0,IF(Q194="Investments",VLOOKUP(R194,LQA!E:Q,12,0),"Not Covered"))</f>
        <v>0</v>
      </c>
      <c r="W194" s="76">
        <f>IF(OR(Q194="Cash",Q194="Receivable Investments",Q194="Payable Investments"),0,IF(Q194="Investments",VLOOKUP(R194,LQA!E:Q,9,0),"Not Covered"))</f>
        <v>0</v>
      </c>
      <c r="X194" s="13" t="str">
        <f>IF(OR(H194=0,T197="Comdty"),"High",IF(V194&lt;='Liquidity Bucket'!$A$4,'Liquidity Bucket'!$I$4,IF(V194&lt;='Liquidity Bucket'!$A$5,'Liquidity Bucket'!$I$5,IF(V194&lt;='Liquidity Bucket'!$A$6,'Liquidity Bucket'!$I$6,IF(V194='Liquidity Bucket'!$A$8,'Liquidity Bucket'!$I$8,'Liquidity Bucket'!$I$7)))))</f>
        <v>High</v>
      </c>
      <c r="Y194" s="153">
        <f>IF(OR(Q194="Cash",Q194="Receivable Investments",Q194="Payable Investments"),0,IF(Q194="Investments",VLOOKUP(R194,'LQA Stress'!E:Q,12,0),"Not Covered"))</f>
        <v>0</v>
      </c>
      <c r="Z194" s="75">
        <f>IF(OR(Q194="Cash",Q194="Receivable Investments",Q194="Payable Investments"),0,IF(Q194="Investments",VLOOKUP(R194,'LQA Stress'!E:Q,9,0),"Not Covered"))</f>
        <v>0</v>
      </c>
      <c r="AA194" s="13" t="str">
        <f>IF(T197="Comdty","High",IF(Y194&lt;='Liquidity Bucket'!$A$4,'Liquidity Bucket'!$I$4,IF(Y194&lt;='Liquidity Bucket'!$A$5,'Liquidity Bucket'!$I$5,IF(Y194&lt;='Liquidity Bucket'!$A$6,'Liquidity Bucket'!$I$6,IF(Y194='Liquidity Bucket'!$A$8,'Liquidity Bucket'!$I$8,'Liquidity Bucket'!$I$7)))))</f>
        <v>High</v>
      </c>
      <c r="AB194" s="14">
        <f>(N194+M194)/'FX Rates'!$C$5</f>
        <v>-232812.36455108359</v>
      </c>
      <c r="AC194" s="15" t="str">
        <f>IF(X194="Not Covered", (H194/_xll.BDP(R194&amp;" FIGI",$AC$1)),"")</f>
        <v/>
      </c>
      <c r="AD194" s="16" t="str">
        <f>IF(X194="Not Covered", _xll.BDP(R194&amp;" FIGI",$AD$1),"")</f>
        <v/>
      </c>
      <c r="AE194" s="16" t="str">
        <f>IF(OR(T194="Corp",T194="Govt"),IF(_xll.BDP(R194&amp;" FIGI",$AE$1)="#N/A N/A","",_xll.BDP(R194&amp;" FIGI",$AE$1)),"")</f>
        <v/>
      </c>
      <c r="AF194" s="1" t="str">
        <f>IF(OR(T194="Corp",T194="Govt"),IF(_xll.BDP(R194&amp;" FIGI",$AF$1)="#N/A N/A","",_xll.BDP(R194&amp;" FIGI",$AF$1)),"")</f>
        <v/>
      </c>
      <c r="AG194" s="16" t="str">
        <f>IF(OR(T194="Corp",T194="Govt"),IF(_xll.BDP(R194&amp;" FIGI",$AG$1)="#N/A N/A","",_xll.BDP(R194&amp;" FIGI",$AG$1)),"")</f>
        <v/>
      </c>
      <c r="AH194" s="125">
        <f>IF(OR(S194="Cash",S194="M-Mkt"),21,IF(AE194="",0,VLOOKUP(AE194,'Rating Scale'!A:B,2,0)))</f>
        <v>0</v>
      </c>
      <c r="AI194" s="125">
        <f>IF(OR(S194="Cash",S194="M-Mkt"),21,IF(AF194="",0,VLOOKUP(AF194,'Rating Scale'!D:E,2,0)))</f>
        <v>0</v>
      </c>
      <c r="AJ194" s="125">
        <f>IF(OR(S194="Cash",S194="M-Mkt"),21,IF(AG194="",0,VLOOKUP(AG194,'Rating Scale'!G:H,2,0)))</f>
        <v>0</v>
      </c>
      <c r="AK194">
        <f t="shared" si="83"/>
        <v>0</v>
      </c>
      <c r="AL194" s="1" t="str">
        <f>IF(OR(U194="Cash",U194="Cash Adjustments"),_xll.BDP(G194&amp;" Curncy","Country"),IF(T194="Equity",_xll.BDP(R194&amp;" FIGI","CNTRY_ISSUE_ISO"),_xll.BDP(R194&amp;" FIGI",$AL$1)))</f>
        <v>HK</v>
      </c>
      <c r="AM194" s="126" t="str">
        <f>IF(OR(T194="Cash",T194="Cash Adjustments",T194="M-Mkt"), T194, IF(T194="Comdty",AS194, _xll.BDP(R194&amp;" FIGI", $AM$1)))</f>
        <v>Cash Adjustments</v>
      </c>
      <c r="AN194" s="126" t="str">
        <f>IF(OR(T194="Cash",T194="Cash Adjustments",T194="M-Mkt"), T194,  IF(T194="Comdty",AS194,_xll.BDP(R194&amp;" FIGI", $AN$1)))</f>
        <v>Cash Adjustments</v>
      </c>
      <c r="AO194" s="126" t="str">
        <f>IF(OR(T194="Cash",T194="Cash Adjustments",T194="M-Mkt"), T194,  IF(T194="Comdty",AS194,_xll.BDP(R194&amp;" FIGI", $AO$1)))</f>
        <v>Cash Adjustments</v>
      </c>
      <c r="AP194" s="13" t="str">
        <f>IF(OR(T194="Cash",T194="Cash Adjustments"), T194, IF(_xll.BDP(R194&amp;" FIGI", $AP$1)="#N/A Field Not Applicable","N",_xll.BDP(R194&amp;" FIGI", $AP$1)))</f>
        <v>Cash Adjustments</v>
      </c>
      <c r="AQ194" s="1" t="str">
        <f>IF(OR(T194="Cash",T194="Cash Adjustments"), T194, IF(_xll.BDP(R194&amp;" FIGI", $AQ$1)="#N/A Field Not Applicable"," ",_xll.BDP(R194&amp;" FIGI", $AQ$1)))</f>
        <v>Cash Adjustments</v>
      </c>
      <c r="AR194" s="1" t="str">
        <f>IF(OR(T194="Cash",T194="Cash Adjustments"), T194, IF(_xll.BDP(R194&amp;" FIGI", $AR$1)="#N/A Field Not Applicable"," ",_xll.BDP(R194&amp;" FIGI", $AR$1)))</f>
        <v>Cash Adjustments</v>
      </c>
      <c r="AS194" s="1" t="str">
        <f>VLOOKUP(T194,'SFC Classifcation'!$F$2:$H$7,3,0)</f>
        <v>Cash Adjustments</v>
      </c>
      <c r="AT194" s="22" t="str">
        <f t="shared" si="84"/>
        <v>Cash Adjustments</v>
      </c>
      <c r="AU194" s="1" t="str">
        <f t="shared" si="85"/>
        <v/>
      </c>
      <c r="AV194" s="1" t="str">
        <f>IF(OR(T194="Cash",T194="Cash Adjustments"),T194,VLOOKUP(AL194,'SFC Classifcation'!$A:$C,3,0))</f>
        <v>Cash Adjustments</v>
      </c>
      <c r="AW194" s="22" t="str">
        <f t="shared" si="86"/>
        <v>High</v>
      </c>
      <c r="AX194" s="22" t="str">
        <f t="shared" si="87"/>
        <v>High</v>
      </c>
      <c r="AY194" s="45" t="str">
        <f>IF(OR(T194="Cash",T194="Cash Adjustments"), T194, _xll.BDP(R194&amp;" FIGI", $AY$1))</f>
        <v>Cash Adjustments</v>
      </c>
      <c r="AZ194" s="45" t="str">
        <f>IF(OR(T194="Cash",T194="Cash Adjustments"), T194, _xll.BDP(R194&amp;" FIGI", $AZ$1))</f>
        <v>Cash Adjustments</v>
      </c>
      <c r="BA194" s="45" t="str">
        <f>IF(OR(T194="Cash",T194="Cash Adjustments"), T194, _xll.BDP(R194&amp;" FIGI", $BA$1))</f>
        <v>Cash Adjustments</v>
      </c>
      <c r="BB194" s="45" t="str">
        <f>IF(OR(AS194="Government",AS194="Corporate"),(AK194*AB194/'SFC Report'!$C$20),"")</f>
        <v/>
      </c>
      <c r="BC194" s="174" t="str">
        <f>IF(OR(T194="Cash",T194="Cash Adjustments", T194="FX Forward", T194="Repo", T194="Equity", T194="M-Mkt"), "", _xll.BDP(R194&amp;" FIGI", $BC$1))</f>
        <v/>
      </c>
      <c r="BD194" s="125" t="str">
        <f>IF(OR(T194="Cash",T194="Cash Adjustments",T194="FX Forward",T194="Repo", T194="Equity", T194="M-Mkt"),"",(BC194-'SFC Report'!$B$13)/365)</f>
        <v/>
      </c>
      <c r="BE194" s="82" t="str">
        <f t="shared" si="88"/>
        <v/>
      </c>
      <c r="BF194" s="5" t="str">
        <f>IF(BC194="","",BD194*AB194/'SFC Report'!$C$20)</f>
        <v/>
      </c>
      <c r="BG194" s="14" t="str" cm="1">
        <f t="array" ref="BG194">IF(OR(AS194="Corporate",AS194="Government"),_xll.BDP(G194&amp;" ISIN", $BG$1),"")</f>
        <v/>
      </c>
      <c r="BH194" s="140" t="str">
        <f>IF(OR(AS194="Corporate",AS194="Government"),BG194*BN194/'SFC Report'!$C$20,"")</f>
        <v/>
      </c>
      <c r="BI194" s="140" t="str">
        <f>IF(OR(AS194="Corporate",AS194="Government"),_xll.BDP(G194&amp;" ISIN", $BI$1),"")</f>
        <v/>
      </c>
      <c r="BJ194" s="140" t="str">
        <f>IF(OR(AS194="Corporate",AS194="Government"),BI194*AB194/'SFC Report'!$C$20,"")</f>
        <v/>
      </c>
      <c r="BK194" s="153" t="str">
        <f>IF(OR(T194="Cash",T194="Cash Adjustments"),"-",_xll.BDP(R194&amp;" FIGI",$BK$1))</f>
        <v>-</v>
      </c>
      <c r="BL194" s="11" t="str">
        <f>IF(OR(AS194="Cash", AS194="Cash Adjustments"),"-",IF(ISNA(VLOOKUP(BK194,'BBG - VaR Data (Sample, Indus )'!C:N,5,0)),"-",VLOOKUP(BK194,'BBG - VaR Data (Sample, Indus )'!C:N,5,0)))</f>
        <v>-</v>
      </c>
      <c r="BM194" s="11" t="str">
        <f>IF(OR(AS194="Cash", AS194="Cash Adjustments"),"-",IF(ISNA(VLOOKUP(BK194,'BBG - Scenarios (Sample View)'!C:Z,14,0)),"-",VLOOKUP(BK194,'BBG - Scenarios (Sample View)'!C:Z,14,0)))</f>
        <v>-</v>
      </c>
      <c r="BN194" s="14">
        <f t="shared" si="89"/>
        <v>-232812.36455108359</v>
      </c>
      <c r="BO194" s="1">
        <f t="shared" si="90"/>
        <v>-4.5669611242072456E-4</v>
      </c>
      <c r="BP194" t="str">
        <f>IF(BC194&lt;&gt;0,MaturityBucket(BG194),"")</f>
        <v/>
      </c>
      <c r="BQ194" s="11" t="str">
        <f>IF(OR(T194="Cash",T194="Cash Adjustments"),T194,VLOOKUP(AL194,'SFC Classifcation'!$A:$C,2,0))</f>
        <v>Cash Adjustments</v>
      </c>
      <c r="BR194" s="1" t="str">
        <f>IF(S194="Bond",BH194/'SFC Report'!$B$7,"")</f>
        <v/>
      </c>
      <c r="BS194" t="str">
        <f>IF(OR(T194="Cash",T194="Cash Adjustments"),"-",_xll.BDP(R194&amp;" FIGI",$BS$1))</f>
        <v>-</v>
      </c>
      <c r="BT194" t="str">
        <f>IF(OR(T194="Cash",T194="Cash Adjustments"),"-",_xll.BDP(R194&amp;" FIGI",$BT$1))</f>
        <v>-</v>
      </c>
      <c r="BU194" t="str">
        <f>IF(OR(T194="Cash",T194="Cash Adjustments"),"-",_xll.BDP(R194&amp;" FIGI",$BU$1))</f>
        <v>-</v>
      </c>
    </row>
    <row r="195" spans="1:73">
      <c r="W195" s="10"/>
      <c r="Y195" s="153"/>
      <c r="Z195" s="75"/>
      <c r="AA195" s="13"/>
      <c r="AN195" s="1"/>
      <c r="AX195" s="22"/>
      <c r="AZ195" s="45"/>
      <c r="BA195" s="45"/>
      <c r="BB195" s="45"/>
      <c r="BK195" s="153"/>
      <c r="BL195" s="11"/>
      <c r="BM195" s="11"/>
      <c r="BO195" s="1"/>
    </row>
    <row r="196" spans="1:73">
      <c r="W196" s="10"/>
      <c r="Y196" s="153"/>
      <c r="Z196" s="75"/>
      <c r="AA196" s="13"/>
      <c r="AN196" s="1"/>
      <c r="AX196" s="22"/>
      <c r="AZ196" s="45"/>
      <c r="BA196" s="45"/>
      <c r="BB196" s="45"/>
      <c r="BK196" s="153"/>
      <c r="BL196" s="11"/>
      <c r="BM196" s="11"/>
      <c r="BO196" s="1"/>
    </row>
    <row r="197" spans="1:73">
      <c r="W197" s="10"/>
      <c r="Y197" s="153"/>
      <c r="Z197" s="75"/>
      <c r="AA197" s="13"/>
      <c r="AN197" s="1"/>
      <c r="AX197" s="22"/>
      <c r="AZ197" s="45"/>
      <c r="BA197" s="45"/>
      <c r="BB197" s="45"/>
      <c r="BK197" s="153"/>
      <c r="BL197" s="11"/>
      <c r="BM197" s="11"/>
      <c r="BO197" s="1"/>
    </row>
    <row r="198" spans="1:73">
      <c r="W198" s="10"/>
      <c r="Y198" s="153"/>
      <c r="Z198" s="75"/>
      <c r="AA198" s="13"/>
      <c r="AN198" s="1"/>
      <c r="AX198" s="22"/>
      <c r="AZ198" s="45"/>
      <c r="BA198" s="45"/>
      <c r="BB198" s="45"/>
      <c r="BK198" s="153"/>
      <c r="BL198" s="11"/>
      <c r="BM198" s="11"/>
      <c r="BO198" s="1"/>
    </row>
    <row r="199" spans="1:73">
      <c r="W199" s="10"/>
      <c r="Y199" s="153"/>
      <c r="Z199" s="75"/>
      <c r="AA199" s="13"/>
      <c r="AN199" s="1"/>
      <c r="AX199" s="22"/>
      <c r="AZ199" s="45"/>
      <c r="BA199" s="45"/>
      <c r="BB199" s="45"/>
      <c r="BK199" s="153"/>
      <c r="BL199" s="11"/>
      <c r="BM199" s="11"/>
      <c r="BO199" s="1"/>
    </row>
    <row r="200" spans="1:73">
      <c r="W200" s="10"/>
      <c r="Y200" s="153"/>
      <c r="Z200" s="75"/>
      <c r="AA200" s="13"/>
      <c r="AN200" s="1"/>
      <c r="AX200" s="22"/>
      <c r="AZ200" s="45"/>
      <c r="BA200" s="45"/>
      <c r="BB200" s="45"/>
      <c r="BK200" s="153"/>
      <c r="BL200" s="11"/>
      <c r="BM200" s="11"/>
      <c r="BO200" s="1"/>
    </row>
    <row r="201" spans="1:73">
      <c r="W201" s="10"/>
      <c r="Y201" s="153"/>
      <c r="Z201" s="75"/>
      <c r="AA201" s="13"/>
      <c r="AN201" s="1"/>
      <c r="AX201" s="22"/>
      <c r="AZ201" s="45"/>
      <c r="BA201" s="45"/>
      <c r="BB201" s="45"/>
      <c r="BK201" s="153"/>
      <c r="BL201" s="11"/>
      <c r="BM201" s="11"/>
      <c r="BO201" s="1"/>
    </row>
    <row r="202" spans="1:73">
      <c r="W202" s="10"/>
      <c r="Y202" s="153"/>
      <c r="Z202" s="75"/>
      <c r="AA202" s="13"/>
      <c r="AN202" s="1"/>
      <c r="AX202" s="22"/>
      <c r="AZ202" s="45"/>
      <c r="BA202" s="45"/>
      <c r="BB202" s="45"/>
      <c r="BK202" s="153"/>
      <c r="BL202" s="11"/>
      <c r="BM202" s="11"/>
      <c r="BO202" s="1"/>
    </row>
    <row r="203" spans="1:73">
      <c r="W203" s="10"/>
      <c r="Y203" s="153"/>
      <c r="Z203" s="75"/>
      <c r="AA203" s="13"/>
      <c r="AN203" s="1"/>
      <c r="AX203" s="22"/>
      <c r="AZ203" s="45"/>
      <c r="BA203" s="45"/>
      <c r="BB203" s="45"/>
      <c r="BK203" s="153"/>
      <c r="BL203" s="11"/>
      <c r="BM203" s="11"/>
      <c r="BO203" s="1"/>
    </row>
    <row r="204" spans="1:73">
      <c r="B204" s="2"/>
      <c r="W204" s="10"/>
      <c r="Y204" s="153"/>
      <c r="Z204" s="75"/>
      <c r="AA204" s="13"/>
      <c r="AN204" s="1"/>
      <c r="AX204" s="22"/>
      <c r="AZ204" s="45"/>
      <c r="BA204" s="45"/>
      <c r="BB204" s="45"/>
      <c r="BK204" s="153"/>
      <c r="BL204" s="11"/>
      <c r="BM204" s="11"/>
      <c r="BO204" s="1"/>
    </row>
    <row r="205" spans="1:73">
      <c r="W205" s="10"/>
      <c r="Y205" s="153"/>
      <c r="Z205" s="75"/>
      <c r="AA205" s="13"/>
      <c r="AN205" s="1"/>
      <c r="AX205" s="22"/>
      <c r="AZ205" s="45"/>
      <c r="BA205" s="45"/>
      <c r="BB205" s="45"/>
      <c r="BK205" s="153"/>
      <c r="BL205" s="11"/>
      <c r="BM205" s="11"/>
      <c r="BO205" s="1"/>
    </row>
    <row r="206" spans="1:73">
      <c r="W206" s="10"/>
      <c r="Y206" s="153"/>
      <c r="Z206" s="75"/>
      <c r="AA206" s="13"/>
      <c r="AN206" s="1"/>
      <c r="AX206" s="22"/>
      <c r="AZ206" s="45"/>
      <c r="BA206" s="45"/>
      <c r="BB206" s="45"/>
      <c r="BK206" s="153"/>
      <c r="BL206" s="11"/>
      <c r="BM206" s="11"/>
      <c r="BO206" s="1"/>
    </row>
    <row r="207" spans="1:73">
      <c r="W207" s="10"/>
      <c r="Y207" s="153"/>
      <c r="Z207" s="75"/>
      <c r="AA207" s="13"/>
      <c r="AN207" s="1"/>
      <c r="AX207" s="22"/>
      <c r="AZ207" s="45"/>
      <c r="BA207" s="45"/>
      <c r="BB207" s="45"/>
      <c r="BK207" s="153"/>
      <c r="BL207" s="11"/>
      <c r="BM207" s="11"/>
      <c r="BO207" s="1"/>
    </row>
    <row r="208" spans="1:73">
      <c r="W208" s="10"/>
      <c r="Y208" s="153"/>
      <c r="Z208" s="75"/>
      <c r="AA208" s="13"/>
      <c r="AN208" s="1"/>
      <c r="AX208" s="22"/>
      <c r="AZ208" s="45"/>
      <c r="BA208" s="45"/>
      <c r="BB208" s="45"/>
      <c r="BK208" s="153"/>
      <c r="BL208" s="11"/>
      <c r="BM208" s="11"/>
      <c r="BO208" s="1"/>
    </row>
    <row r="209" spans="2:67">
      <c r="W209" s="10"/>
      <c r="Y209" s="153"/>
      <c r="Z209" s="75"/>
      <c r="AA209" s="13"/>
      <c r="AN209" s="1"/>
      <c r="AX209" s="22"/>
      <c r="AZ209" s="45"/>
      <c r="BA209" s="45"/>
      <c r="BB209" s="45"/>
      <c r="BK209" s="153"/>
      <c r="BL209" s="11"/>
      <c r="BM209" s="11"/>
      <c r="BO209" s="1"/>
    </row>
    <row r="210" spans="2:67">
      <c r="W210" s="10"/>
      <c r="Y210" s="153"/>
      <c r="Z210" s="75"/>
      <c r="AA210" s="13"/>
      <c r="AN210" s="1"/>
      <c r="AX210" s="22"/>
      <c r="AZ210" s="45"/>
      <c r="BA210" s="45"/>
      <c r="BB210" s="45"/>
      <c r="BK210" s="153"/>
      <c r="BL210" s="11"/>
      <c r="BM210" s="11"/>
      <c r="BO210" s="1"/>
    </row>
    <row r="211" spans="2:67">
      <c r="W211" s="10"/>
      <c r="Y211" s="153"/>
      <c r="Z211" s="75"/>
      <c r="AA211" s="13"/>
      <c r="AN211" s="1"/>
      <c r="AX211" s="22"/>
      <c r="AZ211" s="45"/>
      <c r="BA211" s="45"/>
      <c r="BB211" s="45"/>
      <c r="BK211" s="153"/>
      <c r="BL211" s="11"/>
      <c r="BM211" s="11"/>
      <c r="BO211" s="1"/>
    </row>
    <row r="212" spans="2:67">
      <c r="W212" s="10"/>
      <c r="Y212" s="153"/>
      <c r="Z212" s="75"/>
      <c r="AA212" s="13"/>
      <c r="AN212" s="1"/>
      <c r="AX212" s="22"/>
      <c r="AZ212" s="45"/>
      <c r="BA212" s="45"/>
      <c r="BB212" s="45"/>
      <c r="BK212" s="153"/>
      <c r="BL212" s="11"/>
      <c r="BM212" s="11"/>
      <c r="BO212" s="1"/>
    </row>
    <row r="213" spans="2:67">
      <c r="W213" s="10"/>
      <c r="Y213" s="153"/>
      <c r="Z213" s="75"/>
      <c r="AA213" s="13"/>
      <c r="AN213" s="1"/>
      <c r="AX213" s="22"/>
      <c r="AZ213" s="45"/>
      <c r="BA213" s="45"/>
      <c r="BB213" s="45"/>
      <c r="BK213" s="153"/>
      <c r="BL213" s="11"/>
      <c r="BM213" s="11"/>
      <c r="BO213" s="1"/>
    </row>
    <row r="214" spans="2:67">
      <c r="W214" s="10"/>
      <c r="Y214" s="153"/>
      <c r="Z214" s="75"/>
      <c r="AA214" s="13"/>
      <c r="AN214" s="1"/>
      <c r="AX214" s="22"/>
      <c r="AZ214" s="45"/>
      <c r="BA214" s="45"/>
      <c r="BB214" s="45"/>
      <c r="BK214" s="153"/>
      <c r="BL214" s="11"/>
      <c r="BM214" s="11"/>
      <c r="BO214" s="1"/>
    </row>
    <row r="215" spans="2:67">
      <c r="W215" s="10"/>
      <c r="Y215" s="153"/>
      <c r="Z215" s="75"/>
      <c r="AA215" s="13"/>
      <c r="AN215" s="1"/>
      <c r="AX215" s="22"/>
      <c r="AZ215" s="45"/>
      <c r="BA215" s="45"/>
      <c r="BB215" s="45"/>
      <c r="BK215" s="153"/>
      <c r="BL215" s="11"/>
      <c r="BM215" s="11"/>
      <c r="BO215" s="1"/>
    </row>
    <row r="216" spans="2:67">
      <c r="W216" s="10"/>
      <c r="Y216" s="153"/>
      <c r="Z216" s="75"/>
      <c r="AA216" s="13"/>
      <c r="AN216" s="1"/>
      <c r="AX216" s="22"/>
      <c r="AZ216" s="45"/>
      <c r="BA216" s="45"/>
      <c r="BB216" s="45"/>
      <c r="BK216" s="153"/>
      <c r="BL216" s="11"/>
      <c r="BM216" s="11"/>
      <c r="BO216" s="1"/>
    </row>
    <row r="217" spans="2:67">
      <c r="W217" s="10"/>
      <c r="Y217" s="153"/>
      <c r="Z217" s="75"/>
      <c r="AA217" s="13"/>
      <c r="AN217" s="1"/>
      <c r="AX217" s="22"/>
      <c r="AZ217" s="45"/>
      <c r="BA217" s="45"/>
      <c r="BB217" s="45"/>
      <c r="BK217" s="153"/>
      <c r="BL217" s="11"/>
      <c r="BM217" s="11"/>
      <c r="BO217" s="1"/>
    </row>
    <row r="218" spans="2:67">
      <c r="B218" s="2"/>
      <c r="W218" s="10"/>
      <c r="Y218" s="153"/>
      <c r="Z218" s="75"/>
      <c r="AA218" s="13"/>
      <c r="AN218" s="1"/>
      <c r="AX218" s="22"/>
      <c r="AZ218" s="45"/>
      <c r="BA218" s="45"/>
      <c r="BB218" s="45"/>
      <c r="BK218" s="153"/>
      <c r="BL218" s="11"/>
      <c r="BM218" s="11"/>
      <c r="BO218" s="1"/>
    </row>
    <row r="219" spans="2:67">
      <c r="W219" s="10"/>
      <c r="Y219" s="153"/>
      <c r="Z219" s="75"/>
      <c r="AA219" s="13"/>
      <c r="AN219" s="1"/>
      <c r="AX219" s="22"/>
      <c r="AZ219" s="45"/>
      <c r="BA219" s="45"/>
      <c r="BB219" s="45"/>
      <c r="BK219" s="153"/>
      <c r="BL219" s="11"/>
      <c r="BM219" s="11"/>
      <c r="BO219" s="1"/>
    </row>
    <row r="220" spans="2:67">
      <c r="W220" s="10"/>
      <c r="Y220" s="153"/>
      <c r="Z220" s="75"/>
      <c r="AA220" s="13"/>
      <c r="AN220" s="1"/>
      <c r="AX220" s="22"/>
      <c r="AZ220" s="45"/>
      <c r="BA220" s="45"/>
      <c r="BB220" s="45"/>
      <c r="BK220" s="153"/>
      <c r="BL220" s="11"/>
      <c r="BM220" s="11"/>
      <c r="BO220" s="1"/>
    </row>
    <row r="221" spans="2:67">
      <c r="W221" s="10"/>
      <c r="Y221" s="153"/>
      <c r="Z221" s="75"/>
      <c r="AA221" s="13"/>
      <c r="AN221" s="1"/>
      <c r="AX221" s="22"/>
      <c r="AZ221" s="45"/>
      <c r="BA221" s="45"/>
      <c r="BB221" s="45"/>
      <c r="BK221" s="153"/>
      <c r="BL221" s="11"/>
      <c r="BM221" s="11"/>
      <c r="BO221" s="1"/>
    </row>
    <row r="222" spans="2:67">
      <c r="W222" s="10"/>
      <c r="Y222" s="153"/>
      <c r="Z222" s="75"/>
      <c r="AA222" s="13"/>
      <c r="AN222" s="1"/>
      <c r="AX222" s="22"/>
      <c r="AZ222" s="45"/>
      <c r="BA222" s="45"/>
      <c r="BB222" s="45"/>
      <c r="BK222" s="153"/>
      <c r="BL222" s="11"/>
      <c r="BM222" s="11"/>
      <c r="BO222" s="1"/>
    </row>
    <row r="223" spans="2:67">
      <c r="W223" s="10"/>
      <c r="Y223" s="153"/>
      <c r="Z223" s="75"/>
      <c r="AA223" s="13"/>
      <c r="AN223" s="1"/>
      <c r="AX223" s="22"/>
      <c r="AZ223" s="45"/>
      <c r="BA223" s="45"/>
      <c r="BB223" s="45"/>
      <c r="BK223" s="153"/>
      <c r="BL223" s="11"/>
      <c r="BM223" s="11"/>
      <c r="BO223" s="1"/>
    </row>
    <row r="224" spans="2:67">
      <c r="W224" s="10"/>
      <c r="Y224" s="153"/>
      <c r="Z224" s="75"/>
      <c r="AA224" s="13"/>
      <c r="AN224" s="1"/>
      <c r="AX224" s="22"/>
      <c r="AZ224" s="45"/>
      <c r="BA224" s="45"/>
      <c r="BB224" s="45"/>
      <c r="BK224" s="153"/>
      <c r="BL224" s="11"/>
      <c r="BM224" s="11"/>
      <c r="BO224" s="1"/>
    </row>
    <row r="225" spans="2:67">
      <c r="W225" s="10"/>
      <c r="Y225" s="153"/>
      <c r="Z225" s="75"/>
      <c r="AA225" s="13"/>
      <c r="AN225" s="1"/>
      <c r="AX225" s="22"/>
      <c r="AZ225" s="45"/>
      <c r="BA225" s="45"/>
      <c r="BB225" s="45"/>
      <c r="BK225" s="153"/>
      <c r="BL225" s="11"/>
      <c r="BM225" s="11"/>
      <c r="BO225" s="1"/>
    </row>
    <row r="226" spans="2:67">
      <c r="W226" s="10"/>
      <c r="Y226" s="153"/>
      <c r="Z226" s="75"/>
      <c r="AA226" s="13"/>
      <c r="AN226" s="1"/>
      <c r="AX226" s="22"/>
      <c r="AZ226" s="45"/>
      <c r="BA226" s="45"/>
      <c r="BB226" s="45"/>
      <c r="BK226" s="153"/>
      <c r="BL226" s="11"/>
      <c r="BM226" s="11"/>
      <c r="BO226" s="1"/>
    </row>
    <row r="227" spans="2:67">
      <c r="W227" s="10"/>
      <c r="Y227" s="153"/>
      <c r="Z227" s="75"/>
      <c r="AA227" s="13"/>
      <c r="AN227" s="1"/>
      <c r="AX227" s="22"/>
      <c r="AZ227" s="45"/>
      <c r="BA227" s="45"/>
      <c r="BB227" s="45"/>
      <c r="BK227" s="153"/>
      <c r="BL227" s="11"/>
      <c r="BM227" s="11"/>
      <c r="BO227" s="1"/>
    </row>
    <row r="228" spans="2:67">
      <c r="W228" s="10"/>
      <c r="Y228" s="153"/>
      <c r="Z228" s="75"/>
      <c r="AA228" s="13"/>
      <c r="AN228" s="1"/>
      <c r="AX228" s="22"/>
      <c r="AZ228" s="45"/>
      <c r="BA228" s="45"/>
      <c r="BB228" s="45"/>
      <c r="BK228" s="153"/>
      <c r="BL228" s="11"/>
      <c r="BM228" s="11"/>
      <c r="BO228" s="1"/>
    </row>
    <row r="229" spans="2:67">
      <c r="W229" s="10"/>
      <c r="Y229" s="153"/>
      <c r="Z229" s="75"/>
      <c r="AA229" s="13"/>
      <c r="AN229" s="1"/>
      <c r="AX229" s="22"/>
      <c r="AZ229" s="45"/>
      <c r="BA229" s="45"/>
      <c r="BB229" s="45"/>
      <c r="BK229" s="153"/>
      <c r="BL229" s="11"/>
      <c r="BM229" s="11"/>
      <c r="BO229" s="1"/>
    </row>
    <row r="230" spans="2:67">
      <c r="W230" s="10"/>
      <c r="Y230" s="153"/>
      <c r="Z230" s="75"/>
      <c r="AA230" s="13"/>
      <c r="AN230" s="1"/>
      <c r="AX230" s="22"/>
      <c r="AZ230" s="45"/>
      <c r="BA230" s="45"/>
      <c r="BB230" s="45"/>
      <c r="BK230" s="153"/>
      <c r="BL230" s="11"/>
      <c r="BM230" s="11"/>
      <c r="BO230" s="1"/>
    </row>
    <row r="231" spans="2:67">
      <c r="B231" s="2"/>
      <c r="W231" s="10"/>
      <c r="Y231" s="153"/>
      <c r="Z231" s="75"/>
      <c r="AA231" s="13"/>
      <c r="AN231" s="1"/>
      <c r="AX231" s="22"/>
      <c r="AZ231" s="45"/>
      <c r="BA231" s="45"/>
      <c r="BB231" s="45"/>
      <c r="BK231" s="153"/>
      <c r="BL231" s="11"/>
      <c r="BM231" s="11"/>
      <c r="BO231" s="1"/>
    </row>
    <row r="232" spans="2:67">
      <c r="B232" s="2"/>
      <c r="W232" s="10"/>
      <c r="Y232" s="153"/>
      <c r="Z232" s="75"/>
      <c r="AA232" s="13"/>
      <c r="AN232" s="1"/>
      <c r="AX232" s="22"/>
      <c r="AZ232" s="45"/>
      <c r="BA232" s="45"/>
      <c r="BB232" s="45"/>
      <c r="BK232" s="153"/>
      <c r="BL232" s="11"/>
      <c r="BM232" s="11"/>
      <c r="BO232" s="1"/>
    </row>
    <row r="233" spans="2:67">
      <c r="W233" s="10"/>
      <c r="Y233" s="153"/>
      <c r="Z233" s="75"/>
      <c r="AA233" s="13"/>
      <c r="AN233" s="1"/>
      <c r="AX233" s="22"/>
      <c r="AZ233" s="45"/>
      <c r="BA233" s="45"/>
      <c r="BB233" s="45"/>
      <c r="BK233" s="153"/>
      <c r="BL233" s="11"/>
      <c r="BM233" s="11"/>
      <c r="BO233" s="1"/>
    </row>
    <row r="234" spans="2:67">
      <c r="W234" s="10"/>
      <c r="Y234" s="153"/>
      <c r="Z234" s="75"/>
      <c r="AA234" s="13"/>
      <c r="AN234" s="1"/>
      <c r="AX234" s="22"/>
      <c r="AZ234" s="45"/>
      <c r="BA234" s="45"/>
      <c r="BB234" s="45"/>
      <c r="BK234" s="153"/>
      <c r="BL234" s="11"/>
      <c r="BM234" s="11"/>
      <c r="BO234" s="1"/>
    </row>
    <row r="235" spans="2:67">
      <c r="W235" s="10"/>
      <c r="Y235" s="153"/>
      <c r="Z235" s="75"/>
      <c r="AA235" s="13"/>
      <c r="AN235" s="1"/>
      <c r="AX235" s="22"/>
      <c r="AZ235" s="45"/>
      <c r="BA235" s="45"/>
      <c r="BB235" s="45"/>
      <c r="BK235" s="153"/>
      <c r="BL235" s="11"/>
      <c r="BM235" s="11"/>
      <c r="BO235" s="1"/>
    </row>
    <row r="236" spans="2:67">
      <c r="W236" s="10"/>
      <c r="Y236" s="153"/>
      <c r="Z236" s="75"/>
      <c r="AA236" s="13"/>
      <c r="AN236" s="1"/>
      <c r="AX236" s="22"/>
      <c r="AZ236" s="45"/>
      <c r="BA236" s="45"/>
      <c r="BB236" s="45"/>
      <c r="BK236" s="153"/>
      <c r="BL236" s="11"/>
      <c r="BM236" s="11"/>
      <c r="BO236" s="1"/>
    </row>
    <row r="237" spans="2:67">
      <c r="W237" s="10"/>
      <c r="Y237" s="153"/>
      <c r="Z237" s="75"/>
      <c r="AA237" s="13"/>
      <c r="AN237" s="1"/>
      <c r="AX237" s="22"/>
      <c r="AZ237" s="45"/>
      <c r="BA237" s="45"/>
      <c r="BB237" s="45"/>
      <c r="BK237" s="153"/>
      <c r="BL237" s="11"/>
      <c r="BM237" s="11"/>
      <c r="BO237" s="1"/>
    </row>
    <row r="238" spans="2:67">
      <c r="W238" s="10"/>
      <c r="Y238" s="153"/>
      <c r="Z238" s="75"/>
      <c r="AA238" s="13"/>
      <c r="AN238" s="1"/>
      <c r="AX238" s="22"/>
      <c r="AZ238" s="45"/>
      <c r="BA238" s="45"/>
      <c r="BB238" s="45"/>
      <c r="BK238" s="153"/>
      <c r="BL238" s="11"/>
      <c r="BM238" s="11"/>
      <c r="BO238" s="1"/>
    </row>
    <row r="239" spans="2:67">
      <c r="B239" s="2"/>
      <c r="W239" s="10"/>
      <c r="Y239" s="153"/>
      <c r="Z239" s="75"/>
      <c r="AA239" s="13"/>
      <c r="AN239" s="1"/>
      <c r="AX239" s="22"/>
      <c r="AZ239" s="45"/>
      <c r="BA239" s="45"/>
      <c r="BB239" s="45"/>
      <c r="BK239" s="153"/>
      <c r="BL239" s="11"/>
      <c r="BM239" s="11"/>
      <c r="BO239" s="1"/>
    </row>
    <row r="240" spans="2:67">
      <c r="W240" s="10"/>
      <c r="Y240" s="153"/>
      <c r="Z240" s="75"/>
      <c r="AA240" s="13"/>
      <c r="AN240" s="1"/>
      <c r="AX240" s="22"/>
      <c r="AZ240" s="45"/>
      <c r="BA240" s="45"/>
      <c r="BB240" s="45"/>
      <c r="BK240" s="153"/>
      <c r="BL240" s="11"/>
      <c r="BM240" s="11"/>
      <c r="BO240" s="1"/>
    </row>
    <row r="241" spans="2:67">
      <c r="W241" s="10"/>
      <c r="Y241" s="153"/>
      <c r="Z241" s="75"/>
      <c r="AA241" s="13"/>
      <c r="AN241" s="1"/>
      <c r="AX241" s="22"/>
      <c r="AZ241" s="45"/>
      <c r="BA241" s="45"/>
      <c r="BB241" s="45"/>
      <c r="BK241" s="153"/>
      <c r="BL241" s="11"/>
      <c r="BM241" s="11"/>
      <c r="BO241" s="1"/>
    </row>
    <row r="242" spans="2:67">
      <c r="B242" s="2"/>
      <c r="W242" s="10"/>
      <c r="Y242" s="153"/>
      <c r="Z242" s="75"/>
      <c r="AA242" s="13"/>
      <c r="AN242" s="1"/>
      <c r="AX242" s="22"/>
      <c r="AZ242" s="45"/>
      <c r="BA242" s="45"/>
      <c r="BB242" s="45"/>
      <c r="BK242" s="153"/>
      <c r="BL242" s="11"/>
      <c r="BM242" s="11"/>
      <c r="BO242" s="1"/>
    </row>
    <row r="243" spans="2:67">
      <c r="W243" s="10"/>
      <c r="Y243" s="153"/>
      <c r="Z243" s="75"/>
      <c r="AA243" s="13"/>
      <c r="AN243" s="1"/>
      <c r="AX243" s="22"/>
      <c r="AZ243" s="45"/>
      <c r="BA243" s="45"/>
      <c r="BB243" s="45"/>
      <c r="BK243" s="153"/>
      <c r="BL243" s="11"/>
      <c r="BM243" s="11"/>
      <c r="BO243" s="1"/>
    </row>
    <row r="244" spans="2:67">
      <c r="W244" s="10"/>
      <c r="Y244" s="153"/>
      <c r="Z244" s="75"/>
      <c r="AA244" s="13"/>
      <c r="AN244" s="1"/>
      <c r="AX244" s="22"/>
      <c r="AZ244" s="45"/>
      <c r="BA244" s="45"/>
      <c r="BB244" s="45"/>
      <c r="BK244" s="153"/>
      <c r="BL244" s="11"/>
      <c r="BM244" s="11"/>
      <c r="BO244" s="1"/>
    </row>
    <row r="245" spans="2:67">
      <c r="W245" s="10"/>
      <c r="Y245" s="153"/>
      <c r="Z245" s="75"/>
      <c r="AA245" s="13"/>
      <c r="AN245" s="1"/>
      <c r="AX245" s="22"/>
      <c r="AZ245" s="45"/>
      <c r="BA245" s="45"/>
      <c r="BB245" s="45"/>
      <c r="BK245" s="153"/>
      <c r="BL245" s="11"/>
      <c r="BM245" s="11"/>
      <c r="BO245" s="1"/>
    </row>
    <row r="246" spans="2:67">
      <c r="W246" s="10"/>
      <c r="Y246" s="153"/>
      <c r="Z246" s="75"/>
      <c r="AA246" s="13"/>
      <c r="AN246" s="1"/>
      <c r="AX246" s="22"/>
      <c r="AZ246" s="45"/>
      <c r="BA246" s="45"/>
      <c r="BB246" s="45"/>
      <c r="BK246" s="153"/>
      <c r="BL246" s="11"/>
      <c r="BM246" s="11"/>
      <c r="BO246" s="1"/>
    </row>
    <row r="247" spans="2:67">
      <c r="W247" s="10"/>
      <c r="Y247" s="153"/>
      <c r="Z247" s="75"/>
      <c r="AA247" s="13"/>
      <c r="AN247" s="1"/>
      <c r="AX247" s="22"/>
      <c r="AZ247" s="45"/>
      <c r="BA247" s="45"/>
      <c r="BB247" s="45"/>
      <c r="BK247" s="153"/>
      <c r="BL247" s="11"/>
      <c r="BM247" s="11"/>
      <c r="BO247" s="1"/>
    </row>
    <row r="248" spans="2:67">
      <c r="W248" s="10"/>
      <c r="Y248" s="153"/>
      <c r="Z248" s="75"/>
      <c r="AA248" s="13"/>
      <c r="AN248" s="1"/>
      <c r="AX248" s="22"/>
      <c r="AZ248" s="45"/>
      <c r="BA248" s="45"/>
      <c r="BB248" s="45"/>
      <c r="BK248" s="153"/>
      <c r="BL248" s="11"/>
      <c r="BM248" s="11"/>
      <c r="BO248" s="1"/>
    </row>
    <row r="249" spans="2:67">
      <c r="W249" s="10"/>
      <c r="Y249" s="153"/>
      <c r="Z249" s="75"/>
      <c r="AA249" s="13"/>
      <c r="AN249" s="1"/>
      <c r="AX249" s="22"/>
      <c r="AZ249" s="45"/>
      <c r="BA249" s="45"/>
      <c r="BB249" s="45"/>
      <c r="BK249" s="153"/>
      <c r="BL249" s="11"/>
      <c r="BM249" s="11"/>
      <c r="BO249" s="1"/>
    </row>
    <row r="250" spans="2:67">
      <c r="W250" s="10"/>
      <c r="Y250" s="153"/>
      <c r="Z250" s="75"/>
      <c r="AA250" s="13"/>
      <c r="AN250" s="1"/>
      <c r="AX250" s="22"/>
      <c r="AZ250" s="45"/>
      <c r="BA250" s="45"/>
      <c r="BB250" s="45"/>
      <c r="BK250" s="153"/>
      <c r="BL250" s="11"/>
      <c r="BM250" s="11"/>
      <c r="BO250" s="1"/>
    </row>
    <row r="251" spans="2:67">
      <c r="W251" s="10"/>
      <c r="Y251" s="153"/>
      <c r="Z251" s="75"/>
      <c r="AA251" s="13"/>
      <c r="AN251" s="1"/>
      <c r="AX251" s="22"/>
      <c r="AZ251" s="45"/>
      <c r="BA251" s="45"/>
      <c r="BB251" s="45"/>
      <c r="BK251" s="153"/>
      <c r="BL251" s="11"/>
      <c r="BM251" s="11"/>
      <c r="BO251" s="1"/>
    </row>
    <row r="252" spans="2:67">
      <c r="W252" s="10"/>
      <c r="Y252" s="153"/>
      <c r="Z252" s="75"/>
      <c r="AA252" s="13"/>
      <c r="AN252" s="1"/>
      <c r="AX252" s="22"/>
      <c r="AZ252" s="45"/>
      <c r="BA252" s="45"/>
      <c r="BB252" s="45"/>
      <c r="BK252" s="153"/>
      <c r="BL252" s="11"/>
      <c r="BM252" s="11"/>
      <c r="BO252" s="1"/>
    </row>
    <row r="253" spans="2:67">
      <c r="W253" s="10"/>
      <c r="Y253" s="153"/>
      <c r="Z253" s="75"/>
      <c r="AA253" s="13"/>
      <c r="AN253" s="1"/>
      <c r="AX253" s="22"/>
      <c r="AZ253" s="45"/>
      <c r="BA253" s="45"/>
      <c r="BB253" s="45"/>
      <c r="BK253" s="153"/>
      <c r="BL253" s="11"/>
      <c r="BM253" s="11"/>
      <c r="BO253" s="1"/>
    </row>
    <row r="254" spans="2:67">
      <c r="W254" s="10"/>
      <c r="Y254" s="153"/>
      <c r="Z254" s="75"/>
      <c r="AA254" s="13"/>
      <c r="AN254" s="1"/>
      <c r="AX254" s="22"/>
      <c r="AZ254" s="45"/>
      <c r="BA254" s="45"/>
      <c r="BB254" s="45"/>
      <c r="BK254" s="153"/>
      <c r="BL254" s="11"/>
      <c r="BM254" s="11"/>
      <c r="BO254" s="1"/>
    </row>
    <row r="255" spans="2:67">
      <c r="W255" s="10"/>
      <c r="Y255" s="153"/>
      <c r="Z255" s="75"/>
      <c r="AA255" s="13"/>
      <c r="AN255" s="1"/>
      <c r="AX255" s="22"/>
      <c r="AZ255" s="45"/>
      <c r="BA255" s="45"/>
      <c r="BB255" s="45"/>
      <c r="BK255" s="153"/>
      <c r="BL255" s="11"/>
      <c r="BM255" s="11"/>
      <c r="BO255" s="1"/>
    </row>
    <row r="256" spans="2:67">
      <c r="W256" s="10"/>
      <c r="Y256" s="153"/>
      <c r="Z256" s="75"/>
      <c r="AA256" s="13"/>
      <c r="AN256" s="1"/>
      <c r="AX256" s="22"/>
      <c r="AZ256" s="45"/>
      <c r="BA256" s="45"/>
      <c r="BB256" s="45"/>
      <c r="BK256" s="153"/>
      <c r="BL256" s="11"/>
      <c r="BM256" s="11"/>
      <c r="BO256" s="1"/>
    </row>
    <row r="257" spans="23:67">
      <c r="W257" s="10"/>
      <c r="Y257" s="153"/>
      <c r="Z257" s="75"/>
      <c r="AA257" s="13"/>
      <c r="AN257" s="1"/>
      <c r="AX257" s="22"/>
      <c r="AZ257" s="45"/>
      <c r="BA257" s="45"/>
      <c r="BB257" s="45"/>
      <c r="BK257" s="153"/>
      <c r="BL257" s="11"/>
      <c r="BM257" s="11"/>
      <c r="BO257" s="1"/>
    </row>
    <row r="259" spans="23:67">
      <c r="X259" s="5"/>
      <c r="Y259" s="5"/>
      <c r="Z259" s="5"/>
      <c r="AA259" s="5"/>
      <c r="AB259" s="14"/>
    </row>
    <row r="260" spans="23:67">
      <c r="AB260" s="14"/>
    </row>
    <row r="261" spans="23:67">
      <c r="X261" s="84"/>
      <c r="Y261" s="84"/>
      <c r="Z261" s="84"/>
      <c r="AA261" s="84"/>
    </row>
  </sheetData>
  <autoFilter ref="A1:BU194" xr:uid="{000D0462-67D2-4EC8-9CF3-16E502A05EA8}">
    <filterColumn colId="27">
      <filters>
        <filter val="953,070.18"/>
      </filters>
    </filterColumn>
  </autoFilter>
  <phoneticPr fontId="2"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E9114-EBAE-47AF-8908-4B55DFD68F93}">
  <dimension ref="A3:B35"/>
  <sheetViews>
    <sheetView topLeftCell="A19" workbookViewId="0">
      <selection activeCell="A3" sqref="A3"/>
    </sheetView>
  </sheetViews>
  <sheetFormatPr defaultRowHeight="14.4"/>
  <cols>
    <col min="1" max="1" width="36.109375" bestFit="1" customWidth="1"/>
    <col min="2" max="2" width="28" bestFit="1" customWidth="1"/>
  </cols>
  <sheetData>
    <row r="3" spans="1:2">
      <c r="A3" s="80" t="s">
        <v>763</v>
      </c>
      <c r="B3" t="s">
        <v>1052</v>
      </c>
    </row>
    <row r="4" spans="1:2">
      <c r="A4" s="81" t="s">
        <v>474</v>
      </c>
      <c r="B4" s="240">
        <v>29.69</v>
      </c>
    </row>
    <row r="5" spans="1:2">
      <c r="A5" s="81" t="s">
        <v>507</v>
      </c>
      <c r="B5" s="240">
        <v>12.059999999999999</v>
      </c>
    </row>
    <row r="6" spans="1:2">
      <c r="A6" s="81" t="s">
        <v>1027</v>
      </c>
      <c r="B6" s="240">
        <v>10.58</v>
      </c>
    </row>
    <row r="7" spans="1:2">
      <c r="A7" s="81" t="s">
        <v>1032</v>
      </c>
      <c r="B7" s="240">
        <v>4.5799999999999992</v>
      </c>
    </row>
    <row r="8" spans="1:2">
      <c r="A8" s="81" t="s">
        <v>1038</v>
      </c>
      <c r="B8" s="240">
        <v>4.0999999999999996</v>
      </c>
    </row>
    <row r="9" spans="1:2">
      <c r="A9" s="81" t="s">
        <v>1035</v>
      </c>
      <c r="B9" s="240">
        <v>4.01</v>
      </c>
    </row>
    <row r="10" spans="1:2">
      <c r="A10" s="81" t="s">
        <v>1048</v>
      </c>
      <c r="B10" s="240">
        <v>3.96</v>
      </c>
    </row>
    <row r="11" spans="1:2">
      <c r="A11" s="81" t="s">
        <v>1040</v>
      </c>
      <c r="B11" s="240">
        <v>3.56</v>
      </c>
    </row>
    <row r="12" spans="1:2">
      <c r="A12" s="81" t="s">
        <v>1036</v>
      </c>
      <c r="B12" s="240">
        <v>3.3899999999999997</v>
      </c>
    </row>
    <row r="13" spans="1:2">
      <c r="A13" s="81" t="s">
        <v>1043</v>
      </c>
      <c r="B13" s="240">
        <v>3.26</v>
      </c>
    </row>
    <row r="14" spans="1:2">
      <c r="A14" s="81" t="s">
        <v>1044</v>
      </c>
      <c r="B14" s="240">
        <v>2.48</v>
      </c>
    </row>
    <row r="15" spans="1:2">
      <c r="A15" s="81" t="s">
        <v>475</v>
      </c>
      <c r="B15" s="240">
        <v>2</v>
      </c>
    </row>
    <row r="16" spans="1:2">
      <c r="A16" s="81" t="s">
        <v>1045</v>
      </c>
      <c r="B16" s="240">
        <v>1.8</v>
      </c>
    </row>
    <row r="17" spans="1:2">
      <c r="A17" s="81" t="s">
        <v>1033</v>
      </c>
      <c r="B17" s="240">
        <v>1.78</v>
      </c>
    </row>
    <row r="18" spans="1:2">
      <c r="A18" s="81" t="s">
        <v>1050</v>
      </c>
      <c r="B18" s="240">
        <v>1.4900000000000002</v>
      </c>
    </row>
    <row r="19" spans="1:2">
      <c r="A19" s="81" t="s">
        <v>1034</v>
      </c>
      <c r="B19" s="240">
        <v>1.38</v>
      </c>
    </row>
    <row r="20" spans="1:2">
      <c r="A20" s="81" t="s">
        <v>1049</v>
      </c>
      <c r="B20" s="240">
        <v>1.36</v>
      </c>
    </row>
    <row r="21" spans="1:2">
      <c r="A21" s="81" t="s">
        <v>1047</v>
      </c>
      <c r="B21" s="240">
        <v>1.1000000000000001</v>
      </c>
    </row>
    <row r="22" spans="1:2">
      <c r="A22" s="81" t="s">
        <v>508</v>
      </c>
      <c r="B22" s="240">
        <v>1.1000000000000001</v>
      </c>
    </row>
    <row r="23" spans="1:2">
      <c r="A23" s="81" t="s">
        <v>1039</v>
      </c>
      <c r="B23" s="240">
        <v>1.01</v>
      </c>
    </row>
    <row r="24" spans="1:2">
      <c r="A24" s="81" t="s">
        <v>1029</v>
      </c>
      <c r="B24" s="240">
        <v>0.8</v>
      </c>
    </row>
    <row r="25" spans="1:2">
      <c r="A25" s="81" t="s">
        <v>1028</v>
      </c>
      <c r="B25" s="240">
        <v>0.76</v>
      </c>
    </row>
    <row r="26" spans="1:2">
      <c r="A26" s="81" t="s">
        <v>1051</v>
      </c>
      <c r="B26" s="240">
        <v>0.73000000000000009</v>
      </c>
    </row>
    <row r="27" spans="1:2">
      <c r="A27" s="81" t="s">
        <v>1041</v>
      </c>
      <c r="B27" s="240">
        <v>0.61</v>
      </c>
    </row>
    <row r="28" spans="1:2">
      <c r="A28" s="81" t="s">
        <v>1037</v>
      </c>
      <c r="B28" s="240">
        <v>0.58000000000000007</v>
      </c>
    </row>
    <row r="29" spans="1:2">
      <c r="A29" s="81" t="s">
        <v>1046</v>
      </c>
      <c r="B29" s="240">
        <v>0.52</v>
      </c>
    </row>
    <row r="30" spans="1:2">
      <c r="A30" s="81" t="s">
        <v>1026</v>
      </c>
      <c r="B30" s="240">
        <v>0.48</v>
      </c>
    </row>
    <row r="31" spans="1:2">
      <c r="A31" s="81" t="s">
        <v>1030</v>
      </c>
      <c r="B31" s="240">
        <v>0.47</v>
      </c>
    </row>
    <row r="32" spans="1:2">
      <c r="A32" s="81" t="s">
        <v>510</v>
      </c>
      <c r="B32" s="240">
        <v>0.23</v>
      </c>
    </row>
    <row r="33" spans="1:2">
      <c r="A33" s="81" t="s">
        <v>1042</v>
      </c>
      <c r="B33" s="240">
        <v>0.16</v>
      </c>
    </row>
    <row r="34" spans="1:2">
      <c r="A34" s="81" t="s">
        <v>1031</v>
      </c>
      <c r="B34" s="240"/>
    </row>
    <row r="35" spans="1:2">
      <c r="A35" s="81" t="s">
        <v>494</v>
      </c>
      <c r="B35" s="240">
        <v>100.02999999999996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8C75-2E22-46F0-9F72-B390FA26AD95}">
  <sheetPr codeName="Sheet16">
    <tabColor rgb="FFFF0000"/>
  </sheetPr>
  <dimension ref="A1:AX205"/>
  <sheetViews>
    <sheetView topLeftCell="A133" workbookViewId="0">
      <selection activeCell="G22" sqref="G22"/>
    </sheetView>
  </sheetViews>
  <sheetFormatPr defaultRowHeight="14.4"/>
  <cols>
    <col min="1" max="1" width="5" style="245" customWidth="1"/>
    <col min="2" max="2" width="32" style="245" customWidth="1"/>
    <col min="3" max="4" width="13.6640625" style="245" customWidth="1"/>
    <col min="5" max="5" width="6.88671875" style="245" customWidth="1"/>
    <col min="6" max="6" width="15.109375" style="245" customWidth="1"/>
    <col min="7" max="7" width="22.109375" style="245" customWidth="1"/>
    <col min="8" max="8" width="21" style="245" customWidth="1"/>
    <col min="9" max="9" width="14.109375" style="245" customWidth="1"/>
    <col min="10" max="10" width="12.109375" style="245" customWidth="1"/>
    <col min="11" max="11" width="19.33203125" style="245" customWidth="1"/>
    <col min="12" max="12" width="18" style="245" customWidth="1"/>
    <col min="13" max="13" width="11.33203125" style="245" customWidth="1"/>
    <col min="14" max="14" width="14.5546875" style="245" customWidth="1"/>
    <col min="15" max="50" width="8.88671875" style="245" customWidth="1"/>
    <col min="257" max="257" width="5" customWidth="1"/>
    <col min="258" max="258" width="32" customWidth="1"/>
    <col min="259" max="260" width="13.6640625" customWidth="1"/>
    <col min="261" max="261" width="6.88671875" customWidth="1"/>
    <col min="262" max="262" width="15.109375" customWidth="1"/>
    <col min="263" max="263" width="22.109375" customWidth="1"/>
    <col min="264" max="264" width="21" customWidth="1"/>
    <col min="265" max="265" width="14.109375" customWidth="1"/>
    <col min="266" max="266" width="12.109375" customWidth="1"/>
    <col min="267" max="267" width="19.33203125" customWidth="1"/>
    <col min="268" max="268" width="18" customWidth="1"/>
    <col min="269" max="269" width="11.33203125" customWidth="1"/>
    <col min="270" max="270" width="14.5546875" customWidth="1"/>
    <col min="271" max="306" width="8.88671875" customWidth="1"/>
    <col min="513" max="513" width="5" customWidth="1"/>
    <col min="514" max="514" width="32" customWidth="1"/>
    <col min="515" max="516" width="13.6640625" customWidth="1"/>
    <col min="517" max="517" width="6.88671875" customWidth="1"/>
    <col min="518" max="518" width="15.109375" customWidth="1"/>
    <col min="519" max="519" width="22.109375" customWidth="1"/>
    <col min="520" max="520" width="21" customWidth="1"/>
    <col min="521" max="521" width="14.109375" customWidth="1"/>
    <col min="522" max="522" width="12.109375" customWidth="1"/>
    <col min="523" max="523" width="19.33203125" customWidth="1"/>
    <col min="524" max="524" width="18" customWidth="1"/>
    <col min="525" max="525" width="11.33203125" customWidth="1"/>
    <col min="526" max="526" width="14.5546875" customWidth="1"/>
    <col min="527" max="562" width="8.88671875" customWidth="1"/>
    <col min="769" max="769" width="5" customWidth="1"/>
    <col min="770" max="770" width="32" customWidth="1"/>
    <col min="771" max="772" width="13.6640625" customWidth="1"/>
    <col min="773" max="773" width="6.88671875" customWidth="1"/>
    <col min="774" max="774" width="15.109375" customWidth="1"/>
    <col min="775" max="775" width="22.109375" customWidth="1"/>
    <col min="776" max="776" width="21" customWidth="1"/>
    <col min="777" max="777" width="14.109375" customWidth="1"/>
    <col min="778" max="778" width="12.109375" customWidth="1"/>
    <col min="779" max="779" width="19.33203125" customWidth="1"/>
    <col min="780" max="780" width="18" customWidth="1"/>
    <col min="781" max="781" width="11.33203125" customWidth="1"/>
    <col min="782" max="782" width="14.5546875" customWidth="1"/>
    <col min="783" max="818" width="8.88671875" customWidth="1"/>
    <col min="1025" max="1025" width="5" customWidth="1"/>
    <col min="1026" max="1026" width="32" customWidth="1"/>
    <col min="1027" max="1028" width="13.6640625" customWidth="1"/>
    <col min="1029" max="1029" width="6.88671875" customWidth="1"/>
    <col min="1030" max="1030" width="15.109375" customWidth="1"/>
    <col min="1031" max="1031" width="22.109375" customWidth="1"/>
    <col min="1032" max="1032" width="21" customWidth="1"/>
    <col min="1033" max="1033" width="14.109375" customWidth="1"/>
    <col min="1034" max="1034" width="12.109375" customWidth="1"/>
    <col min="1035" max="1035" width="19.33203125" customWidth="1"/>
    <col min="1036" max="1036" width="18" customWidth="1"/>
    <col min="1037" max="1037" width="11.33203125" customWidth="1"/>
    <col min="1038" max="1038" width="14.5546875" customWidth="1"/>
    <col min="1039" max="1074" width="8.88671875" customWidth="1"/>
    <col min="1281" max="1281" width="5" customWidth="1"/>
    <col min="1282" max="1282" width="32" customWidth="1"/>
    <col min="1283" max="1284" width="13.6640625" customWidth="1"/>
    <col min="1285" max="1285" width="6.88671875" customWidth="1"/>
    <col min="1286" max="1286" width="15.109375" customWidth="1"/>
    <col min="1287" max="1287" width="22.109375" customWidth="1"/>
    <col min="1288" max="1288" width="21" customWidth="1"/>
    <col min="1289" max="1289" width="14.109375" customWidth="1"/>
    <col min="1290" max="1290" width="12.109375" customWidth="1"/>
    <col min="1291" max="1291" width="19.33203125" customWidth="1"/>
    <col min="1292" max="1292" width="18" customWidth="1"/>
    <col min="1293" max="1293" width="11.33203125" customWidth="1"/>
    <col min="1294" max="1294" width="14.5546875" customWidth="1"/>
    <col min="1295" max="1330" width="8.88671875" customWidth="1"/>
    <col min="1537" max="1537" width="5" customWidth="1"/>
    <col min="1538" max="1538" width="32" customWidth="1"/>
    <col min="1539" max="1540" width="13.6640625" customWidth="1"/>
    <col min="1541" max="1541" width="6.88671875" customWidth="1"/>
    <col min="1542" max="1542" width="15.109375" customWidth="1"/>
    <col min="1543" max="1543" width="22.109375" customWidth="1"/>
    <col min="1544" max="1544" width="21" customWidth="1"/>
    <col min="1545" max="1545" width="14.109375" customWidth="1"/>
    <col min="1546" max="1546" width="12.109375" customWidth="1"/>
    <col min="1547" max="1547" width="19.33203125" customWidth="1"/>
    <col min="1548" max="1548" width="18" customWidth="1"/>
    <col min="1549" max="1549" width="11.33203125" customWidth="1"/>
    <col min="1550" max="1550" width="14.5546875" customWidth="1"/>
    <col min="1551" max="1586" width="8.88671875" customWidth="1"/>
    <col min="1793" max="1793" width="5" customWidth="1"/>
    <col min="1794" max="1794" width="32" customWidth="1"/>
    <col min="1795" max="1796" width="13.6640625" customWidth="1"/>
    <col min="1797" max="1797" width="6.88671875" customWidth="1"/>
    <col min="1798" max="1798" width="15.109375" customWidth="1"/>
    <col min="1799" max="1799" width="22.109375" customWidth="1"/>
    <col min="1800" max="1800" width="21" customWidth="1"/>
    <col min="1801" max="1801" width="14.109375" customWidth="1"/>
    <col min="1802" max="1802" width="12.109375" customWidth="1"/>
    <col min="1803" max="1803" width="19.33203125" customWidth="1"/>
    <col min="1804" max="1804" width="18" customWidth="1"/>
    <col min="1805" max="1805" width="11.33203125" customWidth="1"/>
    <col min="1806" max="1806" width="14.5546875" customWidth="1"/>
    <col min="1807" max="1842" width="8.88671875" customWidth="1"/>
    <col min="2049" max="2049" width="5" customWidth="1"/>
    <col min="2050" max="2050" width="32" customWidth="1"/>
    <col min="2051" max="2052" width="13.6640625" customWidth="1"/>
    <col min="2053" max="2053" width="6.88671875" customWidth="1"/>
    <col min="2054" max="2054" width="15.109375" customWidth="1"/>
    <col min="2055" max="2055" width="22.109375" customWidth="1"/>
    <col min="2056" max="2056" width="21" customWidth="1"/>
    <col min="2057" max="2057" width="14.109375" customWidth="1"/>
    <col min="2058" max="2058" width="12.109375" customWidth="1"/>
    <col min="2059" max="2059" width="19.33203125" customWidth="1"/>
    <col min="2060" max="2060" width="18" customWidth="1"/>
    <col min="2061" max="2061" width="11.33203125" customWidth="1"/>
    <col min="2062" max="2062" width="14.5546875" customWidth="1"/>
    <col min="2063" max="2098" width="8.88671875" customWidth="1"/>
    <col min="2305" max="2305" width="5" customWidth="1"/>
    <col min="2306" max="2306" width="32" customWidth="1"/>
    <col min="2307" max="2308" width="13.6640625" customWidth="1"/>
    <col min="2309" max="2309" width="6.88671875" customWidth="1"/>
    <col min="2310" max="2310" width="15.109375" customWidth="1"/>
    <col min="2311" max="2311" width="22.109375" customWidth="1"/>
    <col min="2312" max="2312" width="21" customWidth="1"/>
    <col min="2313" max="2313" width="14.109375" customWidth="1"/>
    <col min="2314" max="2314" width="12.109375" customWidth="1"/>
    <col min="2315" max="2315" width="19.33203125" customWidth="1"/>
    <col min="2316" max="2316" width="18" customWidth="1"/>
    <col min="2317" max="2317" width="11.33203125" customWidth="1"/>
    <col min="2318" max="2318" width="14.5546875" customWidth="1"/>
    <col min="2319" max="2354" width="8.88671875" customWidth="1"/>
    <col min="2561" max="2561" width="5" customWidth="1"/>
    <col min="2562" max="2562" width="32" customWidth="1"/>
    <col min="2563" max="2564" width="13.6640625" customWidth="1"/>
    <col min="2565" max="2565" width="6.88671875" customWidth="1"/>
    <col min="2566" max="2566" width="15.109375" customWidth="1"/>
    <col min="2567" max="2567" width="22.109375" customWidth="1"/>
    <col min="2568" max="2568" width="21" customWidth="1"/>
    <col min="2569" max="2569" width="14.109375" customWidth="1"/>
    <col min="2570" max="2570" width="12.109375" customWidth="1"/>
    <col min="2571" max="2571" width="19.33203125" customWidth="1"/>
    <col min="2572" max="2572" width="18" customWidth="1"/>
    <col min="2573" max="2573" width="11.33203125" customWidth="1"/>
    <col min="2574" max="2574" width="14.5546875" customWidth="1"/>
    <col min="2575" max="2610" width="8.88671875" customWidth="1"/>
    <col min="2817" max="2817" width="5" customWidth="1"/>
    <col min="2818" max="2818" width="32" customWidth="1"/>
    <col min="2819" max="2820" width="13.6640625" customWidth="1"/>
    <col min="2821" max="2821" width="6.88671875" customWidth="1"/>
    <col min="2822" max="2822" width="15.109375" customWidth="1"/>
    <col min="2823" max="2823" width="22.109375" customWidth="1"/>
    <col min="2824" max="2824" width="21" customWidth="1"/>
    <col min="2825" max="2825" width="14.109375" customWidth="1"/>
    <col min="2826" max="2826" width="12.109375" customWidth="1"/>
    <col min="2827" max="2827" width="19.33203125" customWidth="1"/>
    <col min="2828" max="2828" width="18" customWidth="1"/>
    <col min="2829" max="2829" width="11.33203125" customWidth="1"/>
    <col min="2830" max="2830" width="14.5546875" customWidth="1"/>
    <col min="2831" max="2866" width="8.88671875" customWidth="1"/>
    <col min="3073" max="3073" width="5" customWidth="1"/>
    <col min="3074" max="3074" width="32" customWidth="1"/>
    <col min="3075" max="3076" width="13.6640625" customWidth="1"/>
    <col min="3077" max="3077" width="6.88671875" customWidth="1"/>
    <col min="3078" max="3078" width="15.109375" customWidth="1"/>
    <col min="3079" max="3079" width="22.109375" customWidth="1"/>
    <col min="3080" max="3080" width="21" customWidth="1"/>
    <col min="3081" max="3081" width="14.109375" customWidth="1"/>
    <col min="3082" max="3082" width="12.109375" customWidth="1"/>
    <col min="3083" max="3083" width="19.33203125" customWidth="1"/>
    <col min="3084" max="3084" width="18" customWidth="1"/>
    <col min="3085" max="3085" width="11.33203125" customWidth="1"/>
    <col min="3086" max="3086" width="14.5546875" customWidth="1"/>
    <col min="3087" max="3122" width="8.88671875" customWidth="1"/>
    <col min="3329" max="3329" width="5" customWidth="1"/>
    <col min="3330" max="3330" width="32" customWidth="1"/>
    <col min="3331" max="3332" width="13.6640625" customWidth="1"/>
    <col min="3333" max="3333" width="6.88671875" customWidth="1"/>
    <col min="3334" max="3334" width="15.109375" customWidth="1"/>
    <col min="3335" max="3335" width="22.109375" customWidth="1"/>
    <col min="3336" max="3336" width="21" customWidth="1"/>
    <col min="3337" max="3337" width="14.109375" customWidth="1"/>
    <col min="3338" max="3338" width="12.109375" customWidth="1"/>
    <col min="3339" max="3339" width="19.33203125" customWidth="1"/>
    <col min="3340" max="3340" width="18" customWidth="1"/>
    <col min="3341" max="3341" width="11.33203125" customWidth="1"/>
    <col min="3342" max="3342" width="14.5546875" customWidth="1"/>
    <col min="3343" max="3378" width="8.88671875" customWidth="1"/>
    <col min="3585" max="3585" width="5" customWidth="1"/>
    <col min="3586" max="3586" width="32" customWidth="1"/>
    <col min="3587" max="3588" width="13.6640625" customWidth="1"/>
    <col min="3589" max="3589" width="6.88671875" customWidth="1"/>
    <col min="3590" max="3590" width="15.109375" customWidth="1"/>
    <col min="3591" max="3591" width="22.109375" customWidth="1"/>
    <col min="3592" max="3592" width="21" customWidth="1"/>
    <col min="3593" max="3593" width="14.109375" customWidth="1"/>
    <col min="3594" max="3594" width="12.109375" customWidth="1"/>
    <col min="3595" max="3595" width="19.33203125" customWidth="1"/>
    <col min="3596" max="3596" width="18" customWidth="1"/>
    <col min="3597" max="3597" width="11.33203125" customWidth="1"/>
    <col min="3598" max="3598" width="14.5546875" customWidth="1"/>
    <col min="3599" max="3634" width="8.88671875" customWidth="1"/>
    <col min="3841" max="3841" width="5" customWidth="1"/>
    <col min="3842" max="3842" width="32" customWidth="1"/>
    <col min="3843" max="3844" width="13.6640625" customWidth="1"/>
    <col min="3845" max="3845" width="6.88671875" customWidth="1"/>
    <col min="3846" max="3846" width="15.109375" customWidth="1"/>
    <col min="3847" max="3847" width="22.109375" customWidth="1"/>
    <col min="3848" max="3848" width="21" customWidth="1"/>
    <col min="3849" max="3849" width="14.109375" customWidth="1"/>
    <col min="3850" max="3850" width="12.109375" customWidth="1"/>
    <col min="3851" max="3851" width="19.33203125" customWidth="1"/>
    <col min="3852" max="3852" width="18" customWidth="1"/>
    <col min="3853" max="3853" width="11.33203125" customWidth="1"/>
    <col min="3854" max="3854" width="14.5546875" customWidth="1"/>
    <col min="3855" max="3890" width="8.88671875" customWidth="1"/>
    <col min="4097" max="4097" width="5" customWidth="1"/>
    <col min="4098" max="4098" width="32" customWidth="1"/>
    <col min="4099" max="4100" width="13.6640625" customWidth="1"/>
    <col min="4101" max="4101" width="6.88671875" customWidth="1"/>
    <col min="4102" max="4102" width="15.109375" customWidth="1"/>
    <col min="4103" max="4103" width="22.109375" customWidth="1"/>
    <col min="4104" max="4104" width="21" customWidth="1"/>
    <col min="4105" max="4105" width="14.109375" customWidth="1"/>
    <col min="4106" max="4106" width="12.109375" customWidth="1"/>
    <col min="4107" max="4107" width="19.33203125" customWidth="1"/>
    <col min="4108" max="4108" width="18" customWidth="1"/>
    <col min="4109" max="4109" width="11.33203125" customWidth="1"/>
    <col min="4110" max="4110" width="14.5546875" customWidth="1"/>
    <col min="4111" max="4146" width="8.88671875" customWidth="1"/>
    <col min="4353" max="4353" width="5" customWidth="1"/>
    <col min="4354" max="4354" width="32" customWidth="1"/>
    <col min="4355" max="4356" width="13.6640625" customWidth="1"/>
    <col min="4357" max="4357" width="6.88671875" customWidth="1"/>
    <col min="4358" max="4358" width="15.109375" customWidth="1"/>
    <col min="4359" max="4359" width="22.109375" customWidth="1"/>
    <col min="4360" max="4360" width="21" customWidth="1"/>
    <col min="4361" max="4361" width="14.109375" customWidth="1"/>
    <col min="4362" max="4362" width="12.109375" customWidth="1"/>
    <col min="4363" max="4363" width="19.33203125" customWidth="1"/>
    <col min="4364" max="4364" width="18" customWidth="1"/>
    <col min="4365" max="4365" width="11.33203125" customWidth="1"/>
    <col min="4366" max="4366" width="14.5546875" customWidth="1"/>
    <col min="4367" max="4402" width="8.88671875" customWidth="1"/>
    <col min="4609" max="4609" width="5" customWidth="1"/>
    <col min="4610" max="4610" width="32" customWidth="1"/>
    <col min="4611" max="4612" width="13.6640625" customWidth="1"/>
    <col min="4613" max="4613" width="6.88671875" customWidth="1"/>
    <col min="4614" max="4614" width="15.109375" customWidth="1"/>
    <col min="4615" max="4615" width="22.109375" customWidth="1"/>
    <col min="4616" max="4616" width="21" customWidth="1"/>
    <col min="4617" max="4617" width="14.109375" customWidth="1"/>
    <col min="4618" max="4618" width="12.109375" customWidth="1"/>
    <col min="4619" max="4619" width="19.33203125" customWidth="1"/>
    <col min="4620" max="4620" width="18" customWidth="1"/>
    <col min="4621" max="4621" width="11.33203125" customWidth="1"/>
    <col min="4622" max="4622" width="14.5546875" customWidth="1"/>
    <col min="4623" max="4658" width="8.88671875" customWidth="1"/>
    <col min="4865" max="4865" width="5" customWidth="1"/>
    <col min="4866" max="4866" width="32" customWidth="1"/>
    <col min="4867" max="4868" width="13.6640625" customWidth="1"/>
    <col min="4869" max="4869" width="6.88671875" customWidth="1"/>
    <col min="4870" max="4870" width="15.109375" customWidth="1"/>
    <col min="4871" max="4871" width="22.109375" customWidth="1"/>
    <col min="4872" max="4872" width="21" customWidth="1"/>
    <col min="4873" max="4873" width="14.109375" customWidth="1"/>
    <col min="4874" max="4874" width="12.109375" customWidth="1"/>
    <col min="4875" max="4875" width="19.33203125" customWidth="1"/>
    <col min="4876" max="4876" width="18" customWidth="1"/>
    <col min="4877" max="4877" width="11.33203125" customWidth="1"/>
    <col min="4878" max="4878" width="14.5546875" customWidth="1"/>
    <col min="4879" max="4914" width="8.88671875" customWidth="1"/>
    <col min="5121" max="5121" width="5" customWidth="1"/>
    <col min="5122" max="5122" width="32" customWidth="1"/>
    <col min="5123" max="5124" width="13.6640625" customWidth="1"/>
    <col min="5125" max="5125" width="6.88671875" customWidth="1"/>
    <col min="5126" max="5126" width="15.109375" customWidth="1"/>
    <col min="5127" max="5127" width="22.109375" customWidth="1"/>
    <col min="5128" max="5128" width="21" customWidth="1"/>
    <col min="5129" max="5129" width="14.109375" customWidth="1"/>
    <col min="5130" max="5130" width="12.109375" customWidth="1"/>
    <col min="5131" max="5131" width="19.33203125" customWidth="1"/>
    <col min="5132" max="5132" width="18" customWidth="1"/>
    <col min="5133" max="5133" width="11.33203125" customWidth="1"/>
    <col min="5134" max="5134" width="14.5546875" customWidth="1"/>
    <col min="5135" max="5170" width="8.88671875" customWidth="1"/>
    <col min="5377" max="5377" width="5" customWidth="1"/>
    <col min="5378" max="5378" width="32" customWidth="1"/>
    <col min="5379" max="5380" width="13.6640625" customWidth="1"/>
    <col min="5381" max="5381" width="6.88671875" customWidth="1"/>
    <col min="5382" max="5382" width="15.109375" customWidth="1"/>
    <col min="5383" max="5383" width="22.109375" customWidth="1"/>
    <col min="5384" max="5384" width="21" customWidth="1"/>
    <col min="5385" max="5385" width="14.109375" customWidth="1"/>
    <col min="5386" max="5386" width="12.109375" customWidth="1"/>
    <col min="5387" max="5387" width="19.33203125" customWidth="1"/>
    <col min="5388" max="5388" width="18" customWidth="1"/>
    <col min="5389" max="5389" width="11.33203125" customWidth="1"/>
    <col min="5390" max="5390" width="14.5546875" customWidth="1"/>
    <col min="5391" max="5426" width="8.88671875" customWidth="1"/>
    <col min="5633" max="5633" width="5" customWidth="1"/>
    <col min="5634" max="5634" width="32" customWidth="1"/>
    <col min="5635" max="5636" width="13.6640625" customWidth="1"/>
    <col min="5637" max="5637" width="6.88671875" customWidth="1"/>
    <col min="5638" max="5638" width="15.109375" customWidth="1"/>
    <col min="5639" max="5639" width="22.109375" customWidth="1"/>
    <col min="5640" max="5640" width="21" customWidth="1"/>
    <col min="5641" max="5641" width="14.109375" customWidth="1"/>
    <col min="5642" max="5642" width="12.109375" customWidth="1"/>
    <col min="5643" max="5643" width="19.33203125" customWidth="1"/>
    <col min="5644" max="5644" width="18" customWidth="1"/>
    <col min="5645" max="5645" width="11.33203125" customWidth="1"/>
    <col min="5646" max="5646" width="14.5546875" customWidth="1"/>
    <col min="5647" max="5682" width="8.88671875" customWidth="1"/>
    <col min="5889" max="5889" width="5" customWidth="1"/>
    <col min="5890" max="5890" width="32" customWidth="1"/>
    <col min="5891" max="5892" width="13.6640625" customWidth="1"/>
    <col min="5893" max="5893" width="6.88671875" customWidth="1"/>
    <col min="5894" max="5894" width="15.109375" customWidth="1"/>
    <col min="5895" max="5895" width="22.109375" customWidth="1"/>
    <col min="5896" max="5896" width="21" customWidth="1"/>
    <col min="5897" max="5897" width="14.109375" customWidth="1"/>
    <col min="5898" max="5898" width="12.109375" customWidth="1"/>
    <col min="5899" max="5899" width="19.33203125" customWidth="1"/>
    <col min="5900" max="5900" width="18" customWidth="1"/>
    <col min="5901" max="5901" width="11.33203125" customWidth="1"/>
    <col min="5902" max="5902" width="14.5546875" customWidth="1"/>
    <col min="5903" max="5938" width="8.88671875" customWidth="1"/>
    <col min="6145" max="6145" width="5" customWidth="1"/>
    <col min="6146" max="6146" width="32" customWidth="1"/>
    <col min="6147" max="6148" width="13.6640625" customWidth="1"/>
    <col min="6149" max="6149" width="6.88671875" customWidth="1"/>
    <col min="6150" max="6150" width="15.109375" customWidth="1"/>
    <col min="6151" max="6151" width="22.109375" customWidth="1"/>
    <col min="6152" max="6152" width="21" customWidth="1"/>
    <col min="6153" max="6153" width="14.109375" customWidth="1"/>
    <col min="6154" max="6154" width="12.109375" customWidth="1"/>
    <col min="6155" max="6155" width="19.33203125" customWidth="1"/>
    <col min="6156" max="6156" width="18" customWidth="1"/>
    <col min="6157" max="6157" width="11.33203125" customWidth="1"/>
    <col min="6158" max="6158" width="14.5546875" customWidth="1"/>
    <col min="6159" max="6194" width="8.88671875" customWidth="1"/>
    <col min="6401" max="6401" width="5" customWidth="1"/>
    <col min="6402" max="6402" width="32" customWidth="1"/>
    <col min="6403" max="6404" width="13.6640625" customWidth="1"/>
    <col min="6405" max="6405" width="6.88671875" customWidth="1"/>
    <col min="6406" max="6406" width="15.109375" customWidth="1"/>
    <col min="6407" max="6407" width="22.109375" customWidth="1"/>
    <col min="6408" max="6408" width="21" customWidth="1"/>
    <col min="6409" max="6409" width="14.109375" customWidth="1"/>
    <col min="6410" max="6410" width="12.109375" customWidth="1"/>
    <col min="6411" max="6411" width="19.33203125" customWidth="1"/>
    <col min="6412" max="6412" width="18" customWidth="1"/>
    <col min="6413" max="6413" width="11.33203125" customWidth="1"/>
    <col min="6414" max="6414" width="14.5546875" customWidth="1"/>
    <col min="6415" max="6450" width="8.88671875" customWidth="1"/>
    <col min="6657" max="6657" width="5" customWidth="1"/>
    <col min="6658" max="6658" width="32" customWidth="1"/>
    <col min="6659" max="6660" width="13.6640625" customWidth="1"/>
    <col min="6661" max="6661" width="6.88671875" customWidth="1"/>
    <col min="6662" max="6662" width="15.109375" customWidth="1"/>
    <col min="6663" max="6663" width="22.109375" customWidth="1"/>
    <col min="6664" max="6664" width="21" customWidth="1"/>
    <col min="6665" max="6665" width="14.109375" customWidth="1"/>
    <col min="6666" max="6666" width="12.109375" customWidth="1"/>
    <col min="6667" max="6667" width="19.33203125" customWidth="1"/>
    <col min="6668" max="6668" width="18" customWidth="1"/>
    <col min="6669" max="6669" width="11.33203125" customWidth="1"/>
    <col min="6670" max="6670" width="14.5546875" customWidth="1"/>
    <col min="6671" max="6706" width="8.88671875" customWidth="1"/>
    <col min="6913" max="6913" width="5" customWidth="1"/>
    <col min="6914" max="6914" width="32" customWidth="1"/>
    <col min="6915" max="6916" width="13.6640625" customWidth="1"/>
    <col min="6917" max="6917" width="6.88671875" customWidth="1"/>
    <col min="6918" max="6918" width="15.109375" customWidth="1"/>
    <col min="6919" max="6919" width="22.109375" customWidth="1"/>
    <col min="6920" max="6920" width="21" customWidth="1"/>
    <col min="6921" max="6921" width="14.109375" customWidth="1"/>
    <col min="6922" max="6922" width="12.109375" customWidth="1"/>
    <col min="6923" max="6923" width="19.33203125" customWidth="1"/>
    <col min="6924" max="6924" width="18" customWidth="1"/>
    <col min="6925" max="6925" width="11.33203125" customWidth="1"/>
    <col min="6926" max="6926" width="14.5546875" customWidth="1"/>
    <col min="6927" max="6962" width="8.88671875" customWidth="1"/>
    <col min="7169" max="7169" width="5" customWidth="1"/>
    <col min="7170" max="7170" width="32" customWidth="1"/>
    <col min="7171" max="7172" width="13.6640625" customWidth="1"/>
    <col min="7173" max="7173" width="6.88671875" customWidth="1"/>
    <col min="7174" max="7174" width="15.109375" customWidth="1"/>
    <col min="7175" max="7175" width="22.109375" customWidth="1"/>
    <col min="7176" max="7176" width="21" customWidth="1"/>
    <col min="7177" max="7177" width="14.109375" customWidth="1"/>
    <col min="7178" max="7178" width="12.109375" customWidth="1"/>
    <col min="7179" max="7179" width="19.33203125" customWidth="1"/>
    <col min="7180" max="7180" width="18" customWidth="1"/>
    <col min="7181" max="7181" width="11.33203125" customWidth="1"/>
    <col min="7182" max="7182" width="14.5546875" customWidth="1"/>
    <col min="7183" max="7218" width="8.88671875" customWidth="1"/>
    <col min="7425" max="7425" width="5" customWidth="1"/>
    <col min="7426" max="7426" width="32" customWidth="1"/>
    <col min="7427" max="7428" width="13.6640625" customWidth="1"/>
    <col min="7429" max="7429" width="6.88671875" customWidth="1"/>
    <col min="7430" max="7430" width="15.109375" customWidth="1"/>
    <col min="7431" max="7431" width="22.109375" customWidth="1"/>
    <col min="7432" max="7432" width="21" customWidth="1"/>
    <col min="7433" max="7433" width="14.109375" customWidth="1"/>
    <col min="7434" max="7434" width="12.109375" customWidth="1"/>
    <col min="7435" max="7435" width="19.33203125" customWidth="1"/>
    <col min="7436" max="7436" width="18" customWidth="1"/>
    <col min="7437" max="7437" width="11.33203125" customWidth="1"/>
    <col min="7438" max="7438" width="14.5546875" customWidth="1"/>
    <col min="7439" max="7474" width="8.88671875" customWidth="1"/>
    <col min="7681" max="7681" width="5" customWidth="1"/>
    <col min="7682" max="7682" width="32" customWidth="1"/>
    <col min="7683" max="7684" width="13.6640625" customWidth="1"/>
    <col min="7685" max="7685" width="6.88671875" customWidth="1"/>
    <col min="7686" max="7686" width="15.109375" customWidth="1"/>
    <col min="7687" max="7687" width="22.109375" customWidth="1"/>
    <col min="7688" max="7688" width="21" customWidth="1"/>
    <col min="7689" max="7689" width="14.109375" customWidth="1"/>
    <col min="7690" max="7690" width="12.109375" customWidth="1"/>
    <col min="7691" max="7691" width="19.33203125" customWidth="1"/>
    <col min="7692" max="7692" width="18" customWidth="1"/>
    <col min="7693" max="7693" width="11.33203125" customWidth="1"/>
    <col min="7694" max="7694" width="14.5546875" customWidth="1"/>
    <col min="7695" max="7730" width="8.88671875" customWidth="1"/>
    <col min="7937" max="7937" width="5" customWidth="1"/>
    <col min="7938" max="7938" width="32" customWidth="1"/>
    <col min="7939" max="7940" width="13.6640625" customWidth="1"/>
    <col min="7941" max="7941" width="6.88671875" customWidth="1"/>
    <col min="7942" max="7942" width="15.109375" customWidth="1"/>
    <col min="7943" max="7943" width="22.109375" customWidth="1"/>
    <col min="7944" max="7944" width="21" customWidth="1"/>
    <col min="7945" max="7945" width="14.109375" customWidth="1"/>
    <col min="7946" max="7946" width="12.109375" customWidth="1"/>
    <col min="7947" max="7947" width="19.33203125" customWidth="1"/>
    <col min="7948" max="7948" width="18" customWidth="1"/>
    <col min="7949" max="7949" width="11.33203125" customWidth="1"/>
    <col min="7950" max="7950" width="14.5546875" customWidth="1"/>
    <col min="7951" max="7986" width="8.88671875" customWidth="1"/>
    <col min="8193" max="8193" width="5" customWidth="1"/>
    <col min="8194" max="8194" width="32" customWidth="1"/>
    <col min="8195" max="8196" width="13.6640625" customWidth="1"/>
    <col min="8197" max="8197" width="6.88671875" customWidth="1"/>
    <col min="8198" max="8198" width="15.109375" customWidth="1"/>
    <col min="8199" max="8199" width="22.109375" customWidth="1"/>
    <col min="8200" max="8200" width="21" customWidth="1"/>
    <col min="8201" max="8201" width="14.109375" customWidth="1"/>
    <col min="8202" max="8202" width="12.109375" customWidth="1"/>
    <col min="8203" max="8203" width="19.33203125" customWidth="1"/>
    <col min="8204" max="8204" width="18" customWidth="1"/>
    <col min="8205" max="8205" width="11.33203125" customWidth="1"/>
    <col min="8206" max="8206" width="14.5546875" customWidth="1"/>
    <col min="8207" max="8242" width="8.88671875" customWidth="1"/>
    <col min="8449" max="8449" width="5" customWidth="1"/>
    <col min="8450" max="8450" width="32" customWidth="1"/>
    <col min="8451" max="8452" width="13.6640625" customWidth="1"/>
    <col min="8453" max="8453" width="6.88671875" customWidth="1"/>
    <col min="8454" max="8454" width="15.109375" customWidth="1"/>
    <col min="8455" max="8455" width="22.109375" customWidth="1"/>
    <col min="8456" max="8456" width="21" customWidth="1"/>
    <col min="8457" max="8457" width="14.109375" customWidth="1"/>
    <col min="8458" max="8458" width="12.109375" customWidth="1"/>
    <col min="8459" max="8459" width="19.33203125" customWidth="1"/>
    <col min="8460" max="8460" width="18" customWidth="1"/>
    <col min="8461" max="8461" width="11.33203125" customWidth="1"/>
    <col min="8462" max="8462" width="14.5546875" customWidth="1"/>
    <col min="8463" max="8498" width="8.88671875" customWidth="1"/>
    <col min="8705" max="8705" width="5" customWidth="1"/>
    <col min="8706" max="8706" width="32" customWidth="1"/>
    <col min="8707" max="8708" width="13.6640625" customWidth="1"/>
    <col min="8709" max="8709" width="6.88671875" customWidth="1"/>
    <col min="8710" max="8710" width="15.109375" customWidth="1"/>
    <col min="8711" max="8711" width="22.109375" customWidth="1"/>
    <col min="8712" max="8712" width="21" customWidth="1"/>
    <col min="8713" max="8713" width="14.109375" customWidth="1"/>
    <col min="8714" max="8714" width="12.109375" customWidth="1"/>
    <col min="8715" max="8715" width="19.33203125" customWidth="1"/>
    <col min="8716" max="8716" width="18" customWidth="1"/>
    <col min="8717" max="8717" width="11.33203125" customWidth="1"/>
    <col min="8718" max="8718" width="14.5546875" customWidth="1"/>
    <col min="8719" max="8754" width="8.88671875" customWidth="1"/>
    <col min="8961" max="8961" width="5" customWidth="1"/>
    <col min="8962" max="8962" width="32" customWidth="1"/>
    <col min="8963" max="8964" width="13.6640625" customWidth="1"/>
    <col min="8965" max="8965" width="6.88671875" customWidth="1"/>
    <col min="8966" max="8966" width="15.109375" customWidth="1"/>
    <col min="8967" max="8967" width="22.109375" customWidth="1"/>
    <col min="8968" max="8968" width="21" customWidth="1"/>
    <col min="8969" max="8969" width="14.109375" customWidth="1"/>
    <col min="8970" max="8970" width="12.109375" customWidth="1"/>
    <col min="8971" max="8971" width="19.33203125" customWidth="1"/>
    <col min="8972" max="8972" width="18" customWidth="1"/>
    <col min="8973" max="8973" width="11.33203125" customWidth="1"/>
    <col min="8974" max="8974" width="14.5546875" customWidth="1"/>
    <col min="8975" max="9010" width="8.88671875" customWidth="1"/>
    <col min="9217" max="9217" width="5" customWidth="1"/>
    <col min="9218" max="9218" width="32" customWidth="1"/>
    <col min="9219" max="9220" width="13.6640625" customWidth="1"/>
    <col min="9221" max="9221" width="6.88671875" customWidth="1"/>
    <col min="9222" max="9222" width="15.109375" customWidth="1"/>
    <col min="9223" max="9223" width="22.109375" customWidth="1"/>
    <col min="9224" max="9224" width="21" customWidth="1"/>
    <col min="9225" max="9225" width="14.109375" customWidth="1"/>
    <col min="9226" max="9226" width="12.109375" customWidth="1"/>
    <col min="9227" max="9227" width="19.33203125" customWidth="1"/>
    <col min="9228" max="9228" width="18" customWidth="1"/>
    <col min="9229" max="9229" width="11.33203125" customWidth="1"/>
    <col min="9230" max="9230" width="14.5546875" customWidth="1"/>
    <col min="9231" max="9266" width="8.88671875" customWidth="1"/>
    <col min="9473" max="9473" width="5" customWidth="1"/>
    <col min="9474" max="9474" width="32" customWidth="1"/>
    <col min="9475" max="9476" width="13.6640625" customWidth="1"/>
    <col min="9477" max="9477" width="6.88671875" customWidth="1"/>
    <col min="9478" max="9478" width="15.109375" customWidth="1"/>
    <col min="9479" max="9479" width="22.109375" customWidth="1"/>
    <col min="9480" max="9480" width="21" customWidth="1"/>
    <col min="9481" max="9481" width="14.109375" customWidth="1"/>
    <col min="9482" max="9482" width="12.109375" customWidth="1"/>
    <col min="9483" max="9483" width="19.33203125" customWidth="1"/>
    <col min="9484" max="9484" width="18" customWidth="1"/>
    <col min="9485" max="9485" width="11.33203125" customWidth="1"/>
    <col min="9486" max="9486" width="14.5546875" customWidth="1"/>
    <col min="9487" max="9522" width="8.88671875" customWidth="1"/>
    <col min="9729" max="9729" width="5" customWidth="1"/>
    <col min="9730" max="9730" width="32" customWidth="1"/>
    <col min="9731" max="9732" width="13.6640625" customWidth="1"/>
    <col min="9733" max="9733" width="6.88671875" customWidth="1"/>
    <col min="9734" max="9734" width="15.109375" customWidth="1"/>
    <col min="9735" max="9735" width="22.109375" customWidth="1"/>
    <col min="9736" max="9736" width="21" customWidth="1"/>
    <col min="9737" max="9737" width="14.109375" customWidth="1"/>
    <col min="9738" max="9738" width="12.109375" customWidth="1"/>
    <col min="9739" max="9739" width="19.33203125" customWidth="1"/>
    <col min="9740" max="9740" width="18" customWidth="1"/>
    <col min="9741" max="9741" width="11.33203125" customWidth="1"/>
    <col min="9742" max="9742" width="14.5546875" customWidth="1"/>
    <col min="9743" max="9778" width="8.88671875" customWidth="1"/>
    <col min="9985" max="9985" width="5" customWidth="1"/>
    <col min="9986" max="9986" width="32" customWidth="1"/>
    <col min="9987" max="9988" width="13.6640625" customWidth="1"/>
    <col min="9989" max="9989" width="6.88671875" customWidth="1"/>
    <col min="9990" max="9990" width="15.109375" customWidth="1"/>
    <col min="9991" max="9991" width="22.109375" customWidth="1"/>
    <col min="9992" max="9992" width="21" customWidth="1"/>
    <col min="9993" max="9993" width="14.109375" customWidth="1"/>
    <col min="9994" max="9994" width="12.109375" customWidth="1"/>
    <col min="9995" max="9995" width="19.33203125" customWidth="1"/>
    <col min="9996" max="9996" width="18" customWidth="1"/>
    <col min="9997" max="9997" width="11.33203125" customWidth="1"/>
    <col min="9998" max="9998" width="14.5546875" customWidth="1"/>
    <col min="9999" max="10034" width="8.88671875" customWidth="1"/>
    <col min="10241" max="10241" width="5" customWidth="1"/>
    <col min="10242" max="10242" width="32" customWidth="1"/>
    <col min="10243" max="10244" width="13.6640625" customWidth="1"/>
    <col min="10245" max="10245" width="6.88671875" customWidth="1"/>
    <col min="10246" max="10246" width="15.109375" customWidth="1"/>
    <col min="10247" max="10247" width="22.109375" customWidth="1"/>
    <col min="10248" max="10248" width="21" customWidth="1"/>
    <col min="10249" max="10249" width="14.109375" customWidth="1"/>
    <col min="10250" max="10250" width="12.109375" customWidth="1"/>
    <col min="10251" max="10251" width="19.33203125" customWidth="1"/>
    <col min="10252" max="10252" width="18" customWidth="1"/>
    <col min="10253" max="10253" width="11.33203125" customWidth="1"/>
    <col min="10254" max="10254" width="14.5546875" customWidth="1"/>
    <col min="10255" max="10290" width="8.88671875" customWidth="1"/>
    <col min="10497" max="10497" width="5" customWidth="1"/>
    <col min="10498" max="10498" width="32" customWidth="1"/>
    <col min="10499" max="10500" width="13.6640625" customWidth="1"/>
    <col min="10501" max="10501" width="6.88671875" customWidth="1"/>
    <col min="10502" max="10502" width="15.109375" customWidth="1"/>
    <col min="10503" max="10503" width="22.109375" customWidth="1"/>
    <col min="10504" max="10504" width="21" customWidth="1"/>
    <col min="10505" max="10505" width="14.109375" customWidth="1"/>
    <col min="10506" max="10506" width="12.109375" customWidth="1"/>
    <col min="10507" max="10507" width="19.33203125" customWidth="1"/>
    <col min="10508" max="10508" width="18" customWidth="1"/>
    <col min="10509" max="10509" width="11.33203125" customWidth="1"/>
    <col min="10510" max="10510" width="14.5546875" customWidth="1"/>
    <col min="10511" max="10546" width="8.88671875" customWidth="1"/>
    <col min="10753" max="10753" width="5" customWidth="1"/>
    <col min="10754" max="10754" width="32" customWidth="1"/>
    <col min="10755" max="10756" width="13.6640625" customWidth="1"/>
    <col min="10757" max="10757" width="6.88671875" customWidth="1"/>
    <col min="10758" max="10758" width="15.109375" customWidth="1"/>
    <col min="10759" max="10759" width="22.109375" customWidth="1"/>
    <col min="10760" max="10760" width="21" customWidth="1"/>
    <col min="10761" max="10761" width="14.109375" customWidth="1"/>
    <col min="10762" max="10762" width="12.109375" customWidth="1"/>
    <col min="10763" max="10763" width="19.33203125" customWidth="1"/>
    <col min="10764" max="10764" width="18" customWidth="1"/>
    <col min="10765" max="10765" width="11.33203125" customWidth="1"/>
    <col min="10766" max="10766" width="14.5546875" customWidth="1"/>
    <col min="10767" max="10802" width="8.88671875" customWidth="1"/>
    <col min="11009" max="11009" width="5" customWidth="1"/>
    <col min="11010" max="11010" width="32" customWidth="1"/>
    <col min="11011" max="11012" width="13.6640625" customWidth="1"/>
    <col min="11013" max="11013" width="6.88671875" customWidth="1"/>
    <col min="11014" max="11014" width="15.109375" customWidth="1"/>
    <col min="11015" max="11015" width="22.109375" customWidth="1"/>
    <col min="11016" max="11016" width="21" customWidth="1"/>
    <col min="11017" max="11017" width="14.109375" customWidth="1"/>
    <col min="11018" max="11018" width="12.109375" customWidth="1"/>
    <col min="11019" max="11019" width="19.33203125" customWidth="1"/>
    <col min="11020" max="11020" width="18" customWidth="1"/>
    <col min="11021" max="11021" width="11.33203125" customWidth="1"/>
    <col min="11022" max="11022" width="14.5546875" customWidth="1"/>
    <col min="11023" max="11058" width="8.88671875" customWidth="1"/>
    <col min="11265" max="11265" width="5" customWidth="1"/>
    <col min="11266" max="11266" width="32" customWidth="1"/>
    <col min="11267" max="11268" width="13.6640625" customWidth="1"/>
    <col min="11269" max="11269" width="6.88671875" customWidth="1"/>
    <col min="11270" max="11270" width="15.109375" customWidth="1"/>
    <col min="11271" max="11271" width="22.109375" customWidth="1"/>
    <col min="11272" max="11272" width="21" customWidth="1"/>
    <col min="11273" max="11273" width="14.109375" customWidth="1"/>
    <col min="11274" max="11274" width="12.109375" customWidth="1"/>
    <col min="11275" max="11275" width="19.33203125" customWidth="1"/>
    <col min="11276" max="11276" width="18" customWidth="1"/>
    <col min="11277" max="11277" width="11.33203125" customWidth="1"/>
    <col min="11278" max="11278" width="14.5546875" customWidth="1"/>
    <col min="11279" max="11314" width="8.88671875" customWidth="1"/>
    <col min="11521" max="11521" width="5" customWidth="1"/>
    <col min="11522" max="11522" width="32" customWidth="1"/>
    <col min="11523" max="11524" width="13.6640625" customWidth="1"/>
    <col min="11525" max="11525" width="6.88671875" customWidth="1"/>
    <col min="11526" max="11526" width="15.109375" customWidth="1"/>
    <col min="11527" max="11527" width="22.109375" customWidth="1"/>
    <col min="11528" max="11528" width="21" customWidth="1"/>
    <col min="11529" max="11529" width="14.109375" customWidth="1"/>
    <col min="11530" max="11530" width="12.109375" customWidth="1"/>
    <col min="11531" max="11531" width="19.33203125" customWidth="1"/>
    <col min="11532" max="11532" width="18" customWidth="1"/>
    <col min="11533" max="11533" width="11.33203125" customWidth="1"/>
    <col min="11534" max="11534" width="14.5546875" customWidth="1"/>
    <col min="11535" max="11570" width="8.88671875" customWidth="1"/>
    <col min="11777" max="11777" width="5" customWidth="1"/>
    <col min="11778" max="11778" width="32" customWidth="1"/>
    <col min="11779" max="11780" width="13.6640625" customWidth="1"/>
    <col min="11781" max="11781" width="6.88671875" customWidth="1"/>
    <col min="11782" max="11782" width="15.109375" customWidth="1"/>
    <col min="11783" max="11783" width="22.109375" customWidth="1"/>
    <col min="11784" max="11784" width="21" customWidth="1"/>
    <col min="11785" max="11785" width="14.109375" customWidth="1"/>
    <col min="11786" max="11786" width="12.109375" customWidth="1"/>
    <col min="11787" max="11787" width="19.33203125" customWidth="1"/>
    <col min="11788" max="11788" width="18" customWidth="1"/>
    <col min="11789" max="11789" width="11.33203125" customWidth="1"/>
    <col min="11790" max="11790" width="14.5546875" customWidth="1"/>
    <col min="11791" max="11826" width="8.88671875" customWidth="1"/>
    <col min="12033" max="12033" width="5" customWidth="1"/>
    <col min="12034" max="12034" width="32" customWidth="1"/>
    <col min="12035" max="12036" width="13.6640625" customWidth="1"/>
    <col min="12037" max="12037" width="6.88671875" customWidth="1"/>
    <col min="12038" max="12038" width="15.109375" customWidth="1"/>
    <col min="12039" max="12039" width="22.109375" customWidth="1"/>
    <col min="12040" max="12040" width="21" customWidth="1"/>
    <col min="12041" max="12041" width="14.109375" customWidth="1"/>
    <col min="12042" max="12042" width="12.109375" customWidth="1"/>
    <col min="12043" max="12043" width="19.33203125" customWidth="1"/>
    <col min="12044" max="12044" width="18" customWidth="1"/>
    <col min="12045" max="12045" width="11.33203125" customWidth="1"/>
    <col min="12046" max="12046" width="14.5546875" customWidth="1"/>
    <col min="12047" max="12082" width="8.88671875" customWidth="1"/>
    <col min="12289" max="12289" width="5" customWidth="1"/>
    <col min="12290" max="12290" width="32" customWidth="1"/>
    <col min="12291" max="12292" width="13.6640625" customWidth="1"/>
    <col min="12293" max="12293" width="6.88671875" customWidth="1"/>
    <col min="12294" max="12294" width="15.109375" customWidth="1"/>
    <col min="12295" max="12295" width="22.109375" customWidth="1"/>
    <col min="12296" max="12296" width="21" customWidth="1"/>
    <col min="12297" max="12297" width="14.109375" customWidth="1"/>
    <col min="12298" max="12298" width="12.109375" customWidth="1"/>
    <col min="12299" max="12299" width="19.33203125" customWidth="1"/>
    <col min="12300" max="12300" width="18" customWidth="1"/>
    <col min="12301" max="12301" width="11.33203125" customWidth="1"/>
    <col min="12302" max="12302" width="14.5546875" customWidth="1"/>
    <col min="12303" max="12338" width="8.88671875" customWidth="1"/>
    <col min="12545" max="12545" width="5" customWidth="1"/>
    <col min="12546" max="12546" width="32" customWidth="1"/>
    <col min="12547" max="12548" width="13.6640625" customWidth="1"/>
    <col min="12549" max="12549" width="6.88671875" customWidth="1"/>
    <col min="12550" max="12550" width="15.109375" customWidth="1"/>
    <col min="12551" max="12551" width="22.109375" customWidth="1"/>
    <col min="12552" max="12552" width="21" customWidth="1"/>
    <col min="12553" max="12553" width="14.109375" customWidth="1"/>
    <col min="12554" max="12554" width="12.109375" customWidth="1"/>
    <col min="12555" max="12555" width="19.33203125" customWidth="1"/>
    <col min="12556" max="12556" width="18" customWidth="1"/>
    <col min="12557" max="12557" width="11.33203125" customWidth="1"/>
    <col min="12558" max="12558" width="14.5546875" customWidth="1"/>
    <col min="12559" max="12594" width="8.88671875" customWidth="1"/>
    <col min="12801" max="12801" width="5" customWidth="1"/>
    <col min="12802" max="12802" width="32" customWidth="1"/>
    <col min="12803" max="12804" width="13.6640625" customWidth="1"/>
    <col min="12805" max="12805" width="6.88671875" customWidth="1"/>
    <col min="12806" max="12806" width="15.109375" customWidth="1"/>
    <col min="12807" max="12807" width="22.109375" customWidth="1"/>
    <col min="12808" max="12808" width="21" customWidth="1"/>
    <col min="12809" max="12809" width="14.109375" customWidth="1"/>
    <col min="12810" max="12810" width="12.109375" customWidth="1"/>
    <col min="12811" max="12811" width="19.33203125" customWidth="1"/>
    <col min="12812" max="12812" width="18" customWidth="1"/>
    <col min="12813" max="12813" width="11.33203125" customWidth="1"/>
    <col min="12814" max="12814" width="14.5546875" customWidth="1"/>
    <col min="12815" max="12850" width="8.88671875" customWidth="1"/>
    <col min="13057" max="13057" width="5" customWidth="1"/>
    <col min="13058" max="13058" width="32" customWidth="1"/>
    <col min="13059" max="13060" width="13.6640625" customWidth="1"/>
    <col min="13061" max="13061" width="6.88671875" customWidth="1"/>
    <col min="13062" max="13062" width="15.109375" customWidth="1"/>
    <col min="13063" max="13063" width="22.109375" customWidth="1"/>
    <col min="13064" max="13064" width="21" customWidth="1"/>
    <col min="13065" max="13065" width="14.109375" customWidth="1"/>
    <col min="13066" max="13066" width="12.109375" customWidth="1"/>
    <col min="13067" max="13067" width="19.33203125" customWidth="1"/>
    <col min="13068" max="13068" width="18" customWidth="1"/>
    <col min="13069" max="13069" width="11.33203125" customWidth="1"/>
    <col min="13070" max="13070" width="14.5546875" customWidth="1"/>
    <col min="13071" max="13106" width="8.88671875" customWidth="1"/>
    <col min="13313" max="13313" width="5" customWidth="1"/>
    <col min="13314" max="13314" width="32" customWidth="1"/>
    <col min="13315" max="13316" width="13.6640625" customWidth="1"/>
    <col min="13317" max="13317" width="6.88671875" customWidth="1"/>
    <col min="13318" max="13318" width="15.109375" customWidth="1"/>
    <col min="13319" max="13319" width="22.109375" customWidth="1"/>
    <col min="13320" max="13320" width="21" customWidth="1"/>
    <col min="13321" max="13321" width="14.109375" customWidth="1"/>
    <col min="13322" max="13322" width="12.109375" customWidth="1"/>
    <col min="13323" max="13323" width="19.33203125" customWidth="1"/>
    <col min="13324" max="13324" width="18" customWidth="1"/>
    <col min="13325" max="13325" width="11.33203125" customWidth="1"/>
    <col min="13326" max="13326" width="14.5546875" customWidth="1"/>
    <col min="13327" max="13362" width="8.88671875" customWidth="1"/>
    <col min="13569" max="13569" width="5" customWidth="1"/>
    <col min="13570" max="13570" width="32" customWidth="1"/>
    <col min="13571" max="13572" width="13.6640625" customWidth="1"/>
    <col min="13573" max="13573" width="6.88671875" customWidth="1"/>
    <col min="13574" max="13574" width="15.109375" customWidth="1"/>
    <col min="13575" max="13575" width="22.109375" customWidth="1"/>
    <col min="13576" max="13576" width="21" customWidth="1"/>
    <col min="13577" max="13577" width="14.109375" customWidth="1"/>
    <col min="13578" max="13578" width="12.109375" customWidth="1"/>
    <col min="13579" max="13579" width="19.33203125" customWidth="1"/>
    <col min="13580" max="13580" width="18" customWidth="1"/>
    <col min="13581" max="13581" width="11.33203125" customWidth="1"/>
    <col min="13582" max="13582" width="14.5546875" customWidth="1"/>
    <col min="13583" max="13618" width="8.88671875" customWidth="1"/>
    <col min="13825" max="13825" width="5" customWidth="1"/>
    <col min="13826" max="13826" width="32" customWidth="1"/>
    <col min="13827" max="13828" width="13.6640625" customWidth="1"/>
    <col min="13829" max="13829" width="6.88671875" customWidth="1"/>
    <col min="13830" max="13830" width="15.109375" customWidth="1"/>
    <col min="13831" max="13831" width="22.109375" customWidth="1"/>
    <col min="13832" max="13832" width="21" customWidth="1"/>
    <col min="13833" max="13833" width="14.109375" customWidth="1"/>
    <col min="13834" max="13834" width="12.109375" customWidth="1"/>
    <col min="13835" max="13835" width="19.33203125" customWidth="1"/>
    <col min="13836" max="13836" width="18" customWidth="1"/>
    <col min="13837" max="13837" width="11.33203125" customWidth="1"/>
    <col min="13838" max="13838" width="14.5546875" customWidth="1"/>
    <col min="13839" max="13874" width="8.88671875" customWidth="1"/>
    <col min="14081" max="14081" width="5" customWidth="1"/>
    <col min="14082" max="14082" width="32" customWidth="1"/>
    <col min="14083" max="14084" width="13.6640625" customWidth="1"/>
    <col min="14085" max="14085" width="6.88671875" customWidth="1"/>
    <col min="14086" max="14086" width="15.109375" customWidth="1"/>
    <col min="14087" max="14087" width="22.109375" customWidth="1"/>
    <col min="14088" max="14088" width="21" customWidth="1"/>
    <col min="14089" max="14089" width="14.109375" customWidth="1"/>
    <col min="14090" max="14090" width="12.109375" customWidth="1"/>
    <col min="14091" max="14091" width="19.33203125" customWidth="1"/>
    <col min="14092" max="14092" width="18" customWidth="1"/>
    <col min="14093" max="14093" width="11.33203125" customWidth="1"/>
    <col min="14094" max="14094" width="14.5546875" customWidth="1"/>
    <col min="14095" max="14130" width="8.88671875" customWidth="1"/>
    <col min="14337" max="14337" width="5" customWidth="1"/>
    <col min="14338" max="14338" width="32" customWidth="1"/>
    <col min="14339" max="14340" width="13.6640625" customWidth="1"/>
    <col min="14341" max="14341" width="6.88671875" customWidth="1"/>
    <col min="14342" max="14342" width="15.109375" customWidth="1"/>
    <col min="14343" max="14343" width="22.109375" customWidth="1"/>
    <col min="14344" max="14344" width="21" customWidth="1"/>
    <col min="14345" max="14345" width="14.109375" customWidth="1"/>
    <col min="14346" max="14346" width="12.109375" customWidth="1"/>
    <col min="14347" max="14347" width="19.33203125" customWidth="1"/>
    <col min="14348" max="14348" width="18" customWidth="1"/>
    <col min="14349" max="14349" width="11.33203125" customWidth="1"/>
    <col min="14350" max="14350" width="14.5546875" customWidth="1"/>
    <col min="14351" max="14386" width="8.88671875" customWidth="1"/>
    <col min="14593" max="14593" width="5" customWidth="1"/>
    <col min="14594" max="14594" width="32" customWidth="1"/>
    <col min="14595" max="14596" width="13.6640625" customWidth="1"/>
    <col min="14597" max="14597" width="6.88671875" customWidth="1"/>
    <col min="14598" max="14598" width="15.109375" customWidth="1"/>
    <col min="14599" max="14599" width="22.109375" customWidth="1"/>
    <col min="14600" max="14600" width="21" customWidth="1"/>
    <col min="14601" max="14601" width="14.109375" customWidth="1"/>
    <col min="14602" max="14602" width="12.109375" customWidth="1"/>
    <col min="14603" max="14603" width="19.33203125" customWidth="1"/>
    <col min="14604" max="14604" width="18" customWidth="1"/>
    <col min="14605" max="14605" width="11.33203125" customWidth="1"/>
    <col min="14606" max="14606" width="14.5546875" customWidth="1"/>
    <col min="14607" max="14642" width="8.88671875" customWidth="1"/>
    <col min="14849" max="14849" width="5" customWidth="1"/>
    <col min="14850" max="14850" width="32" customWidth="1"/>
    <col min="14851" max="14852" width="13.6640625" customWidth="1"/>
    <col min="14853" max="14853" width="6.88671875" customWidth="1"/>
    <col min="14854" max="14854" width="15.109375" customWidth="1"/>
    <col min="14855" max="14855" width="22.109375" customWidth="1"/>
    <col min="14856" max="14856" width="21" customWidth="1"/>
    <col min="14857" max="14857" width="14.109375" customWidth="1"/>
    <col min="14858" max="14858" width="12.109375" customWidth="1"/>
    <col min="14859" max="14859" width="19.33203125" customWidth="1"/>
    <col min="14860" max="14860" width="18" customWidth="1"/>
    <col min="14861" max="14861" width="11.33203125" customWidth="1"/>
    <col min="14862" max="14862" width="14.5546875" customWidth="1"/>
    <col min="14863" max="14898" width="8.88671875" customWidth="1"/>
    <col min="15105" max="15105" width="5" customWidth="1"/>
    <col min="15106" max="15106" width="32" customWidth="1"/>
    <col min="15107" max="15108" width="13.6640625" customWidth="1"/>
    <col min="15109" max="15109" width="6.88671875" customWidth="1"/>
    <col min="15110" max="15110" width="15.109375" customWidth="1"/>
    <col min="15111" max="15111" width="22.109375" customWidth="1"/>
    <col min="15112" max="15112" width="21" customWidth="1"/>
    <col min="15113" max="15113" width="14.109375" customWidth="1"/>
    <col min="15114" max="15114" width="12.109375" customWidth="1"/>
    <col min="15115" max="15115" width="19.33203125" customWidth="1"/>
    <col min="15116" max="15116" width="18" customWidth="1"/>
    <col min="15117" max="15117" width="11.33203125" customWidth="1"/>
    <col min="15118" max="15118" width="14.5546875" customWidth="1"/>
    <col min="15119" max="15154" width="8.88671875" customWidth="1"/>
    <col min="15361" max="15361" width="5" customWidth="1"/>
    <col min="15362" max="15362" width="32" customWidth="1"/>
    <col min="15363" max="15364" width="13.6640625" customWidth="1"/>
    <col min="15365" max="15365" width="6.88671875" customWidth="1"/>
    <col min="15366" max="15366" width="15.109375" customWidth="1"/>
    <col min="15367" max="15367" width="22.109375" customWidth="1"/>
    <col min="15368" max="15368" width="21" customWidth="1"/>
    <col min="15369" max="15369" width="14.109375" customWidth="1"/>
    <col min="15370" max="15370" width="12.109375" customWidth="1"/>
    <col min="15371" max="15371" width="19.33203125" customWidth="1"/>
    <col min="15372" max="15372" width="18" customWidth="1"/>
    <col min="15373" max="15373" width="11.33203125" customWidth="1"/>
    <col min="15374" max="15374" width="14.5546875" customWidth="1"/>
    <col min="15375" max="15410" width="8.88671875" customWidth="1"/>
    <col min="15617" max="15617" width="5" customWidth="1"/>
    <col min="15618" max="15618" width="32" customWidth="1"/>
    <col min="15619" max="15620" width="13.6640625" customWidth="1"/>
    <col min="15621" max="15621" width="6.88671875" customWidth="1"/>
    <col min="15622" max="15622" width="15.109375" customWidth="1"/>
    <col min="15623" max="15623" width="22.109375" customWidth="1"/>
    <col min="15624" max="15624" width="21" customWidth="1"/>
    <col min="15625" max="15625" width="14.109375" customWidth="1"/>
    <col min="15626" max="15626" width="12.109375" customWidth="1"/>
    <col min="15627" max="15627" width="19.33203125" customWidth="1"/>
    <col min="15628" max="15628" width="18" customWidth="1"/>
    <col min="15629" max="15629" width="11.33203125" customWidth="1"/>
    <col min="15630" max="15630" width="14.5546875" customWidth="1"/>
    <col min="15631" max="15666" width="8.88671875" customWidth="1"/>
    <col min="15873" max="15873" width="5" customWidth="1"/>
    <col min="15874" max="15874" width="32" customWidth="1"/>
    <col min="15875" max="15876" width="13.6640625" customWidth="1"/>
    <col min="15877" max="15877" width="6.88671875" customWidth="1"/>
    <col min="15878" max="15878" width="15.109375" customWidth="1"/>
    <col min="15879" max="15879" width="22.109375" customWidth="1"/>
    <col min="15880" max="15880" width="21" customWidth="1"/>
    <col min="15881" max="15881" width="14.109375" customWidth="1"/>
    <col min="15882" max="15882" width="12.109375" customWidth="1"/>
    <col min="15883" max="15883" width="19.33203125" customWidth="1"/>
    <col min="15884" max="15884" width="18" customWidth="1"/>
    <col min="15885" max="15885" width="11.33203125" customWidth="1"/>
    <col min="15886" max="15886" width="14.5546875" customWidth="1"/>
    <col min="15887" max="15922" width="8.88671875" customWidth="1"/>
    <col min="16129" max="16129" width="5" customWidth="1"/>
    <col min="16130" max="16130" width="32" customWidth="1"/>
    <col min="16131" max="16132" width="13.6640625" customWidth="1"/>
    <col min="16133" max="16133" width="6.88671875" customWidth="1"/>
    <col min="16134" max="16134" width="15.109375" customWidth="1"/>
    <col min="16135" max="16135" width="22.109375" customWidth="1"/>
    <col min="16136" max="16136" width="21" customWidth="1"/>
    <col min="16137" max="16137" width="14.109375" customWidth="1"/>
    <col min="16138" max="16138" width="12.109375" customWidth="1"/>
    <col min="16139" max="16139" width="19.33203125" customWidth="1"/>
    <col min="16140" max="16140" width="18" customWidth="1"/>
    <col min="16141" max="16141" width="11.33203125" customWidth="1"/>
    <col min="16142" max="16142" width="14.5546875" customWidth="1"/>
    <col min="16143" max="16178" width="8.88671875" customWidth="1"/>
  </cols>
  <sheetData>
    <row r="1" spans="1:14" ht="22.8">
      <c r="A1" s="257" t="s">
        <v>1981</v>
      </c>
      <c r="B1" s="267"/>
      <c r="C1" s="267"/>
      <c r="D1" s="267"/>
      <c r="E1" s="267"/>
      <c r="F1" s="267"/>
      <c r="G1" s="267"/>
      <c r="H1" s="267"/>
      <c r="I1" s="267"/>
      <c r="J1" s="267"/>
      <c r="K1" s="267"/>
      <c r="L1" s="267"/>
      <c r="M1" s="267"/>
      <c r="N1" s="267"/>
    </row>
    <row r="2" spans="1:14">
      <c r="A2" s="267"/>
      <c r="B2" s="267"/>
      <c r="C2" s="267"/>
      <c r="D2" s="267"/>
      <c r="E2" s="267"/>
      <c r="F2" s="267"/>
      <c r="G2" s="267"/>
      <c r="H2" s="267"/>
      <c r="I2" s="267"/>
      <c r="J2" s="267"/>
      <c r="K2" s="267"/>
      <c r="L2" s="267"/>
      <c r="M2" s="267"/>
      <c r="N2" s="267"/>
    </row>
    <row r="3" spans="1:14" ht="15.6">
      <c r="A3" s="279" t="s">
        <v>808</v>
      </c>
      <c r="B3" s="279"/>
      <c r="C3" s="279"/>
      <c r="D3" s="279"/>
      <c r="E3" s="279"/>
      <c r="F3" s="279"/>
      <c r="G3" s="279"/>
      <c r="H3" s="279"/>
      <c r="I3" s="278"/>
      <c r="J3" s="278"/>
      <c r="K3" s="278"/>
      <c r="L3" s="278"/>
      <c r="M3" s="278"/>
      <c r="N3" s="278"/>
    </row>
    <row r="4" spans="1:14">
      <c r="A4" s="268"/>
      <c r="B4" s="268" t="s">
        <v>809</v>
      </c>
      <c r="C4" s="280" t="s">
        <v>810</v>
      </c>
      <c r="D4" s="280"/>
      <c r="E4" s="280"/>
      <c r="F4" s="280"/>
      <c r="G4" s="280"/>
      <c r="H4" s="280"/>
      <c r="I4" s="267"/>
      <c r="J4" s="267"/>
      <c r="K4" s="267"/>
      <c r="L4" s="267"/>
      <c r="M4" s="267"/>
      <c r="N4" s="267"/>
    </row>
    <row r="5" spans="1:14">
      <c r="A5" s="268"/>
      <c r="B5" s="268" t="s">
        <v>811</v>
      </c>
      <c r="C5" s="280" t="s">
        <v>812</v>
      </c>
      <c r="D5" s="280"/>
      <c r="E5" s="280"/>
      <c r="F5" s="280"/>
      <c r="G5" s="280"/>
      <c r="H5" s="280"/>
      <c r="I5" s="267"/>
      <c r="J5" s="267"/>
      <c r="K5" s="267"/>
      <c r="L5" s="267"/>
      <c r="M5" s="267"/>
      <c r="N5" s="267"/>
    </row>
    <row r="6" spans="1:14">
      <c r="A6" s="268"/>
      <c r="B6" s="268" t="s">
        <v>813</v>
      </c>
      <c r="C6" s="280" t="s">
        <v>1975</v>
      </c>
      <c r="D6" s="280"/>
      <c r="E6" s="280"/>
      <c r="F6" s="280"/>
      <c r="G6" s="280"/>
      <c r="H6" s="280"/>
      <c r="I6" s="267"/>
      <c r="J6" s="267"/>
      <c r="K6" s="267"/>
      <c r="L6" s="267"/>
      <c r="M6" s="267"/>
      <c r="N6" s="267"/>
    </row>
    <row r="7" spans="1:14">
      <c r="A7" s="268"/>
      <c r="B7" s="268" t="s">
        <v>814</v>
      </c>
      <c r="C7" s="280" t="s">
        <v>21</v>
      </c>
      <c r="D7" s="280"/>
      <c r="E7" s="280"/>
      <c r="F7" s="280"/>
      <c r="G7" s="280"/>
      <c r="H7" s="280"/>
      <c r="I7" s="267"/>
      <c r="J7" s="267"/>
      <c r="K7" s="267"/>
      <c r="L7" s="267"/>
      <c r="M7" s="267"/>
      <c r="N7" s="267"/>
    </row>
    <row r="8" spans="1:14">
      <c r="A8" s="268"/>
      <c r="B8" s="268" t="s">
        <v>815</v>
      </c>
      <c r="C8" s="280" t="s">
        <v>816</v>
      </c>
      <c r="D8" s="280"/>
      <c r="E8" s="280"/>
      <c r="F8" s="280"/>
      <c r="G8" s="280"/>
      <c r="H8" s="280"/>
      <c r="I8" s="267"/>
      <c r="J8" s="267"/>
      <c r="K8" s="267"/>
      <c r="L8" s="267"/>
      <c r="M8" s="267"/>
      <c r="N8" s="267"/>
    </row>
    <row r="9" spans="1:14">
      <c r="A9" s="268"/>
      <c r="B9" s="268" t="s">
        <v>817</v>
      </c>
      <c r="C9" s="280" t="s">
        <v>818</v>
      </c>
      <c r="D9" s="280"/>
      <c r="E9" s="280"/>
      <c r="F9" s="280"/>
      <c r="G9" s="280"/>
      <c r="H9" s="280"/>
      <c r="I9" s="267"/>
      <c r="J9" s="267"/>
      <c r="K9" s="267"/>
      <c r="L9" s="267"/>
      <c r="M9" s="267"/>
      <c r="N9" s="267"/>
    </row>
    <row r="10" spans="1:14">
      <c r="A10" s="268"/>
      <c r="B10" s="268" t="s">
        <v>819</v>
      </c>
      <c r="C10" s="280" t="s">
        <v>1367</v>
      </c>
      <c r="D10" s="280"/>
      <c r="E10" s="280"/>
      <c r="F10" s="280"/>
      <c r="G10" s="280"/>
      <c r="H10" s="280"/>
      <c r="I10" s="267"/>
      <c r="J10" s="267"/>
      <c r="K10" s="267"/>
      <c r="L10" s="267"/>
      <c r="M10" s="267"/>
      <c r="N10" s="267"/>
    </row>
    <row r="11" spans="1:14">
      <c r="A11" s="268"/>
      <c r="B11" s="268" t="s">
        <v>820</v>
      </c>
      <c r="C11" s="280" t="s">
        <v>1057</v>
      </c>
      <c r="D11" s="280"/>
      <c r="E11" s="280"/>
      <c r="F11" s="280"/>
      <c r="G11" s="280"/>
      <c r="H11" s="280"/>
      <c r="I11" s="267"/>
      <c r="J11" s="267"/>
      <c r="K11" s="267"/>
      <c r="L11" s="267"/>
      <c r="M11" s="267"/>
      <c r="N11" s="267"/>
    </row>
    <row r="12" spans="1:14">
      <c r="A12" s="267"/>
      <c r="B12" s="267"/>
      <c r="C12" s="267"/>
      <c r="D12" s="267"/>
      <c r="E12" s="267"/>
      <c r="F12" s="267"/>
      <c r="G12" s="267"/>
      <c r="H12" s="267"/>
      <c r="I12" s="267"/>
      <c r="J12" s="267"/>
      <c r="K12" s="267"/>
      <c r="L12" s="267"/>
      <c r="M12" s="267"/>
      <c r="N12" s="267"/>
    </row>
    <row r="13" spans="1:14" ht="15.6">
      <c r="A13" s="279" t="s">
        <v>821</v>
      </c>
      <c r="B13" s="279"/>
      <c r="C13" s="279"/>
      <c r="D13" s="279"/>
      <c r="E13" s="279"/>
      <c r="F13" s="279"/>
      <c r="G13" s="279"/>
      <c r="H13" s="279"/>
      <c r="I13" s="279"/>
      <c r="J13" s="279"/>
      <c r="K13" s="279"/>
      <c r="L13" s="279"/>
      <c r="M13" s="279"/>
      <c r="N13" s="279"/>
    </row>
    <row r="14" spans="1:14">
      <c r="A14" s="266" t="s">
        <v>822</v>
      </c>
      <c r="B14" s="266" t="s">
        <v>822</v>
      </c>
      <c r="C14" s="277" t="s">
        <v>975</v>
      </c>
      <c r="D14" s="277"/>
      <c r="E14" s="277"/>
      <c r="F14" s="277"/>
      <c r="G14" s="277"/>
      <c r="H14" s="277"/>
      <c r="I14" s="277"/>
      <c r="J14" s="277"/>
      <c r="K14" s="277"/>
      <c r="L14" s="277"/>
      <c r="M14" s="278"/>
      <c r="N14" s="267"/>
    </row>
    <row r="15" spans="1:14">
      <c r="A15" s="266" t="s">
        <v>822</v>
      </c>
      <c r="B15" s="266" t="s">
        <v>822</v>
      </c>
      <c r="C15" s="266" t="s">
        <v>826</v>
      </c>
      <c r="D15" s="266" t="s">
        <v>825</v>
      </c>
      <c r="E15" s="266" t="s">
        <v>827</v>
      </c>
      <c r="F15" s="266" t="s">
        <v>871</v>
      </c>
      <c r="G15" s="266" t="s">
        <v>976</v>
      </c>
      <c r="H15" s="266" t="s">
        <v>873</v>
      </c>
      <c r="I15" s="266" t="s">
        <v>872</v>
      </c>
      <c r="J15" s="266" t="s">
        <v>870</v>
      </c>
      <c r="K15" s="266" t="s">
        <v>977</v>
      </c>
      <c r="L15" s="266" t="s">
        <v>824</v>
      </c>
      <c r="M15" s="266" t="s">
        <v>823</v>
      </c>
      <c r="N15" s="266" t="s">
        <v>869</v>
      </c>
    </row>
    <row r="16" spans="1:14">
      <c r="A16" s="268" t="s">
        <v>812</v>
      </c>
      <c r="B16" s="268"/>
      <c r="C16" s="14"/>
      <c r="D16" s="45">
        <v>4594330067</v>
      </c>
      <c r="E16" s="14">
        <v>100</v>
      </c>
      <c r="F16" s="14">
        <v>1.58</v>
      </c>
      <c r="G16" s="14">
        <v>100</v>
      </c>
      <c r="H16" s="14"/>
      <c r="I16" s="14">
        <v>3.6</v>
      </c>
      <c r="J16" s="14">
        <v>2.69</v>
      </c>
      <c r="K16" s="14">
        <v>100</v>
      </c>
      <c r="L16" s="14"/>
      <c r="M16" s="14">
        <v>3.77</v>
      </c>
      <c r="N16" s="152"/>
    </row>
    <row r="17" spans="1:14">
      <c r="A17" s="268"/>
      <c r="B17" s="268" t="s">
        <v>1368</v>
      </c>
      <c r="C17" s="14">
        <v>3000000</v>
      </c>
      <c r="D17" s="45">
        <v>20530184</v>
      </c>
      <c r="E17" s="14">
        <v>0.45</v>
      </c>
      <c r="F17" s="14">
        <v>0.02</v>
      </c>
      <c r="G17" s="14">
        <v>0.53</v>
      </c>
      <c r="H17" s="14">
        <v>1.88</v>
      </c>
      <c r="I17" s="14">
        <v>0.03</v>
      </c>
      <c r="J17" s="14">
        <v>0.03</v>
      </c>
      <c r="K17" s="14">
        <v>0.61</v>
      </c>
      <c r="L17" s="14">
        <v>3.66</v>
      </c>
      <c r="M17" s="14">
        <v>0.03</v>
      </c>
      <c r="N17" s="152" t="s">
        <v>1292</v>
      </c>
    </row>
    <row r="18" spans="1:14">
      <c r="A18" s="268"/>
      <c r="B18" s="268" t="s">
        <v>522</v>
      </c>
      <c r="C18" s="14">
        <v>5000000</v>
      </c>
      <c r="D18" s="45">
        <v>39155199</v>
      </c>
      <c r="E18" s="14">
        <v>0.85</v>
      </c>
      <c r="F18" s="14">
        <v>0.02</v>
      </c>
      <c r="G18" s="14">
        <v>0.37</v>
      </c>
      <c r="H18" s="14">
        <v>0.69</v>
      </c>
      <c r="I18" s="14">
        <v>0.03</v>
      </c>
      <c r="J18" s="14">
        <v>0.02</v>
      </c>
      <c r="K18" s="14">
        <v>0.35</v>
      </c>
      <c r="L18" s="14">
        <v>1.1200000000000001</v>
      </c>
      <c r="M18" s="14">
        <v>0.03</v>
      </c>
      <c r="N18" s="152" t="s">
        <v>523</v>
      </c>
    </row>
    <row r="19" spans="1:14">
      <c r="A19" s="268"/>
      <c r="B19" s="268" t="s">
        <v>1963</v>
      </c>
      <c r="C19" s="14">
        <v>3400000</v>
      </c>
      <c r="D19" s="45">
        <v>24692511</v>
      </c>
      <c r="E19" s="14">
        <v>0.54</v>
      </c>
      <c r="F19" s="14">
        <v>0.04</v>
      </c>
      <c r="G19" s="14">
        <v>1.1599999999999999</v>
      </c>
      <c r="H19" s="14">
        <v>3.41</v>
      </c>
      <c r="I19" s="14">
        <v>0.06</v>
      </c>
      <c r="J19" s="14">
        <v>0.04</v>
      </c>
      <c r="K19" s="14">
        <v>0.79</v>
      </c>
      <c r="L19" s="14">
        <v>3.95</v>
      </c>
      <c r="M19" s="14">
        <v>0.05</v>
      </c>
      <c r="N19" s="152" t="s">
        <v>1920</v>
      </c>
    </row>
    <row r="20" spans="1:14">
      <c r="A20" s="268"/>
      <c r="B20" s="268" t="s">
        <v>1369</v>
      </c>
      <c r="C20" s="14">
        <v>2000000</v>
      </c>
      <c r="D20" s="45">
        <v>16908323</v>
      </c>
      <c r="E20" s="14">
        <v>0.37</v>
      </c>
      <c r="F20" s="14">
        <v>0.01</v>
      </c>
      <c r="G20" s="14">
        <v>0.16</v>
      </c>
      <c r="H20" s="14">
        <v>0.71</v>
      </c>
      <c r="I20" s="14">
        <v>0.02</v>
      </c>
      <c r="J20" s="14">
        <v>0.01</v>
      </c>
      <c r="K20" s="14">
        <v>-0.02</v>
      </c>
      <c r="L20" s="14">
        <v>-0.17</v>
      </c>
      <c r="M20" s="14">
        <v>0.02</v>
      </c>
      <c r="N20" s="152" t="s">
        <v>1370</v>
      </c>
    </row>
    <row r="21" spans="1:14">
      <c r="A21" s="268"/>
      <c r="B21" s="268" t="s">
        <v>26</v>
      </c>
      <c r="C21" s="14">
        <v>177200</v>
      </c>
      <c r="D21" s="45">
        <v>12749540</v>
      </c>
      <c r="E21" s="14">
        <v>0.28000000000000003</v>
      </c>
      <c r="F21" s="14">
        <v>0.04</v>
      </c>
      <c r="G21" s="14">
        <v>0.91</v>
      </c>
      <c r="H21" s="14">
        <v>5.16</v>
      </c>
      <c r="I21" s="14">
        <v>0.05</v>
      </c>
      <c r="J21" s="14">
        <v>0.04</v>
      </c>
      <c r="K21" s="14">
        <v>0.85</v>
      </c>
      <c r="L21" s="14">
        <v>8.18</v>
      </c>
      <c r="M21" s="14">
        <v>0.05</v>
      </c>
      <c r="N21" s="152" t="s">
        <v>875</v>
      </c>
    </row>
    <row r="22" spans="1:14">
      <c r="A22" s="268"/>
      <c r="B22" s="268" t="s">
        <v>1065</v>
      </c>
      <c r="C22" s="14">
        <v>127000</v>
      </c>
      <c r="D22" s="45">
        <v>25019000</v>
      </c>
      <c r="E22" s="14">
        <v>0.54</v>
      </c>
      <c r="F22" s="14">
        <v>7.0000000000000007E-2</v>
      </c>
      <c r="G22" s="14">
        <v>1.0900000000000001</v>
      </c>
      <c r="H22" s="14">
        <v>3.18</v>
      </c>
      <c r="I22" s="14">
        <v>0.09</v>
      </c>
      <c r="J22" s="14">
        <v>0.08</v>
      </c>
      <c r="K22" s="14">
        <v>1.42</v>
      </c>
      <c r="L22" s="14">
        <v>7</v>
      </c>
      <c r="M22" s="14">
        <v>0.11</v>
      </c>
      <c r="N22" s="152" t="s">
        <v>1083</v>
      </c>
    </row>
    <row r="23" spans="1:14">
      <c r="A23" s="268"/>
      <c r="B23" s="268" t="s">
        <v>828</v>
      </c>
      <c r="C23" s="14">
        <v>8000000</v>
      </c>
      <c r="D23" s="45">
        <v>63079367</v>
      </c>
      <c r="E23" s="14">
        <v>1.37</v>
      </c>
      <c r="F23" s="14">
        <v>0.02</v>
      </c>
      <c r="G23" s="14">
        <v>0.38</v>
      </c>
      <c r="H23" s="14">
        <v>0.44</v>
      </c>
      <c r="I23" s="14">
        <v>0.02</v>
      </c>
      <c r="J23" s="14">
        <v>0.01</v>
      </c>
      <c r="K23" s="14">
        <v>0.25</v>
      </c>
      <c r="L23" s="14">
        <v>0.49</v>
      </c>
      <c r="M23" s="14">
        <v>0.02</v>
      </c>
      <c r="N23" s="152" t="s">
        <v>49</v>
      </c>
    </row>
    <row r="24" spans="1:14">
      <c r="A24" s="268"/>
      <c r="B24" s="268" t="s">
        <v>1917</v>
      </c>
      <c r="C24" s="14">
        <v>50000</v>
      </c>
      <c r="D24" s="45">
        <v>3272500</v>
      </c>
      <c r="E24" s="14">
        <v>7.0000000000000007E-2</v>
      </c>
      <c r="F24" s="14">
        <v>0.01</v>
      </c>
      <c r="G24" s="14">
        <v>0.25</v>
      </c>
      <c r="H24" s="14">
        <v>5.64</v>
      </c>
      <c r="I24" s="14">
        <v>0.02</v>
      </c>
      <c r="J24" s="14">
        <v>0.01</v>
      </c>
      <c r="K24" s="14">
        <v>0.23</v>
      </c>
      <c r="L24" s="14">
        <v>8.5500000000000007</v>
      </c>
      <c r="M24" s="14">
        <v>0.02</v>
      </c>
      <c r="N24" s="152" t="s">
        <v>1964</v>
      </c>
    </row>
    <row r="25" spans="1:14">
      <c r="A25" s="268"/>
      <c r="B25" s="268" t="s">
        <v>1199</v>
      </c>
      <c r="C25" s="14">
        <v>3200000</v>
      </c>
      <c r="D25" s="45">
        <v>31969880</v>
      </c>
      <c r="E25" s="14">
        <v>0.7</v>
      </c>
      <c r="F25" s="14">
        <v>0.06</v>
      </c>
      <c r="G25" s="14">
        <v>1.31</v>
      </c>
      <c r="H25" s="14">
        <v>2.99</v>
      </c>
      <c r="I25" s="14">
        <v>0.08</v>
      </c>
      <c r="J25" s="14">
        <v>7.0000000000000007E-2</v>
      </c>
      <c r="K25" s="14">
        <v>0.47</v>
      </c>
      <c r="L25" s="14">
        <v>1.83</v>
      </c>
      <c r="M25" s="14">
        <v>0.1</v>
      </c>
      <c r="N25" s="152" t="s">
        <v>1200</v>
      </c>
    </row>
    <row r="26" spans="1:14">
      <c r="A26" s="268"/>
      <c r="B26" s="268" t="s">
        <v>1144</v>
      </c>
      <c r="C26" s="14">
        <v>3800000</v>
      </c>
      <c r="D26" s="45">
        <v>26646363</v>
      </c>
      <c r="E26" s="14">
        <v>0.57999999999999996</v>
      </c>
      <c r="F26" s="14">
        <v>0.03</v>
      </c>
      <c r="G26" s="14">
        <v>0.69</v>
      </c>
      <c r="H26" s="14">
        <v>1.88</v>
      </c>
      <c r="I26" s="14">
        <v>0.04</v>
      </c>
      <c r="J26" s="14">
        <v>0.04</v>
      </c>
      <c r="K26" s="14">
        <v>1.03</v>
      </c>
      <c r="L26" s="14">
        <v>4.78</v>
      </c>
      <c r="M26" s="14">
        <v>0.05</v>
      </c>
      <c r="N26" s="152" t="s">
        <v>1145</v>
      </c>
    </row>
    <row r="27" spans="1:14">
      <c r="A27" s="268"/>
      <c r="B27" s="268" t="s">
        <v>1270</v>
      </c>
      <c r="C27" s="14">
        <v>12600000</v>
      </c>
      <c r="D27" s="45">
        <v>97053559</v>
      </c>
      <c r="E27" s="14">
        <v>2.11</v>
      </c>
      <c r="F27" s="14">
        <v>0.13</v>
      </c>
      <c r="G27" s="14">
        <v>3.82</v>
      </c>
      <c r="H27" s="14">
        <v>2.86</v>
      </c>
      <c r="I27" s="14">
        <v>0.19</v>
      </c>
      <c r="J27" s="14">
        <v>0.14000000000000001</v>
      </c>
      <c r="K27" s="14">
        <v>3.19</v>
      </c>
      <c r="L27" s="14">
        <v>4.0599999999999996</v>
      </c>
      <c r="M27" s="14">
        <v>0.19</v>
      </c>
      <c r="N27" s="152" t="s">
        <v>1202</v>
      </c>
    </row>
    <row r="28" spans="1:14">
      <c r="A28" s="268"/>
      <c r="B28" s="268" t="s">
        <v>1371</v>
      </c>
      <c r="C28" s="14">
        <v>10000000</v>
      </c>
      <c r="D28" s="45">
        <v>77372339</v>
      </c>
      <c r="E28" s="14">
        <v>1.68</v>
      </c>
      <c r="F28" s="14">
        <v>0.03</v>
      </c>
      <c r="G28" s="14">
        <v>0.56999999999999995</v>
      </c>
      <c r="H28" s="14">
        <v>0.54</v>
      </c>
      <c r="I28" s="14">
        <v>0.04</v>
      </c>
      <c r="J28" s="14">
        <v>0.03</v>
      </c>
      <c r="K28" s="14">
        <v>0.52</v>
      </c>
      <c r="L28" s="14">
        <v>0.82</v>
      </c>
      <c r="M28" s="14">
        <v>0.04</v>
      </c>
      <c r="N28" s="152" t="s">
        <v>1294</v>
      </c>
    </row>
    <row r="29" spans="1:14">
      <c r="A29" s="268"/>
      <c r="B29" s="268" t="s">
        <v>1372</v>
      </c>
      <c r="C29" s="14">
        <v>5375000</v>
      </c>
      <c r="D29" s="45">
        <v>37681112</v>
      </c>
      <c r="E29" s="14">
        <v>0.82</v>
      </c>
      <c r="F29" s="14">
        <v>0.09</v>
      </c>
      <c r="G29" s="14">
        <v>2.71</v>
      </c>
      <c r="H29" s="14">
        <v>5.22</v>
      </c>
      <c r="I29" s="14">
        <v>0.14000000000000001</v>
      </c>
      <c r="J29" s="14">
        <v>0.1</v>
      </c>
      <c r="K29" s="14">
        <v>2.72</v>
      </c>
      <c r="L29" s="14">
        <v>8.9</v>
      </c>
      <c r="M29" s="14">
        <v>0.13</v>
      </c>
      <c r="N29" s="152" t="s">
        <v>1296</v>
      </c>
    </row>
    <row r="30" spans="1:14">
      <c r="A30" s="268"/>
      <c r="B30" s="268" t="s">
        <v>1976</v>
      </c>
      <c r="C30" s="14">
        <v>5300000</v>
      </c>
      <c r="D30" s="45">
        <v>41290267</v>
      </c>
      <c r="E30" s="14">
        <v>0.9</v>
      </c>
      <c r="F30" s="14">
        <v>0.02</v>
      </c>
      <c r="G30" s="14">
        <v>0.38</v>
      </c>
      <c r="H30" s="14">
        <v>0.67</v>
      </c>
      <c r="I30" s="14">
        <v>0.04</v>
      </c>
      <c r="J30" s="14">
        <v>0.03</v>
      </c>
      <c r="K30" s="14">
        <v>0.25</v>
      </c>
      <c r="L30" s="14">
        <v>0.76</v>
      </c>
      <c r="M30" s="14">
        <v>0.04</v>
      </c>
      <c r="N30" s="152" t="s">
        <v>1923</v>
      </c>
    </row>
    <row r="31" spans="1:14">
      <c r="A31" s="268"/>
      <c r="B31" s="268" t="s">
        <v>1166</v>
      </c>
      <c r="C31" s="14">
        <v>3000000</v>
      </c>
      <c r="D31" s="45">
        <v>18573732</v>
      </c>
      <c r="E31" s="14">
        <v>0.4</v>
      </c>
      <c r="F31" s="14">
        <v>0.03</v>
      </c>
      <c r="G31" s="14">
        <v>1.05</v>
      </c>
      <c r="H31" s="14">
        <v>4.12</v>
      </c>
      <c r="I31" s="14">
        <v>0.04</v>
      </c>
      <c r="J31" s="14">
        <v>0.03</v>
      </c>
      <c r="K31" s="14">
        <v>0.83</v>
      </c>
      <c r="L31" s="14">
        <v>5.5</v>
      </c>
      <c r="M31" s="14">
        <v>0.04</v>
      </c>
      <c r="N31" s="152" t="s">
        <v>1147</v>
      </c>
    </row>
    <row r="32" spans="1:14">
      <c r="A32" s="268"/>
      <c r="B32" s="268" t="s">
        <v>1965</v>
      </c>
      <c r="C32" s="14">
        <v>5000000</v>
      </c>
      <c r="D32" s="45">
        <v>40770928</v>
      </c>
      <c r="E32" s="14">
        <v>0.89</v>
      </c>
      <c r="F32" s="14">
        <v>0.02</v>
      </c>
      <c r="G32" s="14">
        <v>0.16</v>
      </c>
      <c r="H32" s="14">
        <v>0.28000000000000003</v>
      </c>
      <c r="I32" s="14">
        <v>0.03</v>
      </c>
      <c r="J32" s="14">
        <v>0.03</v>
      </c>
      <c r="K32" s="14">
        <v>0.5</v>
      </c>
      <c r="L32" s="14">
        <v>1.5</v>
      </c>
      <c r="M32" s="14">
        <v>0.04</v>
      </c>
      <c r="N32" s="152" t="s">
        <v>1925</v>
      </c>
    </row>
    <row r="33" spans="1:14">
      <c r="A33" s="268"/>
      <c r="B33" s="268" t="s">
        <v>1203</v>
      </c>
      <c r="C33" s="14">
        <v>4200000</v>
      </c>
      <c r="D33" s="45">
        <v>32505137</v>
      </c>
      <c r="E33" s="14">
        <v>0.71</v>
      </c>
      <c r="F33" s="14">
        <v>0.01</v>
      </c>
      <c r="G33" s="14">
        <v>0.21</v>
      </c>
      <c r="H33" s="14">
        <v>0.47</v>
      </c>
      <c r="I33" s="14">
        <v>0.01</v>
      </c>
      <c r="J33" s="14">
        <v>0.01</v>
      </c>
      <c r="K33" s="14">
        <v>0.18</v>
      </c>
      <c r="L33" s="14">
        <v>0.69</v>
      </c>
      <c r="M33" s="14">
        <v>0.01</v>
      </c>
      <c r="N33" s="152" t="s">
        <v>1204</v>
      </c>
    </row>
    <row r="34" spans="1:14">
      <c r="A34" s="268"/>
      <c r="B34" s="268" t="s">
        <v>50</v>
      </c>
      <c r="C34" s="14">
        <v>6000000</v>
      </c>
      <c r="D34" s="45">
        <v>47527420</v>
      </c>
      <c r="E34" s="14">
        <v>1.03</v>
      </c>
      <c r="F34" s="14">
        <v>0.01</v>
      </c>
      <c r="G34" s="14">
        <v>0.28999999999999998</v>
      </c>
      <c r="H34" s="14">
        <v>0.44</v>
      </c>
      <c r="I34" s="14">
        <v>0.02</v>
      </c>
      <c r="J34" s="14">
        <v>0.01</v>
      </c>
      <c r="K34" s="14">
        <v>0.28000000000000003</v>
      </c>
      <c r="L34" s="14">
        <v>0.73</v>
      </c>
      <c r="M34" s="14">
        <v>0.01</v>
      </c>
      <c r="N34" s="152" t="s">
        <v>51</v>
      </c>
    </row>
    <row r="35" spans="1:14">
      <c r="A35" s="268"/>
      <c r="B35" s="268" t="s">
        <v>50</v>
      </c>
      <c r="C35" s="14">
        <v>4000000</v>
      </c>
      <c r="D35" s="45">
        <v>31684947</v>
      </c>
      <c r="E35" s="14">
        <v>0.69</v>
      </c>
      <c r="F35" s="14">
        <v>0.01</v>
      </c>
      <c r="G35" s="14">
        <v>0.19</v>
      </c>
      <c r="H35" s="14">
        <v>0.44</v>
      </c>
      <c r="I35" s="14">
        <v>0.01</v>
      </c>
      <c r="J35" s="14">
        <v>0.01</v>
      </c>
      <c r="K35" s="14">
        <v>0.19</v>
      </c>
      <c r="L35" s="14">
        <v>0.73</v>
      </c>
      <c r="M35" s="14">
        <v>0.01</v>
      </c>
      <c r="N35" s="152" t="s">
        <v>51</v>
      </c>
    </row>
    <row r="36" spans="1:14">
      <c r="A36" s="268"/>
      <c r="B36" s="268" t="s">
        <v>829</v>
      </c>
      <c r="C36" s="14">
        <v>6000000</v>
      </c>
      <c r="D36" s="45">
        <v>48554380</v>
      </c>
      <c r="E36" s="14">
        <v>1.06</v>
      </c>
      <c r="F36" s="14">
        <v>0.02</v>
      </c>
      <c r="G36" s="14">
        <v>0.48</v>
      </c>
      <c r="H36" s="14">
        <v>0.71</v>
      </c>
      <c r="I36" s="14">
        <v>0.03</v>
      </c>
      <c r="J36" s="14">
        <v>0.02</v>
      </c>
      <c r="K36" s="14">
        <v>0.52</v>
      </c>
      <c r="L36" s="14">
        <v>1.32</v>
      </c>
      <c r="M36" s="14">
        <v>0.03</v>
      </c>
      <c r="N36" s="152" t="s">
        <v>53</v>
      </c>
    </row>
    <row r="37" spans="1:14">
      <c r="A37" s="268"/>
      <c r="B37" s="268" t="s">
        <v>1104</v>
      </c>
      <c r="C37" s="14">
        <v>2200000</v>
      </c>
      <c r="D37" s="45">
        <v>17448072</v>
      </c>
      <c r="E37" s="14">
        <v>0.38</v>
      </c>
      <c r="F37" s="14">
        <v>0.02</v>
      </c>
      <c r="G37" s="14">
        <v>0.44</v>
      </c>
      <c r="H37" s="14">
        <v>1.82</v>
      </c>
      <c r="I37" s="14">
        <v>0.03</v>
      </c>
      <c r="J37" s="14">
        <v>0.02</v>
      </c>
      <c r="K37" s="14">
        <v>0.47</v>
      </c>
      <c r="L37" s="14">
        <v>3.33</v>
      </c>
      <c r="M37" s="14">
        <v>0.02</v>
      </c>
      <c r="N37" s="152" t="s">
        <v>1105</v>
      </c>
    </row>
    <row r="38" spans="1:14">
      <c r="A38" s="268"/>
      <c r="B38" s="268" t="s">
        <v>54</v>
      </c>
      <c r="C38" s="14">
        <v>5000000</v>
      </c>
      <c r="D38" s="45">
        <v>8682464</v>
      </c>
      <c r="E38" s="14">
        <v>0.19</v>
      </c>
      <c r="F38" s="14"/>
      <c r="G38" s="14"/>
      <c r="H38" s="14"/>
      <c r="I38" s="14"/>
      <c r="J38" s="14"/>
      <c r="K38" s="14"/>
      <c r="L38" s="14"/>
      <c r="M38" s="14"/>
      <c r="N38" s="152" t="s">
        <v>55</v>
      </c>
    </row>
    <row r="39" spans="1:14">
      <c r="A39" s="268"/>
      <c r="B39" s="268" t="s">
        <v>1088</v>
      </c>
      <c r="C39" s="14">
        <v>6000000</v>
      </c>
      <c r="D39" s="45">
        <v>46410742</v>
      </c>
      <c r="E39" s="14">
        <v>1.01</v>
      </c>
      <c r="F39" s="14">
        <v>0.04</v>
      </c>
      <c r="G39" s="14">
        <v>0.9</v>
      </c>
      <c r="H39" s="14">
        <v>1.41</v>
      </c>
      <c r="I39" s="14">
        <v>7.0000000000000007E-2</v>
      </c>
      <c r="J39" s="14">
        <v>0.05</v>
      </c>
      <c r="K39" s="14">
        <v>0.98</v>
      </c>
      <c r="L39" s="14">
        <v>2.6</v>
      </c>
      <c r="M39" s="14">
        <v>0.06</v>
      </c>
      <c r="N39" s="152" t="s">
        <v>1068</v>
      </c>
    </row>
    <row r="40" spans="1:14">
      <c r="A40" s="268"/>
      <c r="B40" s="268" t="s">
        <v>1088</v>
      </c>
      <c r="C40" s="14">
        <v>5000000</v>
      </c>
      <c r="D40" s="45">
        <v>38675618</v>
      </c>
      <c r="E40" s="14">
        <v>0.84</v>
      </c>
      <c r="F40" s="14">
        <v>0.03</v>
      </c>
      <c r="G40" s="14">
        <v>0.75</v>
      </c>
      <c r="H40" s="14">
        <v>1.41</v>
      </c>
      <c r="I40" s="14">
        <v>0.05</v>
      </c>
      <c r="J40" s="14">
        <v>0.04</v>
      </c>
      <c r="K40" s="14">
        <v>0.81</v>
      </c>
      <c r="L40" s="14">
        <v>2.6</v>
      </c>
      <c r="M40" s="14">
        <v>0.05</v>
      </c>
      <c r="N40" s="152" t="s">
        <v>1068</v>
      </c>
    </row>
    <row r="41" spans="1:14">
      <c r="A41" s="268"/>
      <c r="B41" s="268" t="s">
        <v>1373</v>
      </c>
      <c r="C41" s="14">
        <v>3350000</v>
      </c>
      <c r="D41" s="45">
        <v>25769375</v>
      </c>
      <c r="E41" s="14">
        <v>0.56000000000000005</v>
      </c>
      <c r="F41" s="14">
        <v>0.02</v>
      </c>
      <c r="G41" s="14">
        <v>0.17</v>
      </c>
      <c r="H41" s="14">
        <v>0.48</v>
      </c>
      <c r="I41" s="14">
        <v>0.03</v>
      </c>
      <c r="J41" s="14">
        <v>0.02</v>
      </c>
      <c r="K41" s="14">
        <v>0.25</v>
      </c>
      <c r="L41" s="14">
        <v>1.2</v>
      </c>
      <c r="M41" s="14">
        <v>0.02</v>
      </c>
      <c r="N41" s="152" t="s">
        <v>1298</v>
      </c>
    </row>
    <row r="42" spans="1:14">
      <c r="A42" s="268"/>
      <c r="B42" s="268" t="s">
        <v>1299</v>
      </c>
      <c r="C42" s="14">
        <v>2970000</v>
      </c>
      <c r="D42" s="45">
        <v>20257581</v>
      </c>
      <c r="E42" s="14">
        <v>0.44</v>
      </c>
      <c r="F42" s="14">
        <v>0.04</v>
      </c>
      <c r="G42" s="14">
        <v>0.98</v>
      </c>
      <c r="H42" s="14">
        <v>3.5</v>
      </c>
      <c r="I42" s="14">
        <v>0.06</v>
      </c>
      <c r="J42" s="14">
        <v>0.04</v>
      </c>
      <c r="K42" s="14">
        <v>0.88</v>
      </c>
      <c r="L42" s="14">
        <v>5.35</v>
      </c>
      <c r="M42" s="14">
        <v>0.06</v>
      </c>
      <c r="N42" s="152" t="s">
        <v>1300</v>
      </c>
    </row>
    <row r="43" spans="1:14">
      <c r="A43" s="268"/>
      <c r="B43" s="268" t="s">
        <v>1054</v>
      </c>
      <c r="C43" s="14">
        <v>110000</v>
      </c>
      <c r="D43" s="45">
        <v>3041500</v>
      </c>
      <c r="E43" s="14">
        <v>7.0000000000000007E-2</v>
      </c>
      <c r="F43" s="14">
        <v>0.01</v>
      </c>
      <c r="G43" s="14">
        <v>0.19</v>
      </c>
      <c r="H43" s="14">
        <v>4.6100000000000003</v>
      </c>
      <c r="I43" s="14">
        <v>0.01</v>
      </c>
      <c r="J43" s="14">
        <v>0.01</v>
      </c>
      <c r="K43" s="14">
        <v>0.14000000000000001</v>
      </c>
      <c r="L43" s="14">
        <v>5.83</v>
      </c>
      <c r="M43" s="14">
        <v>0.01</v>
      </c>
      <c r="N43" s="152" t="s">
        <v>1055</v>
      </c>
    </row>
    <row r="44" spans="1:14">
      <c r="A44" s="268"/>
      <c r="B44" s="268" t="s">
        <v>957</v>
      </c>
      <c r="C44" s="14">
        <v>290000</v>
      </c>
      <c r="D44" s="45">
        <v>10773500</v>
      </c>
      <c r="E44" s="14">
        <v>0.23</v>
      </c>
      <c r="F44" s="14">
        <v>0.03</v>
      </c>
      <c r="G44" s="14">
        <v>0.81</v>
      </c>
      <c r="H44" s="14">
        <v>5.46</v>
      </c>
      <c r="I44" s="14">
        <v>0.04</v>
      </c>
      <c r="J44" s="14">
        <v>0.03</v>
      </c>
      <c r="K44" s="14">
        <v>0.63</v>
      </c>
      <c r="L44" s="14">
        <v>7.27</v>
      </c>
      <c r="M44" s="14">
        <v>0.04</v>
      </c>
      <c r="N44" s="152" t="s">
        <v>971</v>
      </c>
    </row>
    <row r="45" spans="1:14">
      <c r="A45" s="268"/>
      <c r="B45" s="268" t="s">
        <v>28</v>
      </c>
      <c r="C45" s="14">
        <v>125000</v>
      </c>
      <c r="D45" s="45">
        <v>7806250</v>
      </c>
      <c r="E45" s="14">
        <v>0.17</v>
      </c>
      <c r="F45" s="14">
        <v>0.02</v>
      </c>
      <c r="G45" s="14">
        <v>0.45</v>
      </c>
      <c r="H45" s="14">
        <v>4.18</v>
      </c>
      <c r="I45" s="14">
        <v>0.03</v>
      </c>
      <c r="J45" s="14">
        <v>0.02</v>
      </c>
      <c r="K45" s="14">
        <v>0.39</v>
      </c>
      <c r="L45" s="14">
        <v>6.12</v>
      </c>
      <c r="M45" s="14">
        <v>0.03</v>
      </c>
      <c r="N45" s="152" t="s">
        <v>876</v>
      </c>
    </row>
    <row r="46" spans="1:14">
      <c r="A46" s="268"/>
      <c r="B46" s="268" t="s">
        <v>1285</v>
      </c>
      <c r="C46" s="14">
        <v>3500000</v>
      </c>
      <c r="D46" s="45">
        <v>6090000</v>
      </c>
      <c r="E46" s="14">
        <v>0.13</v>
      </c>
      <c r="F46" s="14">
        <v>0.02</v>
      </c>
      <c r="G46" s="14">
        <v>0.42</v>
      </c>
      <c r="H46" s="14">
        <v>5.01</v>
      </c>
      <c r="I46" s="14">
        <v>0.03</v>
      </c>
      <c r="J46" s="14">
        <v>0.02</v>
      </c>
      <c r="K46" s="14">
        <v>0.43</v>
      </c>
      <c r="L46" s="14">
        <v>8.7899999999999991</v>
      </c>
      <c r="M46" s="14">
        <v>0.03</v>
      </c>
      <c r="N46" s="152" t="s">
        <v>1374</v>
      </c>
    </row>
    <row r="47" spans="1:14">
      <c r="A47" s="268"/>
      <c r="B47" s="268" t="s">
        <v>961</v>
      </c>
      <c r="C47" s="14">
        <v>4000000</v>
      </c>
      <c r="D47" s="45">
        <v>31104066</v>
      </c>
      <c r="E47" s="14">
        <v>0.68</v>
      </c>
      <c r="F47" s="14">
        <v>0.01</v>
      </c>
      <c r="G47" s="14">
        <v>0.35</v>
      </c>
      <c r="H47" s="14">
        <v>0.81</v>
      </c>
      <c r="I47" s="14">
        <v>0.01</v>
      </c>
      <c r="J47" s="14">
        <v>0.01</v>
      </c>
      <c r="K47" s="14">
        <v>0.28000000000000003</v>
      </c>
      <c r="L47" s="14">
        <v>1.1000000000000001</v>
      </c>
      <c r="M47" s="14">
        <v>0.01</v>
      </c>
      <c r="N47" s="152" t="s">
        <v>962</v>
      </c>
    </row>
    <row r="48" spans="1:14">
      <c r="A48" s="268"/>
      <c r="B48" s="268" t="s">
        <v>830</v>
      </c>
      <c r="C48" s="14">
        <v>6000000</v>
      </c>
      <c r="D48" s="45">
        <v>48096225</v>
      </c>
      <c r="E48" s="14">
        <v>1.05</v>
      </c>
      <c r="F48" s="14">
        <v>0.01</v>
      </c>
      <c r="G48" s="14">
        <v>0.39</v>
      </c>
      <c r="H48" s="14">
        <v>0.59</v>
      </c>
      <c r="I48" s="14">
        <v>0.02</v>
      </c>
      <c r="J48" s="14">
        <v>0.01</v>
      </c>
      <c r="K48" s="14">
        <v>0.31</v>
      </c>
      <c r="L48" s="14">
        <v>0.79</v>
      </c>
      <c r="M48" s="14">
        <v>0.02</v>
      </c>
      <c r="N48" s="152" t="s">
        <v>57</v>
      </c>
    </row>
    <row r="49" spans="1:14">
      <c r="A49" s="268"/>
      <c r="B49" s="268" t="s">
        <v>1271</v>
      </c>
      <c r="C49" s="14">
        <v>2500000</v>
      </c>
      <c r="D49" s="45">
        <v>19410666</v>
      </c>
      <c r="E49" s="14">
        <v>0.42</v>
      </c>
      <c r="F49" s="14">
        <v>0.03</v>
      </c>
      <c r="G49" s="14">
        <v>0.52</v>
      </c>
      <c r="H49" s="14">
        <v>1.96</v>
      </c>
      <c r="I49" s="14">
        <v>0.04</v>
      </c>
      <c r="J49" s="14">
        <v>0.03</v>
      </c>
      <c r="K49" s="14">
        <v>0.48</v>
      </c>
      <c r="L49" s="14">
        <v>3.08</v>
      </c>
      <c r="M49" s="14">
        <v>0.04</v>
      </c>
      <c r="N49" s="152" t="s">
        <v>1206</v>
      </c>
    </row>
    <row r="50" spans="1:14">
      <c r="A50" s="268"/>
      <c r="B50" s="268" t="s">
        <v>938</v>
      </c>
      <c r="C50" s="14">
        <v>6000000</v>
      </c>
      <c r="D50" s="45">
        <v>43552790</v>
      </c>
      <c r="E50" s="14">
        <v>0.95</v>
      </c>
      <c r="F50" s="14">
        <v>0.1</v>
      </c>
      <c r="G50" s="14">
        <v>2.3199999999999998</v>
      </c>
      <c r="H50" s="14">
        <v>3.87</v>
      </c>
      <c r="I50" s="14">
        <v>0.15</v>
      </c>
      <c r="J50" s="14">
        <v>0.1</v>
      </c>
      <c r="K50" s="14">
        <v>2.11</v>
      </c>
      <c r="L50" s="14">
        <v>5.99</v>
      </c>
      <c r="M50" s="14">
        <v>0.14000000000000001</v>
      </c>
      <c r="N50" s="152" t="s">
        <v>933</v>
      </c>
    </row>
    <row r="51" spans="1:14">
      <c r="A51" s="268"/>
      <c r="B51" s="268" t="s">
        <v>831</v>
      </c>
      <c r="C51" s="14">
        <v>4000000</v>
      </c>
      <c r="D51" s="45">
        <v>31517568</v>
      </c>
      <c r="E51" s="14">
        <v>0.69</v>
      </c>
      <c r="F51" s="14">
        <v>0.02</v>
      </c>
      <c r="G51" s="14">
        <v>0.44</v>
      </c>
      <c r="H51" s="14">
        <v>1.01</v>
      </c>
      <c r="I51" s="14">
        <v>0.03</v>
      </c>
      <c r="J51" s="14">
        <v>0.02</v>
      </c>
      <c r="K51" s="14">
        <v>0.41</v>
      </c>
      <c r="L51" s="14">
        <v>1.61</v>
      </c>
      <c r="M51" s="14">
        <v>0.03</v>
      </c>
      <c r="N51" s="152" t="s">
        <v>877</v>
      </c>
    </row>
    <row r="52" spans="1:14">
      <c r="A52" s="268"/>
      <c r="B52" s="268" t="s">
        <v>832</v>
      </c>
      <c r="C52" s="14">
        <v>1500000</v>
      </c>
      <c r="D52" s="45">
        <v>12212758</v>
      </c>
      <c r="E52" s="14">
        <v>0.27</v>
      </c>
      <c r="F52" s="14">
        <v>0</v>
      </c>
      <c r="G52" s="14">
        <v>0.08</v>
      </c>
      <c r="H52" s="14">
        <v>0.47</v>
      </c>
      <c r="I52" s="14">
        <v>0</v>
      </c>
      <c r="J52" s="14">
        <v>0</v>
      </c>
      <c r="K52" s="14">
        <v>0.06</v>
      </c>
      <c r="L52" s="14">
        <v>0.63</v>
      </c>
      <c r="M52" s="14">
        <v>0</v>
      </c>
      <c r="N52" s="152" t="s">
        <v>59</v>
      </c>
    </row>
    <row r="53" spans="1:14">
      <c r="A53" s="268"/>
      <c r="B53" s="268" t="s">
        <v>833</v>
      </c>
      <c r="C53" s="14">
        <v>1500000</v>
      </c>
      <c r="D53" s="45">
        <v>11793149</v>
      </c>
      <c r="E53" s="14">
        <v>0.26</v>
      </c>
      <c r="F53" s="14">
        <v>0</v>
      </c>
      <c r="G53" s="14">
        <v>0.09</v>
      </c>
      <c r="H53" s="14">
        <v>0.57999999999999996</v>
      </c>
      <c r="I53" s="14">
        <v>0</v>
      </c>
      <c r="J53" s="14">
        <v>0</v>
      </c>
      <c r="K53" s="14">
        <v>0.06</v>
      </c>
      <c r="L53" s="14">
        <v>0.62</v>
      </c>
      <c r="M53" s="14">
        <v>0</v>
      </c>
      <c r="N53" s="152" t="s">
        <v>61</v>
      </c>
    </row>
    <row r="54" spans="1:14">
      <c r="A54" s="268"/>
      <c r="B54" s="268" t="s">
        <v>972</v>
      </c>
      <c r="C54" s="14">
        <v>3000000</v>
      </c>
      <c r="D54" s="45">
        <v>23514231</v>
      </c>
      <c r="E54" s="14">
        <v>0.51</v>
      </c>
      <c r="F54" s="14">
        <v>0.01</v>
      </c>
      <c r="G54" s="14">
        <v>0.14000000000000001</v>
      </c>
      <c r="H54" s="14">
        <v>0.42</v>
      </c>
      <c r="I54" s="14">
        <v>0.01</v>
      </c>
      <c r="J54" s="14">
        <v>0.01</v>
      </c>
      <c r="K54" s="14">
        <v>0.11</v>
      </c>
      <c r="L54" s="14">
        <v>0.56000000000000005</v>
      </c>
      <c r="M54" s="14">
        <v>0.01</v>
      </c>
      <c r="N54" s="152" t="s">
        <v>964</v>
      </c>
    </row>
    <row r="55" spans="1:14">
      <c r="A55" s="268"/>
      <c r="B55" s="268" t="s">
        <v>834</v>
      </c>
      <c r="C55" s="14">
        <v>5000000</v>
      </c>
      <c r="D55" s="45">
        <v>39794040</v>
      </c>
      <c r="E55" s="14">
        <v>0.87</v>
      </c>
      <c r="F55" s="14">
        <v>0.01</v>
      </c>
      <c r="G55" s="14">
        <v>0.2</v>
      </c>
      <c r="H55" s="14">
        <v>0.36</v>
      </c>
      <c r="I55" s="14">
        <v>0.01</v>
      </c>
      <c r="J55" s="14">
        <v>0.01</v>
      </c>
      <c r="K55" s="14">
        <v>0.14000000000000001</v>
      </c>
      <c r="L55" s="14">
        <v>0.45</v>
      </c>
      <c r="M55" s="14">
        <v>0.01</v>
      </c>
      <c r="N55" s="152" t="s">
        <v>63</v>
      </c>
    </row>
    <row r="56" spans="1:14">
      <c r="A56" s="268"/>
      <c r="B56" s="268" t="s">
        <v>835</v>
      </c>
      <c r="C56" s="14">
        <v>6500000</v>
      </c>
      <c r="D56" s="45">
        <v>51402314</v>
      </c>
      <c r="E56" s="14">
        <v>1.1200000000000001</v>
      </c>
      <c r="F56" s="14">
        <v>0.05</v>
      </c>
      <c r="G56" s="14">
        <v>0.85</v>
      </c>
      <c r="H56" s="14">
        <v>1.2</v>
      </c>
      <c r="I56" s="14">
        <v>7.0000000000000007E-2</v>
      </c>
      <c r="J56" s="14">
        <v>0.05</v>
      </c>
      <c r="K56" s="14">
        <v>0.69</v>
      </c>
      <c r="L56" s="14">
        <v>1.65</v>
      </c>
      <c r="M56" s="14">
        <v>0.06</v>
      </c>
      <c r="N56" s="152" t="s">
        <v>65</v>
      </c>
    </row>
    <row r="57" spans="1:14">
      <c r="A57" s="268"/>
      <c r="B57" s="268" t="s">
        <v>965</v>
      </c>
      <c r="C57" s="14">
        <v>5000000</v>
      </c>
      <c r="D57" s="45">
        <v>39096640</v>
      </c>
      <c r="E57" s="14">
        <v>0.85</v>
      </c>
      <c r="F57" s="14">
        <v>0</v>
      </c>
      <c r="G57" s="14">
        <v>0.13</v>
      </c>
      <c r="H57" s="14">
        <v>0.24</v>
      </c>
      <c r="I57" s="14">
        <v>0.01</v>
      </c>
      <c r="J57" s="14">
        <v>0</v>
      </c>
      <c r="K57" s="14">
        <v>0.06</v>
      </c>
      <c r="L57" s="14">
        <v>0.2</v>
      </c>
      <c r="M57" s="14">
        <v>0</v>
      </c>
      <c r="N57" s="152" t="s">
        <v>966</v>
      </c>
    </row>
    <row r="58" spans="1:14">
      <c r="A58" s="268"/>
      <c r="B58" s="268" t="s">
        <v>30</v>
      </c>
      <c r="C58" s="14">
        <v>55000</v>
      </c>
      <c r="D58" s="45">
        <v>4554000</v>
      </c>
      <c r="E58" s="14">
        <v>0.1</v>
      </c>
      <c r="F58" s="14">
        <v>0.01</v>
      </c>
      <c r="G58" s="14">
        <v>0.27</v>
      </c>
      <c r="H58" s="14">
        <v>4.29</v>
      </c>
      <c r="I58" s="14">
        <v>0.01</v>
      </c>
      <c r="J58" s="14">
        <v>0.01</v>
      </c>
      <c r="K58" s="14">
        <v>0.27</v>
      </c>
      <c r="L58" s="14">
        <v>7.23</v>
      </c>
      <c r="M58" s="14">
        <v>0.02</v>
      </c>
      <c r="N58" s="152" t="s">
        <v>878</v>
      </c>
    </row>
    <row r="59" spans="1:14">
      <c r="A59" s="268"/>
      <c r="B59" s="268" t="s">
        <v>836</v>
      </c>
      <c r="C59" s="14">
        <v>2500000</v>
      </c>
      <c r="D59" s="45">
        <v>21058267</v>
      </c>
      <c r="E59" s="14">
        <v>0.46</v>
      </c>
      <c r="F59" s="14">
        <v>0.01</v>
      </c>
      <c r="G59" s="14">
        <v>7.0000000000000007E-2</v>
      </c>
      <c r="H59" s="14">
        <v>0.25</v>
      </c>
      <c r="I59" s="14">
        <v>0.01</v>
      </c>
      <c r="J59" s="14">
        <v>0.01</v>
      </c>
      <c r="K59" s="14">
        <v>0.05</v>
      </c>
      <c r="L59" s="14">
        <v>0.31</v>
      </c>
      <c r="M59" s="14">
        <v>0.01</v>
      </c>
      <c r="N59" s="152" t="s">
        <v>67</v>
      </c>
    </row>
    <row r="60" spans="1:14">
      <c r="A60" s="268"/>
      <c r="B60" s="268" t="s">
        <v>68</v>
      </c>
      <c r="C60" s="14">
        <v>10000000</v>
      </c>
      <c r="D60" s="45">
        <v>88865450</v>
      </c>
      <c r="E60" s="14">
        <v>1.93</v>
      </c>
      <c r="F60" s="14">
        <v>7.0000000000000007E-2</v>
      </c>
      <c r="G60" s="14">
        <v>1.35</v>
      </c>
      <c r="H60" s="14">
        <v>1.1000000000000001</v>
      </c>
      <c r="I60" s="14">
        <v>0.1</v>
      </c>
      <c r="J60" s="14">
        <v>0.08</v>
      </c>
      <c r="K60" s="14">
        <v>1.18</v>
      </c>
      <c r="L60" s="14">
        <v>1.64</v>
      </c>
      <c r="M60" s="14">
        <v>0.1</v>
      </c>
      <c r="N60" s="152" t="s">
        <v>69</v>
      </c>
    </row>
    <row r="61" spans="1:14">
      <c r="A61" s="268"/>
      <c r="B61" s="268" t="s">
        <v>70</v>
      </c>
      <c r="C61" s="14">
        <v>3000000</v>
      </c>
      <c r="D61" s="45">
        <v>25557608</v>
      </c>
      <c r="E61" s="14">
        <v>0.56000000000000005</v>
      </c>
      <c r="F61" s="14">
        <v>0.03</v>
      </c>
      <c r="G61" s="14">
        <v>0.51</v>
      </c>
      <c r="H61" s="14">
        <v>1.46</v>
      </c>
      <c r="I61" s="14">
        <v>0.05</v>
      </c>
      <c r="J61" s="14">
        <v>0.03</v>
      </c>
      <c r="K61" s="14">
        <v>0.42</v>
      </c>
      <c r="L61" s="14">
        <v>2.0299999999999998</v>
      </c>
      <c r="M61" s="14">
        <v>0.05</v>
      </c>
      <c r="N61" s="152" t="s">
        <v>71</v>
      </c>
    </row>
    <row r="62" spans="1:14">
      <c r="A62" s="268"/>
      <c r="B62" s="268" t="s">
        <v>1375</v>
      </c>
      <c r="C62" s="14">
        <v>1300000</v>
      </c>
      <c r="D62" s="45">
        <v>9696692</v>
      </c>
      <c r="E62" s="14">
        <v>0.21</v>
      </c>
      <c r="F62" s="14">
        <v>0.01</v>
      </c>
      <c r="G62" s="14">
        <v>0.35</v>
      </c>
      <c r="H62" s="14">
        <v>2.64</v>
      </c>
      <c r="I62" s="14">
        <v>0.02</v>
      </c>
      <c r="J62" s="14">
        <v>0.01</v>
      </c>
      <c r="K62" s="14">
        <v>0.3</v>
      </c>
      <c r="L62" s="14">
        <v>3.86</v>
      </c>
      <c r="M62" s="14">
        <v>0.02</v>
      </c>
      <c r="N62" s="152" t="s">
        <v>1149</v>
      </c>
    </row>
    <row r="63" spans="1:14">
      <c r="A63" s="268"/>
      <c r="B63" s="268" t="s">
        <v>1376</v>
      </c>
      <c r="C63" s="14">
        <v>800000</v>
      </c>
      <c r="D63" s="45">
        <v>6049995</v>
      </c>
      <c r="E63" s="14">
        <v>0.13</v>
      </c>
      <c r="F63" s="14">
        <v>0.01</v>
      </c>
      <c r="G63" s="14">
        <v>0.32</v>
      </c>
      <c r="H63" s="14">
        <v>3.82</v>
      </c>
      <c r="I63" s="14">
        <v>0.02</v>
      </c>
      <c r="J63" s="14">
        <v>0.01</v>
      </c>
      <c r="K63" s="14">
        <v>0.22</v>
      </c>
      <c r="L63" s="14">
        <v>4.58</v>
      </c>
      <c r="M63" s="14">
        <v>0.01</v>
      </c>
      <c r="N63" s="152" t="s">
        <v>1151</v>
      </c>
    </row>
    <row r="64" spans="1:14">
      <c r="A64" s="268"/>
      <c r="B64" s="268" t="s">
        <v>1377</v>
      </c>
      <c r="C64" s="14">
        <v>2950000</v>
      </c>
      <c r="D64" s="45">
        <v>23135128</v>
      </c>
      <c r="E64" s="14">
        <v>0.5</v>
      </c>
      <c r="F64" s="14">
        <v>0</v>
      </c>
      <c r="G64" s="14">
        <v>0.06</v>
      </c>
      <c r="H64" s="14">
        <v>0.17</v>
      </c>
      <c r="I64" s="14">
        <v>0</v>
      </c>
      <c r="J64" s="14">
        <v>0</v>
      </c>
      <c r="K64" s="14">
        <v>0</v>
      </c>
      <c r="L64" s="14">
        <v>0.02</v>
      </c>
      <c r="M64" s="14">
        <v>0</v>
      </c>
      <c r="N64" s="152" t="s">
        <v>1302</v>
      </c>
    </row>
    <row r="65" spans="1:14">
      <c r="A65" s="268"/>
      <c r="B65" s="268" t="s">
        <v>837</v>
      </c>
      <c r="C65" s="14">
        <v>7100000</v>
      </c>
      <c r="D65" s="45">
        <v>57646381</v>
      </c>
      <c r="E65" s="14">
        <v>1.25</v>
      </c>
      <c r="F65" s="14">
        <v>0.01</v>
      </c>
      <c r="G65" s="14">
        <v>0.22</v>
      </c>
      <c r="H65" s="14">
        <v>0.28000000000000003</v>
      </c>
      <c r="I65" s="14">
        <v>0.01</v>
      </c>
      <c r="J65" s="14">
        <v>0.01</v>
      </c>
      <c r="K65" s="14">
        <v>0.11</v>
      </c>
      <c r="L65" s="14">
        <v>0.25</v>
      </c>
      <c r="M65" s="14">
        <v>0.01</v>
      </c>
      <c r="N65" s="152" t="s">
        <v>73</v>
      </c>
    </row>
    <row r="66" spans="1:14">
      <c r="A66" s="268"/>
      <c r="B66" s="268" t="s">
        <v>1167</v>
      </c>
      <c r="C66" s="14">
        <v>5500000</v>
      </c>
      <c r="D66" s="45">
        <v>38726863</v>
      </c>
      <c r="E66" s="14">
        <v>0.84</v>
      </c>
      <c r="F66" s="14">
        <v>0.05</v>
      </c>
      <c r="G66" s="14">
        <v>1.59</v>
      </c>
      <c r="H66" s="14">
        <v>2.98</v>
      </c>
      <c r="I66" s="14">
        <v>7.0000000000000007E-2</v>
      </c>
      <c r="J66" s="14">
        <v>0.06</v>
      </c>
      <c r="K66" s="14">
        <v>1.28</v>
      </c>
      <c r="L66" s="14">
        <v>4.08</v>
      </c>
      <c r="M66" s="14">
        <v>7.0000000000000007E-2</v>
      </c>
      <c r="N66" s="152" t="s">
        <v>1153</v>
      </c>
    </row>
    <row r="67" spans="1:14">
      <c r="A67" s="268"/>
      <c r="B67" s="268" t="s">
        <v>1069</v>
      </c>
      <c r="C67" s="14">
        <v>3800000</v>
      </c>
      <c r="D67" s="45">
        <v>27884580</v>
      </c>
      <c r="E67" s="14">
        <v>0.61</v>
      </c>
      <c r="F67" s="14">
        <v>0.03</v>
      </c>
      <c r="G67" s="14">
        <v>0.62</v>
      </c>
      <c r="H67" s="14">
        <v>1.62</v>
      </c>
      <c r="I67" s="14">
        <v>0.04</v>
      </c>
      <c r="J67" s="14">
        <v>0.03</v>
      </c>
      <c r="K67" s="14">
        <v>0.73</v>
      </c>
      <c r="L67" s="14">
        <v>3.24</v>
      </c>
      <c r="M67" s="14">
        <v>0.04</v>
      </c>
      <c r="N67" s="152" t="s">
        <v>1070</v>
      </c>
    </row>
    <row r="68" spans="1:14">
      <c r="A68" s="268"/>
      <c r="B68" s="268" t="s">
        <v>1272</v>
      </c>
      <c r="C68" s="14">
        <v>7500000</v>
      </c>
      <c r="D68" s="45">
        <v>54507753</v>
      </c>
      <c r="E68" s="14">
        <v>1.19</v>
      </c>
      <c r="F68" s="14">
        <v>0.09</v>
      </c>
      <c r="G68" s="14">
        <v>3.41</v>
      </c>
      <c r="H68" s="14">
        <v>4.55</v>
      </c>
      <c r="I68" s="14">
        <v>0.12</v>
      </c>
      <c r="J68" s="14">
        <v>0.09</v>
      </c>
      <c r="K68" s="14">
        <v>1.65</v>
      </c>
      <c r="L68" s="14">
        <v>3.73</v>
      </c>
      <c r="M68" s="14">
        <v>0.12</v>
      </c>
      <c r="N68" s="152" t="s">
        <v>1208</v>
      </c>
    </row>
    <row r="69" spans="1:14">
      <c r="A69" s="268"/>
      <c r="B69" s="268" t="s">
        <v>838</v>
      </c>
      <c r="C69" s="14">
        <v>200713.05</v>
      </c>
      <c r="D69" s="45">
        <v>1703473</v>
      </c>
      <c r="E69" s="14">
        <v>0.04</v>
      </c>
      <c r="F69" s="14">
        <v>0</v>
      </c>
      <c r="G69" s="14">
        <v>0</v>
      </c>
      <c r="H69" s="14">
        <v>0.14000000000000001</v>
      </c>
      <c r="I69" s="14">
        <v>0</v>
      </c>
      <c r="J69" s="14">
        <v>0</v>
      </c>
      <c r="K69" s="14">
        <v>0.01</v>
      </c>
      <c r="L69" s="14">
        <v>1.01</v>
      </c>
      <c r="M69" s="14">
        <v>0</v>
      </c>
      <c r="N69" s="152"/>
    </row>
    <row r="70" spans="1:14">
      <c r="A70" s="268"/>
      <c r="B70" s="268" t="s">
        <v>1966</v>
      </c>
      <c r="C70" s="14">
        <v>15000000</v>
      </c>
      <c r="D70" s="45">
        <v>116071946</v>
      </c>
      <c r="E70" s="14">
        <v>2.5299999999999998</v>
      </c>
      <c r="F70" s="14">
        <v>0.15</v>
      </c>
      <c r="G70" s="14">
        <v>2.84</v>
      </c>
      <c r="H70" s="14">
        <v>1.78</v>
      </c>
      <c r="I70" s="14">
        <v>0.24</v>
      </c>
      <c r="J70" s="14">
        <v>0.18</v>
      </c>
      <c r="K70" s="14">
        <v>4.38</v>
      </c>
      <c r="L70" s="14">
        <v>4.66</v>
      </c>
      <c r="M70" s="14">
        <v>0.25</v>
      </c>
      <c r="N70" s="152" t="s">
        <v>1927</v>
      </c>
    </row>
    <row r="71" spans="1:14">
      <c r="A71" s="268"/>
      <c r="B71" s="268" t="s">
        <v>1928</v>
      </c>
      <c r="C71" s="14">
        <v>3000000</v>
      </c>
      <c r="D71" s="45">
        <v>22753095</v>
      </c>
      <c r="E71" s="14">
        <v>0.5</v>
      </c>
      <c r="F71" s="14">
        <v>0.05</v>
      </c>
      <c r="G71" s="14">
        <v>0.66</v>
      </c>
      <c r="H71" s="14">
        <v>2.12</v>
      </c>
      <c r="I71" s="14">
        <v>0.08</v>
      </c>
      <c r="J71" s="14">
        <v>0.06</v>
      </c>
      <c r="K71" s="14">
        <v>1.48</v>
      </c>
      <c r="L71" s="14">
        <v>8.01</v>
      </c>
      <c r="M71" s="14">
        <v>0.08</v>
      </c>
      <c r="N71" s="152" t="s">
        <v>1929</v>
      </c>
    </row>
    <row r="72" spans="1:14">
      <c r="A72" s="268"/>
      <c r="B72" s="268" t="s">
        <v>1106</v>
      </c>
      <c r="C72" s="14">
        <v>500000</v>
      </c>
      <c r="D72" s="45">
        <v>3882048</v>
      </c>
      <c r="E72" s="14">
        <v>0.08</v>
      </c>
      <c r="F72" s="14">
        <v>0</v>
      </c>
      <c r="G72" s="14">
        <v>7.0000000000000007E-2</v>
      </c>
      <c r="H72" s="14">
        <v>1.34</v>
      </c>
      <c r="I72" s="14">
        <v>0.01</v>
      </c>
      <c r="J72" s="14">
        <v>0</v>
      </c>
      <c r="K72" s="14">
        <v>0.09</v>
      </c>
      <c r="L72" s="14">
        <v>3</v>
      </c>
      <c r="M72" s="14">
        <v>0.01</v>
      </c>
      <c r="N72" s="152" t="s">
        <v>1107</v>
      </c>
    </row>
    <row r="73" spans="1:14">
      <c r="A73" s="268"/>
      <c r="B73" s="268" t="s">
        <v>1108</v>
      </c>
      <c r="C73" s="14">
        <v>2000000</v>
      </c>
      <c r="D73" s="45">
        <v>15447787</v>
      </c>
      <c r="E73" s="14">
        <v>0.34</v>
      </c>
      <c r="F73" s="14">
        <v>0.02</v>
      </c>
      <c r="G73" s="14">
        <v>0.37</v>
      </c>
      <c r="H73" s="14">
        <v>1.72</v>
      </c>
      <c r="I73" s="14">
        <v>0.03</v>
      </c>
      <c r="J73" s="14">
        <v>0.02</v>
      </c>
      <c r="K73" s="14">
        <v>0.48</v>
      </c>
      <c r="L73" s="14">
        <v>3.8</v>
      </c>
      <c r="M73" s="14">
        <v>0.03</v>
      </c>
      <c r="N73" s="152" t="s">
        <v>1109</v>
      </c>
    </row>
    <row r="74" spans="1:14">
      <c r="A74" s="268"/>
      <c r="B74" s="268" t="s">
        <v>1110</v>
      </c>
      <c r="C74" s="14">
        <v>1100000</v>
      </c>
      <c r="D74" s="45">
        <v>9394460</v>
      </c>
      <c r="E74" s="14">
        <v>0.2</v>
      </c>
      <c r="F74" s="14">
        <v>0.01</v>
      </c>
      <c r="G74" s="14">
        <v>0.1</v>
      </c>
      <c r="H74" s="14">
        <v>0.77</v>
      </c>
      <c r="I74" s="14">
        <v>0.01</v>
      </c>
      <c r="J74" s="14">
        <v>0.01</v>
      </c>
      <c r="K74" s="14">
        <v>0.14000000000000001</v>
      </c>
      <c r="L74" s="14">
        <v>1.88</v>
      </c>
      <c r="M74" s="14">
        <v>0.01</v>
      </c>
      <c r="N74" s="152" t="s">
        <v>1111</v>
      </c>
    </row>
    <row r="75" spans="1:14">
      <c r="A75" s="268"/>
      <c r="B75" s="268" t="s">
        <v>1112</v>
      </c>
      <c r="C75" s="14">
        <v>3000000</v>
      </c>
      <c r="D75" s="45">
        <v>23146709</v>
      </c>
      <c r="E75" s="14">
        <v>0.5</v>
      </c>
      <c r="F75" s="14">
        <v>0.01</v>
      </c>
      <c r="G75" s="14">
        <v>0.2</v>
      </c>
      <c r="H75" s="14">
        <v>0.61</v>
      </c>
      <c r="I75" s="14">
        <v>0.01</v>
      </c>
      <c r="J75" s="14">
        <v>0.01</v>
      </c>
      <c r="K75" s="14">
        <v>0.2</v>
      </c>
      <c r="L75" s="14">
        <v>1.0900000000000001</v>
      </c>
      <c r="M75" s="14">
        <v>0.01</v>
      </c>
      <c r="N75" s="152" t="s">
        <v>1113</v>
      </c>
    </row>
    <row r="76" spans="1:14">
      <c r="A76" s="268"/>
      <c r="B76" s="268" t="s">
        <v>839</v>
      </c>
      <c r="C76" s="14">
        <v>-5773601.9900000002</v>
      </c>
      <c r="D76" s="45">
        <v>-5773602</v>
      </c>
      <c r="E76" s="14">
        <v>-0.13</v>
      </c>
      <c r="F76" s="14">
        <v>0</v>
      </c>
      <c r="G76" s="14">
        <v>0</v>
      </c>
      <c r="H76" s="14">
        <v>0</v>
      </c>
      <c r="I76" s="14">
        <v>0</v>
      </c>
      <c r="J76" s="14">
        <v>0</v>
      </c>
      <c r="K76" s="14">
        <v>0</v>
      </c>
      <c r="L76" s="14">
        <v>0</v>
      </c>
      <c r="M76" s="14">
        <v>0</v>
      </c>
      <c r="N76" s="152"/>
    </row>
    <row r="77" spans="1:14">
      <c r="A77" s="268"/>
      <c r="B77" s="268" t="s">
        <v>840</v>
      </c>
      <c r="C77" s="14">
        <v>25555183.800000001</v>
      </c>
      <c r="D77" s="45">
        <v>25555184</v>
      </c>
      <c r="E77" s="14">
        <v>0.56000000000000005</v>
      </c>
      <c r="F77" s="14">
        <v>0</v>
      </c>
      <c r="G77" s="14">
        <v>0</v>
      </c>
      <c r="H77" s="14">
        <v>0</v>
      </c>
      <c r="I77" s="14">
        <v>0</v>
      </c>
      <c r="J77" s="14">
        <v>0</v>
      </c>
      <c r="K77" s="14">
        <v>0</v>
      </c>
      <c r="L77" s="14">
        <v>0</v>
      </c>
      <c r="M77" s="14">
        <v>0</v>
      </c>
      <c r="N77" s="152"/>
    </row>
    <row r="78" spans="1:14">
      <c r="A78" s="268"/>
      <c r="B78" s="268" t="s">
        <v>1303</v>
      </c>
      <c r="C78" s="14">
        <v>800000</v>
      </c>
      <c r="D78" s="45">
        <v>6246544</v>
      </c>
      <c r="E78" s="14">
        <v>0.14000000000000001</v>
      </c>
      <c r="F78" s="14">
        <v>0</v>
      </c>
      <c r="G78" s="14">
        <v>0.09</v>
      </c>
      <c r="H78" s="14">
        <v>1.01</v>
      </c>
      <c r="I78" s="14">
        <v>0.01</v>
      </c>
      <c r="J78" s="14">
        <v>0</v>
      </c>
      <c r="K78" s="14">
        <v>7.0000000000000007E-2</v>
      </c>
      <c r="L78" s="14">
        <v>1.3</v>
      </c>
      <c r="M78" s="14">
        <v>0</v>
      </c>
      <c r="N78" s="152" t="s">
        <v>1304</v>
      </c>
    </row>
    <row r="79" spans="1:14">
      <c r="A79" s="268"/>
      <c r="B79" s="268" t="s">
        <v>1305</v>
      </c>
      <c r="C79" s="14">
        <v>2200000</v>
      </c>
      <c r="D79" s="45">
        <v>17277178</v>
      </c>
      <c r="E79" s="14">
        <v>0.38</v>
      </c>
      <c r="F79" s="14">
        <v>0.01</v>
      </c>
      <c r="G79" s="14">
        <v>0.16</v>
      </c>
      <c r="H79" s="14">
        <v>0.65</v>
      </c>
      <c r="I79" s="14">
        <v>0.01</v>
      </c>
      <c r="J79" s="14">
        <v>0.01</v>
      </c>
      <c r="K79" s="14">
        <v>0.12</v>
      </c>
      <c r="L79" s="14">
        <v>0.83</v>
      </c>
      <c r="M79" s="14">
        <v>0.01</v>
      </c>
      <c r="N79" s="152" t="s">
        <v>1306</v>
      </c>
    </row>
    <row r="80" spans="1:14">
      <c r="A80" s="268"/>
      <c r="B80" s="268" t="s">
        <v>841</v>
      </c>
      <c r="C80" s="14">
        <v>1000000</v>
      </c>
      <c r="D80" s="45">
        <v>7748422</v>
      </c>
      <c r="E80" s="14">
        <v>0.17</v>
      </c>
      <c r="F80" s="14">
        <v>0.01</v>
      </c>
      <c r="G80" s="14">
        <v>0.11</v>
      </c>
      <c r="H80" s="14">
        <v>1.06</v>
      </c>
      <c r="I80" s="14">
        <v>0.01</v>
      </c>
      <c r="J80" s="14">
        <v>0.01</v>
      </c>
      <c r="K80" s="14">
        <v>0.14000000000000001</v>
      </c>
      <c r="L80" s="14">
        <v>2.2400000000000002</v>
      </c>
      <c r="M80" s="14">
        <v>0.01</v>
      </c>
      <c r="N80" s="152" t="s">
        <v>75</v>
      </c>
    </row>
    <row r="81" spans="1:14">
      <c r="A81" s="268"/>
      <c r="B81" s="268" t="s">
        <v>841</v>
      </c>
      <c r="C81" s="14">
        <v>8600000</v>
      </c>
      <c r="D81" s="45">
        <v>66636428</v>
      </c>
      <c r="E81" s="14">
        <v>1.45</v>
      </c>
      <c r="F81" s="14">
        <v>0.05</v>
      </c>
      <c r="G81" s="14">
        <v>0.97</v>
      </c>
      <c r="H81" s="14">
        <v>1.06</v>
      </c>
      <c r="I81" s="14">
        <v>7.0000000000000007E-2</v>
      </c>
      <c r="J81" s="14">
        <v>0.05</v>
      </c>
      <c r="K81" s="14">
        <v>1.21</v>
      </c>
      <c r="L81" s="14">
        <v>2.2400000000000002</v>
      </c>
      <c r="M81" s="14">
        <v>0.06</v>
      </c>
      <c r="N81" s="152" t="s">
        <v>75</v>
      </c>
    </row>
    <row r="82" spans="1:14">
      <c r="A82" s="268"/>
      <c r="B82" s="268" t="s">
        <v>1378</v>
      </c>
      <c r="C82" s="14">
        <v>1000000</v>
      </c>
      <c r="D82" s="45">
        <v>7064318</v>
      </c>
      <c r="E82" s="14">
        <v>0.15</v>
      </c>
      <c r="F82" s="14">
        <v>0.01</v>
      </c>
      <c r="G82" s="14">
        <v>0.12</v>
      </c>
      <c r="H82" s="14">
        <v>1.27</v>
      </c>
      <c r="I82" s="14">
        <v>0.01</v>
      </c>
      <c r="J82" s="14">
        <v>0.01</v>
      </c>
      <c r="K82" s="14">
        <v>0.23</v>
      </c>
      <c r="L82" s="14">
        <v>4.04</v>
      </c>
      <c r="M82" s="14">
        <v>0.01</v>
      </c>
      <c r="N82" s="152" t="s">
        <v>1308</v>
      </c>
    </row>
    <row r="83" spans="1:14">
      <c r="A83" s="268"/>
      <c r="B83" s="268" t="s">
        <v>1379</v>
      </c>
      <c r="C83" s="14">
        <v>400000</v>
      </c>
      <c r="D83" s="45">
        <v>2822315</v>
      </c>
      <c r="E83" s="14">
        <v>0.06</v>
      </c>
      <c r="F83" s="14">
        <v>0</v>
      </c>
      <c r="G83" s="14">
        <v>0.08</v>
      </c>
      <c r="H83" s="14">
        <v>1.94</v>
      </c>
      <c r="I83" s="14">
        <v>0</v>
      </c>
      <c r="J83" s="14">
        <v>0</v>
      </c>
      <c r="K83" s="14">
        <v>0.1</v>
      </c>
      <c r="L83" s="14">
        <v>4.5</v>
      </c>
      <c r="M83" s="14">
        <v>0</v>
      </c>
      <c r="N83" s="152" t="s">
        <v>1310</v>
      </c>
    </row>
    <row r="84" spans="1:14">
      <c r="A84" s="268"/>
      <c r="B84" s="268" t="s">
        <v>1967</v>
      </c>
      <c r="C84" s="14">
        <v>500000</v>
      </c>
      <c r="D84" s="45">
        <v>3501527</v>
      </c>
      <c r="E84" s="14">
        <v>0.08</v>
      </c>
      <c r="F84" s="14">
        <v>0</v>
      </c>
      <c r="G84" s="14">
        <v>0.13</v>
      </c>
      <c r="H84" s="14">
        <v>2.6</v>
      </c>
      <c r="I84" s="14">
        <v>0.01</v>
      </c>
      <c r="J84" s="14">
        <v>0</v>
      </c>
      <c r="K84" s="14">
        <v>0.14000000000000001</v>
      </c>
      <c r="L84" s="14">
        <v>4.83</v>
      </c>
      <c r="M84" s="14">
        <v>0.01</v>
      </c>
      <c r="N84" s="152" t="s">
        <v>1931</v>
      </c>
    </row>
    <row r="85" spans="1:14">
      <c r="A85" s="268"/>
      <c r="B85" s="268" t="s">
        <v>1380</v>
      </c>
      <c r="C85" s="14">
        <v>300000</v>
      </c>
      <c r="D85" s="45">
        <v>2101212</v>
      </c>
      <c r="E85" s="14">
        <v>0.05</v>
      </c>
      <c r="F85" s="14">
        <v>0</v>
      </c>
      <c r="G85" s="14">
        <v>0.1</v>
      </c>
      <c r="H85" s="14">
        <v>3.38</v>
      </c>
      <c r="I85" s="14">
        <v>0</v>
      </c>
      <c r="J85" s="14">
        <v>0</v>
      </c>
      <c r="K85" s="14">
        <v>0.1</v>
      </c>
      <c r="L85" s="14">
        <v>5.73</v>
      </c>
      <c r="M85" s="14">
        <v>0</v>
      </c>
      <c r="N85" s="152" t="s">
        <v>1312</v>
      </c>
    </row>
    <row r="86" spans="1:14">
      <c r="A86" s="268"/>
      <c r="B86" s="268" t="s">
        <v>842</v>
      </c>
      <c r="C86" s="14">
        <v>8000000</v>
      </c>
      <c r="D86" s="45">
        <v>67050535</v>
      </c>
      <c r="E86" s="14">
        <v>1.46</v>
      </c>
      <c r="F86" s="14">
        <v>0.02</v>
      </c>
      <c r="G86" s="14">
        <v>0.17</v>
      </c>
      <c r="H86" s="14">
        <v>0.19</v>
      </c>
      <c r="I86" s="14">
        <v>0.03</v>
      </c>
      <c r="J86" s="14">
        <v>0.02</v>
      </c>
      <c r="K86" s="14">
        <v>0.19</v>
      </c>
      <c r="L86" s="14">
        <v>0.34</v>
      </c>
      <c r="M86" s="14">
        <v>0.03</v>
      </c>
      <c r="N86" s="152" t="s">
        <v>77</v>
      </c>
    </row>
    <row r="87" spans="1:14">
      <c r="A87" s="268"/>
      <c r="B87" s="268" t="s">
        <v>32</v>
      </c>
      <c r="C87" s="14">
        <v>750000</v>
      </c>
      <c r="D87" s="45">
        <v>12090000</v>
      </c>
      <c r="E87" s="14">
        <v>0.26</v>
      </c>
      <c r="F87" s="14">
        <v>0.03</v>
      </c>
      <c r="G87" s="14">
        <v>0.62</v>
      </c>
      <c r="H87" s="14">
        <v>3.76</v>
      </c>
      <c r="I87" s="14">
        <v>0.04</v>
      </c>
      <c r="J87" s="14">
        <v>0.03</v>
      </c>
      <c r="K87" s="14">
        <v>0.64</v>
      </c>
      <c r="L87" s="14">
        <v>6.56</v>
      </c>
      <c r="M87" s="14">
        <v>0.04</v>
      </c>
      <c r="N87" s="152" t="s">
        <v>879</v>
      </c>
    </row>
    <row r="88" spans="1:14">
      <c r="A88" s="268"/>
      <c r="B88" s="268" t="s">
        <v>1195</v>
      </c>
      <c r="C88" s="14">
        <v>1052500</v>
      </c>
      <c r="D88" s="45">
        <v>8420000</v>
      </c>
      <c r="E88" s="14">
        <v>0.18</v>
      </c>
      <c r="F88" s="14">
        <v>0.02</v>
      </c>
      <c r="G88" s="14">
        <v>0.42</v>
      </c>
      <c r="H88" s="14">
        <v>3.64</v>
      </c>
      <c r="I88" s="14">
        <v>0.03</v>
      </c>
      <c r="J88" s="14">
        <v>0.02</v>
      </c>
      <c r="K88" s="14">
        <v>0.23</v>
      </c>
      <c r="L88" s="14">
        <v>3.3</v>
      </c>
      <c r="M88" s="14">
        <v>0.03</v>
      </c>
      <c r="N88" s="152" t="s">
        <v>1273</v>
      </c>
    </row>
    <row r="89" spans="1:14">
      <c r="A89" s="268"/>
      <c r="B89" s="268" t="s">
        <v>34</v>
      </c>
      <c r="C89" s="14">
        <v>957000</v>
      </c>
      <c r="D89" s="45">
        <v>11924220</v>
      </c>
      <c r="E89" s="14">
        <v>0.26</v>
      </c>
      <c r="F89" s="14">
        <v>0.03</v>
      </c>
      <c r="G89" s="14">
        <v>0.81</v>
      </c>
      <c r="H89" s="14">
        <v>4.9400000000000004</v>
      </c>
      <c r="I89" s="14">
        <v>0.04</v>
      </c>
      <c r="J89" s="14">
        <v>0.03</v>
      </c>
      <c r="K89" s="14">
        <v>0.37</v>
      </c>
      <c r="L89" s="14">
        <v>3.78</v>
      </c>
      <c r="M89" s="14">
        <v>0.04</v>
      </c>
      <c r="N89" s="152" t="s">
        <v>880</v>
      </c>
    </row>
    <row r="90" spans="1:14">
      <c r="A90" s="268"/>
      <c r="B90" s="268" t="s">
        <v>843</v>
      </c>
      <c r="C90" s="14">
        <v>711685.16</v>
      </c>
      <c r="D90" s="45">
        <v>711685</v>
      </c>
      <c r="E90" s="14">
        <v>0.02</v>
      </c>
      <c r="F90" s="14">
        <v>0</v>
      </c>
      <c r="G90" s="14">
        <v>0</v>
      </c>
      <c r="H90" s="14">
        <v>0</v>
      </c>
      <c r="I90" s="14">
        <v>0</v>
      </c>
      <c r="J90" s="14">
        <v>0</v>
      </c>
      <c r="K90" s="14">
        <v>0</v>
      </c>
      <c r="L90" s="14">
        <v>0</v>
      </c>
      <c r="M90" s="14">
        <v>0</v>
      </c>
      <c r="N90" s="152"/>
    </row>
    <row r="91" spans="1:14">
      <c r="A91" s="268"/>
      <c r="B91" s="268" t="s">
        <v>843</v>
      </c>
      <c r="C91" s="14">
        <v>20673328.420000002</v>
      </c>
      <c r="D91" s="45">
        <v>20673328</v>
      </c>
      <c r="E91" s="14">
        <v>0.45</v>
      </c>
      <c r="F91" s="14">
        <v>0</v>
      </c>
      <c r="G91" s="14">
        <v>0</v>
      </c>
      <c r="H91" s="14">
        <v>0</v>
      </c>
      <c r="I91" s="14">
        <v>0</v>
      </c>
      <c r="J91" s="14">
        <v>0</v>
      </c>
      <c r="K91" s="14">
        <v>0</v>
      </c>
      <c r="L91" s="14">
        <v>0</v>
      </c>
      <c r="M91" s="14">
        <v>0</v>
      </c>
      <c r="N91" s="152"/>
    </row>
    <row r="92" spans="1:14">
      <c r="A92" s="268"/>
      <c r="B92" s="268" t="s">
        <v>843</v>
      </c>
      <c r="C92" s="14">
        <v>-22720836.73</v>
      </c>
      <c r="D92" s="45">
        <v>-22720837</v>
      </c>
      <c r="E92" s="14">
        <v>-0.49</v>
      </c>
      <c r="F92" s="14">
        <v>0</v>
      </c>
      <c r="G92" s="14">
        <v>0</v>
      </c>
      <c r="H92" s="14">
        <v>0</v>
      </c>
      <c r="I92" s="14">
        <v>0</v>
      </c>
      <c r="J92" s="14">
        <v>0</v>
      </c>
      <c r="K92" s="14">
        <v>0</v>
      </c>
      <c r="L92" s="14">
        <v>0</v>
      </c>
      <c r="M92" s="14">
        <v>0</v>
      </c>
      <c r="N92" s="152"/>
    </row>
    <row r="93" spans="1:14">
      <c r="A93" s="268"/>
      <c r="B93" s="268" t="s">
        <v>959</v>
      </c>
      <c r="C93" s="14">
        <v>40000</v>
      </c>
      <c r="D93" s="45">
        <v>10080000</v>
      </c>
      <c r="E93" s="14">
        <v>0.22</v>
      </c>
      <c r="F93" s="14">
        <v>0.03</v>
      </c>
      <c r="G93" s="14">
        <v>0.6</v>
      </c>
      <c r="H93" s="14">
        <v>4.3099999999999996</v>
      </c>
      <c r="I93" s="14">
        <v>0.04</v>
      </c>
      <c r="J93" s="14">
        <v>0.03</v>
      </c>
      <c r="K93" s="14">
        <v>0.73</v>
      </c>
      <c r="L93" s="14">
        <v>8.98</v>
      </c>
      <c r="M93" s="14">
        <v>0.04</v>
      </c>
      <c r="N93" s="152" t="s">
        <v>973</v>
      </c>
    </row>
    <row r="94" spans="1:14">
      <c r="A94" s="268"/>
      <c r="B94" s="268" t="s">
        <v>939</v>
      </c>
      <c r="C94" s="14">
        <v>7450000</v>
      </c>
      <c r="D94" s="45">
        <v>50526785</v>
      </c>
      <c r="E94" s="14">
        <v>1.1000000000000001</v>
      </c>
      <c r="F94" s="14">
        <v>0.06</v>
      </c>
      <c r="G94" s="14">
        <v>1.37</v>
      </c>
      <c r="H94" s="14">
        <v>1.97</v>
      </c>
      <c r="I94" s="14">
        <v>0.1</v>
      </c>
      <c r="J94" s="14">
        <v>7.0000000000000007E-2</v>
      </c>
      <c r="K94" s="14">
        <v>1.87</v>
      </c>
      <c r="L94" s="14">
        <v>4.57</v>
      </c>
      <c r="M94" s="14">
        <v>0.09</v>
      </c>
      <c r="N94" s="152" t="s">
        <v>935</v>
      </c>
    </row>
    <row r="95" spans="1:14">
      <c r="A95" s="268"/>
      <c r="B95" s="268" t="s">
        <v>1274</v>
      </c>
      <c r="C95" s="14">
        <v>3000000</v>
      </c>
      <c r="D95" s="45">
        <v>22319721</v>
      </c>
      <c r="E95" s="14">
        <v>0.49</v>
      </c>
      <c r="F95" s="14">
        <v>0.02</v>
      </c>
      <c r="G95" s="14">
        <v>0.79</v>
      </c>
      <c r="H95" s="14">
        <v>2.59</v>
      </c>
      <c r="I95" s="14">
        <v>0.04</v>
      </c>
      <c r="J95" s="14">
        <v>0.03</v>
      </c>
      <c r="K95" s="14">
        <v>0.69</v>
      </c>
      <c r="L95" s="14">
        <v>3.82</v>
      </c>
      <c r="M95" s="14">
        <v>0.04</v>
      </c>
      <c r="N95" s="152" t="s">
        <v>1210</v>
      </c>
    </row>
    <row r="96" spans="1:14">
      <c r="A96" s="268"/>
      <c r="B96" s="268" t="s">
        <v>940</v>
      </c>
      <c r="C96" s="14">
        <v>5000000</v>
      </c>
      <c r="D96" s="45">
        <v>38655473</v>
      </c>
      <c r="E96" s="14">
        <v>0.84</v>
      </c>
      <c r="F96" s="14">
        <v>0.03</v>
      </c>
      <c r="G96" s="14">
        <v>0.55000000000000004</v>
      </c>
      <c r="H96" s="14">
        <v>1.04</v>
      </c>
      <c r="I96" s="14">
        <v>0.04</v>
      </c>
      <c r="J96" s="14">
        <v>0.02</v>
      </c>
      <c r="K96" s="14">
        <v>0.55000000000000004</v>
      </c>
      <c r="L96" s="14">
        <v>1.77</v>
      </c>
      <c r="M96" s="14">
        <v>0.03</v>
      </c>
      <c r="N96" s="152" t="s">
        <v>937</v>
      </c>
    </row>
    <row r="97" spans="1:14">
      <c r="A97" s="268"/>
      <c r="B97" s="268" t="s">
        <v>844</v>
      </c>
      <c r="C97" s="14">
        <v>3000000</v>
      </c>
      <c r="D97" s="45">
        <v>22569329</v>
      </c>
      <c r="E97" s="14">
        <v>0.49</v>
      </c>
      <c r="F97" s="14">
        <v>0.01</v>
      </c>
      <c r="G97" s="14">
        <v>0.39</v>
      </c>
      <c r="H97" s="14">
        <v>1.25</v>
      </c>
      <c r="I97" s="14">
        <v>0.02</v>
      </c>
      <c r="J97" s="14">
        <v>0.01</v>
      </c>
      <c r="K97" s="14">
        <v>0.33</v>
      </c>
      <c r="L97" s="14">
        <v>1.78</v>
      </c>
      <c r="M97" s="14">
        <v>0.02</v>
      </c>
      <c r="N97" s="152" t="s">
        <v>881</v>
      </c>
    </row>
    <row r="98" spans="1:14">
      <c r="A98" s="268"/>
      <c r="B98" s="268" t="s">
        <v>1313</v>
      </c>
      <c r="C98" s="14">
        <v>10000000</v>
      </c>
      <c r="D98" s="45">
        <v>77898197</v>
      </c>
      <c r="E98" s="14">
        <v>1.7</v>
      </c>
      <c r="F98" s="14">
        <v>0.02</v>
      </c>
      <c r="G98" s="14">
        <v>0.28999999999999998</v>
      </c>
      <c r="H98" s="14">
        <v>0.27</v>
      </c>
      <c r="I98" s="14">
        <v>0.02</v>
      </c>
      <c r="J98" s="14">
        <v>0.01</v>
      </c>
      <c r="K98" s="14">
        <v>0.27</v>
      </c>
      <c r="L98" s="14">
        <v>0.43</v>
      </c>
      <c r="M98" s="14">
        <v>0.02</v>
      </c>
      <c r="N98" s="152" t="s">
        <v>1314</v>
      </c>
    </row>
    <row r="99" spans="1:14">
      <c r="A99" s="268"/>
      <c r="B99" s="268" t="s">
        <v>1275</v>
      </c>
      <c r="C99" s="14">
        <v>1500000</v>
      </c>
      <c r="D99" s="45">
        <v>11001599</v>
      </c>
      <c r="E99" s="14">
        <v>0.24</v>
      </c>
      <c r="F99" s="14">
        <v>0.02</v>
      </c>
      <c r="G99" s="14">
        <v>0.4</v>
      </c>
      <c r="H99" s="14">
        <v>2.68</v>
      </c>
      <c r="I99" s="14">
        <v>0.03</v>
      </c>
      <c r="J99" s="14">
        <v>0.02</v>
      </c>
      <c r="K99" s="14">
        <v>0.19</v>
      </c>
      <c r="L99" s="14">
        <v>2.15</v>
      </c>
      <c r="M99" s="14">
        <v>0.02</v>
      </c>
      <c r="N99" s="152" t="s">
        <v>1212</v>
      </c>
    </row>
    <row r="100" spans="1:14">
      <c r="A100" s="268"/>
      <c r="B100" s="268" t="s">
        <v>1276</v>
      </c>
      <c r="C100" s="14">
        <v>5000000</v>
      </c>
      <c r="D100" s="45">
        <v>38877023</v>
      </c>
      <c r="E100" s="14">
        <v>0.85</v>
      </c>
      <c r="F100" s="14">
        <v>0</v>
      </c>
      <c r="G100" s="14">
        <v>0.09</v>
      </c>
      <c r="H100" s="14">
        <v>0.17</v>
      </c>
      <c r="I100" s="14">
        <v>0.01</v>
      </c>
      <c r="J100" s="14">
        <v>0</v>
      </c>
      <c r="K100" s="14">
        <v>0</v>
      </c>
      <c r="L100" s="14">
        <v>0.02</v>
      </c>
      <c r="M100" s="14">
        <v>0</v>
      </c>
      <c r="N100" s="152" t="s">
        <v>1214</v>
      </c>
    </row>
    <row r="101" spans="1:14">
      <c r="A101" s="268"/>
      <c r="B101" s="268" t="s">
        <v>36</v>
      </c>
      <c r="C101" s="14">
        <v>1500000</v>
      </c>
      <c r="D101" s="45">
        <v>7905000</v>
      </c>
      <c r="E101" s="14">
        <v>0.17</v>
      </c>
      <c r="F101" s="14">
        <v>0.02</v>
      </c>
      <c r="G101" s="14">
        <v>0.56999999999999995</v>
      </c>
      <c r="H101" s="14">
        <v>5.21</v>
      </c>
      <c r="I101" s="14">
        <v>0.03</v>
      </c>
      <c r="J101" s="14">
        <v>0.02</v>
      </c>
      <c r="K101" s="14">
        <v>0.47</v>
      </c>
      <c r="L101" s="14">
        <v>7.27</v>
      </c>
      <c r="M101" s="14">
        <v>0.03</v>
      </c>
      <c r="N101" s="152" t="s">
        <v>882</v>
      </c>
    </row>
    <row r="102" spans="1:14">
      <c r="A102" s="268"/>
      <c r="B102" s="268" t="s">
        <v>1287</v>
      </c>
      <c r="C102" s="14">
        <v>530000</v>
      </c>
      <c r="D102" s="45">
        <v>7388200</v>
      </c>
      <c r="E102" s="14">
        <v>0.16</v>
      </c>
      <c r="F102" s="14">
        <v>0.02</v>
      </c>
      <c r="G102" s="14">
        <v>0.38</v>
      </c>
      <c r="H102" s="14">
        <v>3.75</v>
      </c>
      <c r="I102" s="14">
        <v>0.03</v>
      </c>
      <c r="J102" s="14">
        <v>0.02</v>
      </c>
      <c r="K102" s="14">
        <v>0.41</v>
      </c>
      <c r="L102" s="14">
        <v>6.78</v>
      </c>
      <c r="M102" s="14">
        <v>0.03</v>
      </c>
      <c r="N102" s="152" t="s">
        <v>1381</v>
      </c>
    </row>
    <row r="103" spans="1:14">
      <c r="A103" s="268"/>
      <c r="B103" s="268" t="s">
        <v>78</v>
      </c>
      <c r="C103" s="14">
        <v>1000000</v>
      </c>
      <c r="D103" s="45">
        <v>7901899</v>
      </c>
      <c r="E103" s="14">
        <v>0.17</v>
      </c>
      <c r="F103" s="14">
        <v>0</v>
      </c>
      <c r="G103" s="14">
        <v>0.05</v>
      </c>
      <c r="H103" s="14">
        <v>0.42</v>
      </c>
      <c r="I103" s="14">
        <v>0</v>
      </c>
      <c r="J103" s="14">
        <v>0</v>
      </c>
      <c r="K103" s="14">
        <v>0.05</v>
      </c>
      <c r="L103" s="14">
        <v>0.84</v>
      </c>
      <c r="M103" s="14">
        <v>0</v>
      </c>
      <c r="N103" s="152" t="s">
        <v>79</v>
      </c>
    </row>
    <row r="104" spans="1:14">
      <c r="A104" s="268"/>
      <c r="B104" s="268" t="s">
        <v>845</v>
      </c>
      <c r="C104" s="14">
        <v>5500000</v>
      </c>
      <c r="D104" s="45">
        <v>42311382</v>
      </c>
      <c r="E104" s="14">
        <v>0.92</v>
      </c>
      <c r="F104" s="14">
        <v>0.02</v>
      </c>
      <c r="G104" s="14">
        <v>0.6</v>
      </c>
      <c r="H104" s="14">
        <v>1.03</v>
      </c>
      <c r="I104" s="14">
        <v>0.04</v>
      </c>
      <c r="J104" s="14">
        <v>0.03</v>
      </c>
      <c r="K104" s="14">
        <v>0.61</v>
      </c>
      <c r="L104" s="14">
        <v>1.77</v>
      </c>
      <c r="M104" s="14">
        <v>0.03</v>
      </c>
      <c r="N104" s="152" t="s">
        <v>883</v>
      </c>
    </row>
    <row r="105" spans="1:14">
      <c r="A105" s="268"/>
      <c r="B105" s="268" t="s">
        <v>845</v>
      </c>
      <c r="C105" s="14">
        <v>7500000</v>
      </c>
      <c r="D105" s="45">
        <v>57697339</v>
      </c>
      <c r="E105" s="14">
        <v>1.26</v>
      </c>
      <c r="F105" s="14">
        <v>0.03</v>
      </c>
      <c r="G105" s="14">
        <v>0.82</v>
      </c>
      <c r="H105" s="14">
        <v>1.03</v>
      </c>
      <c r="I105" s="14">
        <v>0.05</v>
      </c>
      <c r="J105" s="14">
        <v>0.03</v>
      </c>
      <c r="K105" s="14">
        <v>0.83</v>
      </c>
      <c r="L105" s="14">
        <v>1.77</v>
      </c>
      <c r="M105" s="14">
        <v>0.05</v>
      </c>
      <c r="N105" s="152" t="s">
        <v>883</v>
      </c>
    </row>
    <row r="106" spans="1:14">
      <c r="A106" s="268"/>
      <c r="B106" s="268" t="s">
        <v>1168</v>
      </c>
      <c r="C106" s="14">
        <v>3000000</v>
      </c>
      <c r="D106" s="45">
        <v>15690052</v>
      </c>
      <c r="E106" s="14">
        <v>0.34</v>
      </c>
      <c r="F106" s="14">
        <v>0.04</v>
      </c>
      <c r="G106" s="14">
        <v>1.22</v>
      </c>
      <c r="H106" s="14">
        <v>5.67</v>
      </c>
      <c r="I106" s="14">
        <v>7.0000000000000007E-2</v>
      </c>
      <c r="J106" s="14">
        <v>0.04</v>
      </c>
      <c r="K106" s="14">
        <v>1.36</v>
      </c>
      <c r="L106" s="14">
        <v>10.71</v>
      </c>
      <c r="M106" s="14">
        <v>0.06</v>
      </c>
      <c r="N106" s="152" t="s">
        <v>1155</v>
      </c>
    </row>
    <row r="107" spans="1:14">
      <c r="A107" s="268"/>
      <c r="B107" s="268" t="s">
        <v>1977</v>
      </c>
      <c r="C107" s="14">
        <v>1000000</v>
      </c>
      <c r="D107" s="45">
        <v>7819005</v>
      </c>
      <c r="E107" s="14">
        <v>0.17</v>
      </c>
      <c r="F107" s="14">
        <v>0.01</v>
      </c>
      <c r="G107" s="14">
        <v>0.06</v>
      </c>
      <c r="H107" s="14">
        <v>0.56999999999999995</v>
      </c>
      <c r="I107" s="14">
        <v>0.01</v>
      </c>
      <c r="J107" s="14">
        <v>0.01</v>
      </c>
      <c r="K107" s="14">
        <v>0.26</v>
      </c>
      <c r="L107" s="14">
        <v>4.16</v>
      </c>
      <c r="M107" s="14">
        <v>0.01</v>
      </c>
      <c r="N107" s="152" t="s">
        <v>1933</v>
      </c>
    </row>
    <row r="108" spans="1:14">
      <c r="A108" s="268"/>
      <c r="B108" s="268" t="s">
        <v>1978</v>
      </c>
      <c r="C108" s="14">
        <v>3000000</v>
      </c>
      <c r="D108" s="45">
        <v>23135666</v>
      </c>
      <c r="E108" s="14">
        <v>0.5</v>
      </c>
      <c r="F108" s="14">
        <v>0.06</v>
      </c>
      <c r="G108" s="14">
        <v>0.89</v>
      </c>
      <c r="H108" s="14">
        <v>2.79</v>
      </c>
      <c r="I108" s="14">
        <v>0.1</v>
      </c>
      <c r="J108" s="14">
        <v>7.0000000000000007E-2</v>
      </c>
      <c r="K108" s="14">
        <v>1.88</v>
      </c>
      <c r="L108" s="14">
        <v>10.02</v>
      </c>
      <c r="M108" s="14">
        <v>0.1</v>
      </c>
      <c r="N108" s="152" t="s">
        <v>1935</v>
      </c>
    </row>
    <row r="109" spans="1:14">
      <c r="A109" s="268"/>
      <c r="B109" s="268" t="s">
        <v>1215</v>
      </c>
      <c r="C109" s="14">
        <v>3000000</v>
      </c>
      <c r="D109" s="45">
        <v>23250398</v>
      </c>
      <c r="E109" s="14">
        <v>0.51</v>
      </c>
      <c r="F109" s="14">
        <v>0.01</v>
      </c>
      <c r="G109" s="14">
        <v>0.38</v>
      </c>
      <c r="H109" s="14">
        <v>1.18</v>
      </c>
      <c r="I109" s="14">
        <v>0.02</v>
      </c>
      <c r="J109" s="14">
        <v>0.01</v>
      </c>
      <c r="K109" s="14">
        <v>0.28000000000000003</v>
      </c>
      <c r="L109" s="14">
        <v>1.47</v>
      </c>
      <c r="M109" s="14">
        <v>0.02</v>
      </c>
      <c r="N109" s="152" t="s">
        <v>1216</v>
      </c>
    </row>
    <row r="110" spans="1:14">
      <c r="A110" s="268"/>
      <c r="B110" s="268" t="s">
        <v>1382</v>
      </c>
      <c r="C110" s="14">
        <v>3300000</v>
      </c>
      <c r="D110" s="45">
        <v>25142913</v>
      </c>
      <c r="E110" s="14">
        <v>0.55000000000000004</v>
      </c>
      <c r="F110" s="14">
        <v>0.03</v>
      </c>
      <c r="G110" s="14">
        <v>0.94</v>
      </c>
      <c r="H110" s="14">
        <v>2.73</v>
      </c>
      <c r="I110" s="14">
        <v>0.04</v>
      </c>
      <c r="J110" s="14">
        <v>0.03</v>
      </c>
      <c r="K110" s="14">
        <v>0.64</v>
      </c>
      <c r="L110" s="14">
        <v>3.13</v>
      </c>
      <c r="M110" s="14">
        <v>0.04</v>
      </c>
      <c r="N110" s="152" t="s">
        <v>1316</v>
      </c>
    </row>
    <row r="111" spans="1:14">
      <c r="A111" s="268"/>
      <c r="B111" s="268" t="s">
        <v>1217</v>
      </c>
      <c r="C111" s="14">
        <v>3500000</v>
      </c>
      <c r="D111" s="45">
        <v>26969904</v>
      </c>
      <c r="E111" s="14">
        <v>0.59</v>
      </c>
      <c r="F111" s="14">
        <v>0.01</v>
      </c>
      <c r="G111" s="14">
        <v>0.3</v>
      </c>
      <c r="H111" s="14">
        <v>0.8</v>
      </c>
      <c r="I111" s="14">
        <v>0.02</v>
      </c>
      <c r="J111" s="14">
        <v>0.01</v>
      </c>
      <c r="K111" s="14">
        <v>0.3</v>
      </c>
      <c r="L111" s="14">
        <v>1.39</v>
      </c>
      <c r="M111" s="14">
        <v>0.02</v>
      </c>
      <c r="N111" s="152" t="s">
        <v>1218</v>
      </c>
    </row>
    <row r="112" spans="1:14">
      <c r="A112" s="268"/>
      <c r="B112" s="268" t="s">
        <v>38</v>
      </c>
      <c r="C112" s="14">
        <v>92000</v>
      </c>
      <c r="D112" s="45">
        <v>6403200</v>
      </c>
      <c r="E112" s="14">
        <v>0.14000000000000001</v>
      </c>
      <c r="F112" s="14">
        <v>0.02</v>
      </c>
      <c r="G112" s="14">
        <v>0.45</v>
      </c>
      <c r="H112" s="14">
        <v>5.05</v>
      </c>
      <c r="I112" s="14">
        <v>0.02</v>
      </c>
      <c r="J112" s="14">
        <v>0.02</v>
      </c>
      <c r="K112" s="14">
        <v>0.47</v>
      </c>
      <c r="L112" s="14">
        <v>8.99</v>
      </c>
      <c r="M112" s="14">
        <v>0.03</v>
      </c>
      <c r="N112" s="152" t="s">
        <v>884</v>
      </c>
    </row>
    <row r="113" spans="1:14">
      <c r="A113" s="268"/>
      <c r="B113" s="268" t="s">
        <v>1383</v>
      </c>
      <c r="C113" s="14">
        <v>2000000</v>
      </c>
      <c r="D113" s="45">
        <v>15405430</v>
      </c>
      <c r="E113" s="14">
        <v>0.34</v>
      </c>
      <c r="F113" s="14">
        <v>0.01</v>
      </c>
      <c r="G113" s="14">
        <v>0.25</v>
      </c>
      <c r="H113" s="14">
        <v>1.1599999999999999</v>
      </c>
      <c r="I113" s="14">
        <v>0.01</v>
      </c>
      <c r="J113" s="14">
        <v>0.01</v>
      </c>
      <c r="K113" s="14">
        <v>0.19</v>
      </c>
      <c r="L113" s="14">
        <v>1.5</v>
      </c>
      <c r="M113" s="14">
        <v>0.02</v>
      </c>
      <c r="N113" s="152" t="s">
        <v>1318</v>
      </c>
    </row>
    <row r="114" spans="1:14">
      <c r="A114" s="268"/>
      <c r="B114" s="268" t="s">
        <v>1384</v>
      </c>
      <c r="C114" s="14">
        <v>800000</v>
      </c>
      <c r="D114" s="45">
        <v>6080083</v>
      </c>
      <c r="E114" s="14">
        <v>0.13</v>
      </c>
      <c r="F114" s="14">
        <v>0.01</v>
      </c>
      <c r="G114" s="14">
        <v>0.17</v>
      </c>
      <c r="H114" s="14">
        <v>2.0099999999999998</v>
      </c>
      <c r="I114" s="14">
        <v>0.01</v>
      </c>
      <c r="J114" s="14">
        <v>0.01</v>
      </c>
      <c r="K114" s="14">
        <v>0.11</v>
      </c>
      <c r="L114" s="14">
        <v>2.19</v>
      </c>
      <c r="M114" s="14">
        <v>0.01</v>
      </c>
      <c r="N114" s="152" t="s">
        <v>1320</v>
      </c>
    </row>
    <row r="115" spans="1:14">
      <c r="A115" s="268"/>
      <c r="B115" s="268" t="s">
        <v>974</v>
      </c>
      <c r="C115" s="14">
        <v>2000000</v>
      </c>
      <c r="D115" s="45">
        <v>15712508</v>
      </c>
      <c r="E115" s="14">
        <v>0.34</v>
      </c>
      <c r="F115" s="14">
        <v>0</v>
      </c>
      <c r="G115" s="14">
        <v>0.1</v>
      </c>
      <c r="H115" s="14">
        <v>0.45</v>
      </c>
      <c r="I115" s="14">
        <v>0.01</v>
      </c>
      <c r="J115" s="14">
        <v>0</v>
      </c>
      <c r="K115" s="14">
        <v>0.08</v>
      </c>
      <c r="L115" s="14">
        <v>0.6</v>
      </c>
      <c r="M115" s="14">
        <v>0</v>
      </c>
      <c r="N115" s="152" t="s">
        <v>968</v>
      </c>
    </row>
    <row r="116" spans="1:14">
      <c r="A116" s="268"/>
      <c r="B116" s="268" t="s">
        <v>1385</v>
      </c>
      <c r="C116" s="14">
        <v>1000000</v>
      </c>
      <c r="D116" s="45">
        <v>7833418</v>
      </c>
      <c r="E116" s="14">
        <v>0.17</v>
      </c>
      <c r="F116" s="14">
        <v>0</v>
      </c>
      <c r="G116" s="14">
        <v>0.06</v>
      </c>
      <c r="H116" s="14">
        <v>0.51</v>
      </c>
      <c r="I116" s="14">
        <v>0</v>
      </c>
      <c r="J116" s="14">
        <v>0</v>
      </c>
      <c r="K116" s="14">
        <v>0.04</v>
      </c>
      <c r="L116" s="14">
        <v>0.65</v>
      </c>
      <c r="M116" s="14">
        <v>0</v>
      </c>
      <c r="N116" s="152" t="s">
        <v>1322</v>
      </c>
    </row>
    <row r="117" spans="1:14">
      <c r="A117" s="268"/>
      <c r="B117" s="268" t="s">
        <v>846</v>
      </c>
      <c r="C117" s="14">
        <v>5000000</v>
      </c>
      <c r="D117" s="45">
        <v>40152714</v>
      </c>
      <c r="E117" s="14">
        <v>0.87</v>
      </c>
      <c r="F117" s="14">
        <v>0.02</v>
      </c>
      <c r="G117" s="14">
        <v>0.42</v>
      </c>
      <c r="H117" s="14">
        <v>0.76</v>
      </c>
      <c r="I117" s="14">
        <v>0.02</v>
      </c>
      <c r="J117" s="14">
        <v>0.02</v>
      </c>
      <c r="K117" s="14">
        <v>0.32</v>
      </c>
      <c r="L117" s="14">
        <v>1</v>
      </c>
      <c r="M117" s="14">
        <v>0.02</v>
      </c>
      <c r="N117" s="152" t="s">
        <v>81</v>
      </c>
    </row>
    <row r="118" spans="1:14">
      <c r="A118" s="268"/>
      <c r="B118" s="268" t="s">
        <v>847</v>
      </c>
      <c r="C118" s="14">
        <v>5000000</v>
      </c>
      <c r="D118" s="45">
        <v>39936557</v>
      </c>
      <c r="E118" s="14">
        <v>0.87</v>
      </c>
      <c r="F118" s="14">
        <v>0.01</v>
      </c>
      <c r="G118" s="14">
        <v>0.25</v>
      </c>
      <c r="H118" s="14">
        <v>0.45</v>
      </c>
      <c r="I118" s="14">
        <v>0.02</v>
      </c>
      <c r="J118" s="14">
        <v>0.01</v>
      </c>
      <c r="K118" s="14">
        <v>0.23</v>
      </c>
      <c r="L118" s="14">
        <v>0.7</v>
      </c>
      <c r="M118" s="14">
        <v>0.01</v>
      </c>
      <c r="N118" s="152" t="s">
        <v>83</v>
      </c>
    </row>
    <row r="119" spans="1:14">
      <c r="A119" s="268"/>
      <c r="B119" s="268" t="s">
        <v>1386</v>
      </c>
      <c r="C119" s="14">
        <v>1800000</v>
      </c>
      <c r="D119" s="45">
        <v>9683804</v>
      </c>
      <c r="E119" s="14">
        <v>0.21</v>
      </c>
      <c r="F119" s="14">
        <v>0.03</v>
      </c>
      <c r="G119" s="14">
        <v>0.82</v>
      </c>
      <c r="H119" s="14">
        <v>6.18</v>
      </c>
      <c r="I119" s="14">
        <v>0.05</v>
      </c>
      <c r="J119" s="14">
        <v>0.03</v>
      </c>
      <c r="K119" s="14">
        <v>0.96</v>
      </c>
      <c r="L119" s="14">
        <v>12.26</v>
      </c>
      <c r="M119" s="14">
        <v>0.04</v>
      </c>
      <c r="N119" s="152" t="s">
        <v>1324</v>
      </c>
    </row>
    <row r="120" spans="1:14">
      <c r="A120" s="268"/>
      <c r="B120" s="268" t="s">
        <v>1169</v>
      </c>
      <c r="C120" s="14">
        <v>1500000</v>
      </c>
      <c r="D120" s="45">
        <v>9337220</v>
      </c>
      <c r="E120" s="14">
        <v>0.2</v>
      </c>
      <c r="F120" s="14">
        <v>0.02</v>
      </c>
      <c r="G120" s="14">
        <v>0.66</v>
      </c>
      <c r="H120" s="14">
        <v>5.13</v>
      </c>
      <c r="I120" s="14">
        <v>0.04</v>
      </c>
      <c r="J120" s="14">
        <v>0.02</v>
      </c>
      <c r="K120" s="14">
        <v>0.69</v>
      </c>
      <c r="L120" s="14">
        <v>9.14</v>
      </c>
      <c r="M120" s="14">
        <v>0.03</v>
      </c>
      <c r="N120" s="152" t="s">
        <v>1157</v>
      </c>
    </row>
    <row r="121" spans="1:14">
      <c r="A121" s="268"/>
      <c r="B121" s="268" t="s">
        <v>1968</v>
      </c>
      <c r="C121" s="14">
        <v>1300000</v>
      </c>
      <c r="D121" s="45">
        <v>10106652</v>
      </c>
      <c r="E121" s="14">
        <v>0.22</v>
      </c>
      <c r="F121" s="14">
        <v>0.01</v>
      </c>
      <c r="G121" s="14">
        <v>0.18</v>
      </c>
      <c r="H121" s="14">
        <v>1.31</v>
      </c>
      <c r="I121" s="14">
        <v>0.01</v>
      </c>
      <c r="J121" s="14">
        <v>0.01</v>
      </c>
      <c r="K121" s="14">
        <v>0.23</v>
      </c>
      <c r="L121" s="14">
        <v>2.79</v>
      </c>
      <c r="M121" s="14">
        <v>0.01</v>
      </c>
      <c r="N121" s="152" t="s">
        <v>1937</v>
      </c>
    </row>
    <row r="122" spans="1:14">
      <c r="A122" s="268"/>
      <c r="B122" s="268" t="s">
        <v>1387</v>
      </c>
      <c r="C122" s="14">
        <v>3200000</v>
      </c>
      <c r="D122" s="45">
        <v>20470707</v>
      </c>
      <c r="E122" s="14">
        <v>0.45</v>
      </c>
      <c r="F122" s="14">
        <v>0.02</v>
      </c>
      <c r="G122" s="14">
        <v>0.67</v>
      </c>
      <c r="H122" s="14">
        <v>2.36</v>
      </c>
      <c r="I122" s="14">
        <v>0.03</v>
      </c>
      <c r="J122" s="14">
        <v>0.02</v>
      </c>
      <c r="K122" s="14">
        <v>0.74</v>
      </c>
      <c r="L122" s="14">
        <v>4.47</v>
      </c>
      <c r="M122" s="14">
        <v>0.03</v>
      </c>
      <c r="N122" s="152" t="s">
        <v>1326</v>
      </c>
    </row>
    <row r="123" spans="1:14">
      <c r="A123" s="268"/>
      <c r="B123" s="268" t="s">
        <v>1114</v>
      </c>
      <c r="C123" s="14">
        <v>4653000</v>
      </c>
      <c r="D123" s="45">
        <v>23490869</v>
      </c>
      <c r="E123" s="14">
        <v>0.51</v>
      </c>
      <c r="F123" s="14">
        <v>7.0000000000000007E-2</v>
      </c>
      <c r="G123" s="14">
        <v>1.33</v>
      </c>
      <c r="H123" s="14">
        <v>4.0999999999999996</v>
      </c>
      <c r="I123" s="14">
        <v>0.11</v>
      </c>
      <c r="J123" s="14">
        <v>7.0000000000000007E-2</v>
      </c>
      <c r="K123" s="14">
        <v>2.17</v>
      </c>
      <c r="L123" s="14">
        <v>11.39</v>
      </c>
      <c r="M123" s="14">
        <v>0.1</v>
      </c>
      <c r="N123" s="152" t="s">
        <v>1115</v>
      </c>
    </row>
    <row r="124" spans="1:14">
      <c r="A124" s="268"/>
      <c r="B124" s="268" t="s">
        <v>1388</v>
      </c>
      <c r="C124" s="14">
        <v>3200000</v>
      </c>
      <c r="D124" s="45">
        <v>16028015</v>
      </c>
      <c r="E124" s="14">
        <v>0.35</v>
      </c>
      <c r="F124" s="14">
        <v>0.04</v>
      </c>
      <c r="G124" s="14">
        <v>0.81</v>
      </c>
      <c r="H124" s="14">
        <v>3.69</v>
      </c>
      <c r="I124" s="14">
        <v>0.06</v>
      </c>
      <c r="J124" s="14">
        <v>0.05</v>
      </c>
      <c r="K124" s="14">
        <v>1.34</v>
      </c>
      <c r="L124" s="14">
        <v>10.29</v>
      </c>
      <c r="M124" s="14">
        <v>7.0000000000000007E-2</v>
      </c>
      <c r="N124" s="152" t="s">
        <v>1328</v>
      </c>
    </row>
    <row r="125" spans="1:14">
      <c r="A125" s="268"/>
      <c r="B125" s="268" t="s">
        <v>1389</v>
      </c>
      <c r="C125" s="14">
        <v>1000000</v>
      </c>
      <c r="D125" s="45">
        <v>7669230</v>
      </c>
      <c r="E125" s="14">
        <v>0.17</v>
      </c>
      <c r="F125" s="14">
        <v>0.01</v>
      </c>
      <c r="G125" s="14">
        <v>0.11</v>
      </c>
      <c r="H125" s="14">
        <v>1.08</v>
      </c>
      <c r="I125" s="14">
        <v>0.01</v>
      </c>
      <c r="J125" s="14">
        <v>0.01</v>
      </c>
      <c r="K125" s="14">
        <v>0.21</v>
      </c>
      <c r="L125" s="14">
        <v>3.4</v>
      </c>
      <c r="M125" s="14">
        <v>0.01</v>
      </c>
      <c r="N125" s="152" t="s">
        <v>1330</v>
      </c>
    </row>
    <row r="126" spans="1:14">
      <c r="A126" s="268"/>
      <c r="B126" s="268" t="s">
        <v>1142</v>
      </c>
      <c r="C126" s="14">
        <v>70000</v>
      </c>
      <c r="D126" s="45">
        <v>7266000</v>
      </c>
      <c r="E126" s="14">
        <v>0.16</v>
      </c>
      <c r="F126" s="14">
        <v>0.03</v>
      </c>
      <c r="G126" s="14">
        <v>0.66</v>
      </c>
      <c r="H126" s="14">
        <v>6.6</v>
      </c>
      <c r="I126" s="14">
        <v>0.04</v>
      </c>
      <c r="J126" s="14">
        <v>0.03</v>
      </c>
      <c r="K126" s="14">
        <v>0.46</v>
      </c>
      <c r="L126" s="14">
        <v>7.75</v>
      </c>
      <c r="M126" s="14">
        <v>0.04</v>
      </c>
      <c r="N126" s="152" t="s">
        <v>1170</v>
      </c>
    </row>
    <row r="127" spans="1:14">
      <c r="A127" s="268"/>
      <c r="B127" s="268" t="s">
        <v>1390</v>
      </c>
      <c r="C127" s="14">
        <v>5000000</v>
      </c>
      <c r="D127" s="45">
        <v>38953847</v>
      </c>
      <c r="E127" s="14">
        <v>0.85</v>
      </c>
      <c r="F127" s="14">
        <v>0.01</v>
      </c>
      <c r="G127" s="14">
        <v>-0.11</v>
      </c>
      <c r="H127" s="14">
        <v>-0.2</v>
      </c>
      <c r="I127" s="14">
        <v>0.01</v>
      </c>
      <c r="J127" s="14">
        <v>0.01</v>
      </c>
      <c r="K127" s="14">
        <v>-0.16</v>
      </c>
      <c r="L127" s="14">
        <v>-0.51</v>
      </c>
      <c r="M127" s="14">
        <v>0.02</v>
      </c>
      <c r="N127" s="152" t="s">
        <v>1332</v>
      </c>
    </row>
    <row r="128" spans="1:14">
      <c r="A128" s="268"/>
      <c r="B128" s="268" t="s">
        <v>1277</v>
      </c>
      <c r="C128" s="14">
        <v>1000000</v>
      </c>
      <c r="D128" s="45">
        <v>7553841</v>
      </c>
      <c r="E128" s="14">
        <v>0.16</v>
      </c>
      <c r="F128" s="14">
        <v>0</v>
      </c>
      <c r="G128" s="14">
        <v>0.12</v>
      </c>
      <c r="H128" s="14">
        <v>1.1299999999999999</v>
      </c>
      <c r="I128" s="14">
        <v>0.01</v>
      </c>
      <c r="J128" s="14">
        <v>0.01</v>
      </c>
      <c r="K128" s="14">
        <v>0.09</v>
      </c>
      <c r="L128" s="14">
        <v>1.4</v>
      </c>
      <c r="M128" s="14">
        <v>0.01</v>
      </c>
      <c r="N128" s="152" t="s">
        <v>1220</v>
      </c>
    </row>
    <row r="129" spans="1:14">
      <c r="A129" s="268"/>
      <c r="B129" s="268" t="s">
        <v>848</v>
      </c>
      <c r="C129" s="14">
        <v>7500000</v>
      </c>
      <c r="D129" s="45">
        <v>65614282</v>
      </c>
      <c r="E129" s="14">
        <v>1.43</v>
      </c>
      <c r="F129" s="14">
        <v>0.05</v>
      </c>
      <c r="G129" s="14">
        <v>0.84</v>
      </c>
      <c r="H129" s="14">
        <v>0.93</v>
      </c>
      <c r="I129" s="14">
        <v>0.09</v>
      </c>
      <c r="J129" s="14">
        <v>0.06</v>
      </c>
      <c r="K129" s="14">
        <v>0.81</v>
      </c>
      <c r="L129" s="14">
        <v>1.51</v>
      </c>
      <c r="M129" s="14">
        <v>0.09</v>
      </c>
      <c r="N129" s="152" t="s">
        <v>85</v>
      </c>
    </row>
    <row r="130" spans="1:14">
      <c r="A130" s="268"/>
      <c r="B130" s="268" t="s">
        <v>40</v>
      </c>
      <c r="C130" s="14">
        <v>331500</v>
      </c>
      <c r="D130" s="45">
        <v>14271075</v>
      </c>
      <c r="E130" s="14">
        <v>0.31</v>
      </c>
      <c r="F130" s="14">
        <v>0.04</v>
      </c>
      <c r="G130" s="14">
        <v>1.06</v>
      </c>
      <c r="H130" s="14">
        <v>5.4</v>
      </c>
      <c r="I130" s="14">
        <v>0.05</v>
      </c>
      <c r="J130" s="14">
        <v>0.05</v>
      </c>
      <c r="K130" s="14">
        <v>0.79</v>
      </c>
      <c r="L130" s="14">
        <v>6.85</v>
      </c>
      <c r="M130" s="14">
        <v>0.06</v>
      </c>
      <c r="N130" s="152" t="s">
        <v>885</v>
      </c>
    </row>
    <row r="131" spans="1:14">
      <c r="A131" s="268"/>
      <c r="B131" s="268" t="s">
        <v>849</v>
      </c>
      <c r="C131" s="14">
        <v>1500000</v>
      </c>
      <c r="D131" s="45">
        <v>12829839</v>
      </c>
      <c r="E131" s="14">
        <v>0.28000000000000003</v>
      </c>
      <c r="F131" s="14">
        <v>0.01</v>
      </c>
      <c r="G131" s="14">
        <v>0.06</v>
      </c>
      <c r="H131" s="14">
        <v>0.34</v>
      </c>
      <c r="I131" s="14">
        <v>0.01</v>
      </c>
      <c r="J131" s="14">
        <v>0.01</v>
      </c>
      <c r="K131" s="14">
        <v>0.15</v>
      </c>
      <c r="L131" s="14">
        <v>1.49</v>
      </c>
      <c r="M131" s="14">
        <v>0.01</v>
      </c>
      <c r="N131" s="152" t="s">
        <v>87</v>
      </c>
    </row>
    <row r="132" spans="1:14">
      <c r="A132" s="268"/>
      <c r="B132" s="268" t="s">
        <v>1116</v>
      </c>
      <c r="C132" s="14">
        <v>4500000</v>
      </c>
      <c r="D132" s="45">
        <v>33922930</v>
      </c>
      <c r="E132" s="14">
        <v>0.74</v>
      </c>
      <c r="F132" s="14">
        <v>0.06</v>
      </c>
      <c r="G132" s="14">
        <v>0.65</v>
      </c>
      <c r="H132" s="14">
        <v>1.38</v>
      </c>
      <c r="I132" s="14">
        <v>7.0000000000000007E-2</v>
      </c>
      <c r="J132" s="14">
        <v>0.05</v>
      </c>
      <c r="K132" s="14">
        <v>0.85</v>
      </c>
      <c r="L132" s="14">
        <v>3.11</v>
      </c>
      <c r="M132" s="14">
        <v>7.0000000000000007E-2</v>
      </c>
      <c r="N132" s="152" t="s">
        <v>1117</v>
      </c>
    </row>
    <row r="133" spans="1:14">
      <c r="A133" s="268"/>
      <c r="B133" s="268" t="s">
        <v>1979</v>
      </c>
      <c r="C133" s="14">
        <v>2000000</v>
      </c>
      <c r="D133" s="45">
        <v>15549531</v>
      </c>
      <c r="E133" s="14">
        <v>0.34</v>
      </c>
      <c r="F133" s="14">
        <v>0.04</v>
      </c>
      <c r="G133" s="14">
        <v>0.6</v>
      </c>
      <c r="H133" s="14">
        <v>2.81</v>
      </c>
      <c r="I133" s="14">
        <v>0.06</v>
      </c>
      <c r="J133" s="14">
        <v>0.05</v>
      </c>
      <c r="K133" s="14">
        <v>0.45</v>
      </c>
      <c r="L133" s="14">
        <v>3.59</v>
      </c>
      <c r="M133" s="14">
        <v>0.06</v>
      </c>
      <c r="N133" s="152" t="s">
        <v>1939</v>
      </c>
    </row>
    <row r="134" spans="1:14">
      <c r="A134" s="268"/>
      <c r="B134" s="268" t="s">
        <v>1391</v>
      </c>
      <c r="C134" s="14">
        <v>1235000</v>
      </c>
      <c r="D134" s="45">
        <v>9776893</v>
      </c>
      <c r="E134" s="14">
        <v>0.21</v>
      </c>
      <c r="F134" s="14">
        <v>0.01</v>
      </c>
      <c r="G134" s="14">
        <v>0.04</v>
      </c>
      <c r="H134" s="14">
        <v>0.33</v>
      </c>
      <c r="I134" s="14">
        <v>0.02</v>
      </c>
      <c r="J134" s="14">
        <v>0.01</v>
      </c>
      <c r="K134" s="14">
        <v>0.12</v>
      </c>
      <c r="L134" s="14">
        <v>1.47</v>
      </c>
      <c r="M134" s="14">
        <v>0.02</v>
      </c>
      <c r="N134" s="152" t="s">
        <v>1334</v>
      </c>
    </row>
    <row r="135" spans="1:14">
      <c r="A135" s="268"/>
      <c r="B135" s="268" t="s">
        <v>1392</v>
      </c>
      <c r="C135" s="14">
        <v>5000000</v>
      </c>
      <c r="D135" s="45">
        <v>38683995</v>
      </c>
      <c r="E135" s="14">
        <v>0.84</v>
      </c>
      <c r="F135" s="14">
        <v>0.01</v>
      </c>
      <c r="G135" s="14">
        <v>0.14000000000000001</v>
      </c>
      <c r="H135" s="14">
        <v>0.26</v>
      </c>
      <c r="I135" s="14">
        <v>0.01</v>
      </c>
      <c r="J135" s="14">
        <v>0</v>
      </c>
      <c r="K135" s="14">
        <v>0.09</v>
      </c>
      <c r="L135" s="14">
        <v>0.28999999999999998</v>
      </c>
      <c r="M135" s="14">
        <v>0.01</v>
      </c>
      <c r="N135" s="152" t="s">
        <v>89</v>
      </c>
    </row>
    <row r="136" spans="1:14">
      <c r="A136" s="268"/>
      <c r="B136" s="268" t="s">
        <v>1393</v>
      </c>
      <c r="C136" s="14">
        <v>4000000</v>
      </c>
      <c r="D136" s="45">
        <v>32748497</v>
      </c>
      <c r="E136" s="14">
        <v>0.71</v>
      </c>
      <c r="F136" s="14">
        <v>0.01</v>
      </c>
      <c r="G136" s="14">
        <v>0.19</v>
      </c>
      <c r="H136" s="14">
        <v>0.41</v>
      </c>
      <c r="I136" s="14">
        <v>0.03</v>
      </c>
      <c r="J136" s="14">
        <v>0.02</v>
      </c>
      <c r="K136" s="14">
        <v>0.33</v>
      </c>
      <c r="L136" s="14">
        <v>1.24</v>
      </c>
      <c r="M136" s="14">
        <v>0.03</v>
      </c>
      <c r="N136" s="152" t="s">
        <v>1336</v>
      </c>
    </row>
    <row r="137" spans="1:14">
      <c r="A137" s="268"/>
      <c r="B137" s="268" t="s">
        <v>850</v>
      </c>
      <c r="C137" s="14">
        <v>3000000</v>
      </c>
      <c r="D137" s="45">
        <v>26034717</v>
      </c>
      <c r="E137" s="14">
        <v>0.56999999999999995</v>
      </c>
      <c r="F137" s="14">
        <v>0.02</v>
      </c>
      <c r="G137" s="14">
        <v>0.62</v>
      </c>
      <c r="H137" s="14">
        <v>1.74</v>
      </c>
      <c r="I137" s="14">
        <v>0.04</v>
      </c>
      <c r="J137" s="14">
        <v>0.03</v>
      </c>
      <c r="K137" s="14">
        <v>0.4</v>
      </c>
      <c r="L137" s="14">
        <v>1.92</v>
      </c>
      <c r="M137" s="14">
        <v>0.04</v>
      </c>
      <c r="N137" s="152" t="s">
        <v>525</v>
      </c>
    </row>
    <row r="138" spans="1:14">
      <c r="A138" s="268"/>
      <c r="B138" s="268" t="s">
        <v>1969</v>
      </c>
      <c r="C138" s="14">
        <v>2000000</v>
      </c>
      <c r="D138" s="45">
        <v>11520790</v>
      </c>
      <c r="E138" s="14">
        <v>0.25</v>
      </c>
      <c r="F138" s="14">
        <v>0.03</v>
      </c>
      <c r="G138" s="14">
        <v>0.52</v>
      </c>
      <c r="H138" s="14">
        <v>3.27</v>
      </c>
      <c r="I138" s="14">
        <v>0.05</v>
      </c>
      <c r="J138" s="14">
        <v>0.04</v>
      </c>
      <c r="K138" s="14">
        <v>0.94</v>
      </c>
      <c r="L138" s="14">
        <v>10.039999999999999</v>
      </c>
      <c r="M138" s="14">
        <v>0.06</v>
      </c>
      <c r="N138" s="152" t="s">
        <v>1941</v>
      </c>
    </row>
    <row r="139" spans="1:14">
      <c r="A139" s="268"/>
      <c r="B139" s="268" t="s">
        <v>1970</v>
      </c>
      <c r="C139" s="14">
        <v>2000000</v>
      </c>
      <c r="D139" s="45">
        <v>16948075</v>
      </c>
      <c r="E139" s="14">
        <v>0.37</v>
      </c>
      <c r="F139" s="14">
        <v>0.04</v>
      </c>
      <c r="G139" s="14">
        <v>0.73</v>
      </c>
      <c r="H139" s="14">
        <v>3.14</v>
      </c>
      <c r="I139" s="14">
        <v>0.06</v>
      </c>
      <c r="J139" s="14">
        <v>0.04</v>
      </c>
      <c r="K139" s="14">
        <v>1.06</v>
      </c>
      <c r="L139" s="14">
        <v>7.73</v>
      </c>
      <c r="M139" s="14">
        <v>0.06</v>
      </c>
      <c r="N139" s="152" t="s">
        <v>1945</v>
      </c>
    </row>
    <row r="140" spans="1:14">
      <c r="A140" s="268"/>
      <c r="B140" s="268" t="s">
        <v>1971</v>
      </c>
      <c r="C140" s="14">
        <v>1000000</v>
      </c>
      <c r="D140" s="45">
        <v>8086337</v>
      </c>
      <c r="E140" s="14">
        <v>0.18</v>
      </c>
      <c r="F140" s="14">
        <v>0.01</v>
      </c>
      <c r="G140" s="14">
        <v>0.1</v>
      </c>
      <c r="H140" s="14">
        <v>0.86</v>
      </c>
      <c r="I140" s="14">
        <v>0.01</v>
      </c>
      <c r="J140" s="14">
        <v>0.01</v>
      </c>
      <c r="K140" s="14">
        <v>0.16</v>
      </c>
      <c r="L140" s="14">
        <v>2.4300000000000002</v>
      </c>
      <c r="M140" s="14">
        <v>0.01</v>
      </c>
      <c r="N140" s="152" t="s">
        <v>1943</v>
      </c>
    </row>
    <row r="141" spans="1:14">
      <c r="A141" s="268"/>
      <c r="B141" s="268" t="s">
        <v>1946</v>
      </c>
      <c r="C141" s="14">
        <v>2000000</v>
      </c>
      <c r="D141" s="45">
        <v>15504400</v>
      </c>
      <c r="E141" s="14">
        <v>0.34</v>
      </c>
      <c r="F141" s="14">
        <v>0.01</v>
      </c>
      <c r="G141" s="14">
        <v>0.35</v>
      </c>
      <c r="H141" s="14">
        <v>1.64</v>
      </c>
      <c r="I141" s="14">
        <v>0.02</v>
      </c>
      <c r="J141" s="14">
        <v>0.02</v>
      </c>
      <c r="K141" s="14">
        <v>0.49</v>
      </c>
      <c r="L141" s="14">
        <v>3.91</v>
      </c>
      <c r="M141" s="14">
        <v>0.02</v>
      </c>
      <c r="N141" s="152" t="s">
        <v>1947</v>
      </c>
    </row>
    <row r="142" spans="1:14">
      <c r="A142" s="268"/>
      <c r="B142" s="268" t="s">
        <v>42</v>
      </c>
      <c r="C142" s="14">
        <v>125000</v>
      </c>
      <c r="D142" s="45">
        <v>9962500</v>
      </c>
      <c r="E142" s="14">
        <v>0.22</v>
      </c>
      <c r="F142" s="14">
        <v>0.03</v>
      </c>
      <c r="G142" s="14">
        <v>0.93</v>
      </c>
      <c r="H142" s="14">
        <v>6.75</v>
      </c>
      <c r="I142" s="14">
        <v>0.04</v>
      </c>
      <c r="J142" s="14">
        <v>0.03</v>
      </c>
      <c r="K142" s="14">
        <v>0.69</v>
      </c>
      <c r="L142" s="14">
        <v>8.58</v>
      </c>
      <c r="M142" s="14">
        <v>0.04</v>
      </c>
      <c r="N142" s="152" t="s">
        <v>886</v>
      </c>
    </row>
    <row r="143" spans="1:14">
      <c r="A143" s="268"/>
      <c r="B143" s="268" t="s">
        <v>851</v>
      </c>
      <c r="C143" s="14">
        <v>5000000</v>
      </c>
      <c r="D143" s="45">
        <v>40078336</v>
      </c>
      <c r="E143" s="14">
        <v>0.87</v>
      </c>
      <c r="F143" s="14">
        <v>0.08</v>
      </c>
      <c r="G143" s="14">
        <v>1.48</v>
      </c>
      <c r="H143" s="14">
        <v>2.68</v>
      </c>
      <c r="I143" s="14">
        <v>0.13</v>
      </c>
      <c r="J143" s="14">
        <v>0.11</v>
      </c>
      <c r="K143" s="14">
        <v>2.71</v>
      </c>
      <c r="L143" s="14">
        <v>8.36</v>
      </c>
      <c r="M143" s="14">
        <v>0.14000000000000001</v>
      </c>
      <c r="N143" s="152" t="s">
        <v>91</v>
      </c>
    </row>
    <row r="144" spans="1:14">
      <c r="A144" s="268"/>
      <c r="B144" s="268" t="s">
        <v>852</v>
      </c>
      <c r="C144" s="14">
        <v>4800000</v>
      </c>
      <c r="D144" s="45">
        <v>38440555</v>
      </c>
      <c r="E144" s="14">
        <v>0.84</v>
      </c>
      <c r="F144" s="14">
        <v>0.04</v>
      </c>
      <c r="G144" s="14">
        <v>1.21</v>
      </c>
      <c r="H144" s="14">
        <v>2.29</v>
      </c>
      <c r="I144" s="14">
        <v>0.06</v>
      </c>
      <c r="J144" s="14">
        <v>0.05</v>
      </c>
      <c r="K144" s="14">
        <v>1.03</v>
      </c>
      <c r="L144" s="14">
        <v>3.3</v>
      </c>
      <c r="M144" s="14">
        <v>0.06</v>
      </c>
      <c r="N144" s="152" t="s">
        <v>887</v>
      </c>
    </row>
    <row r="145" spans="1:14">
      <c r="A145" s="268"/>
      <c r="B145" s="268" t="s">
        <v>852</v>
      </c>
      <c r="C145" s="14">
        <v>3500000</v>
      </c>
      <c r="D145" s="45">
        <v>28029571</v>
      </c>
      <c r="E145" s="14">
        <v>0.61</v>
      </c>
      <c r="F145" s="14">
        <v>0.03</v>
      </c>
      <c r="G145" s="14">
        <v>0.88</v>
      </c>
      <c r="H145" s="14">
        <v>2.29</v>
      </c>
      <c r="I145" s="14">
        <v>0.05</v>
      </c>
      <c r="J145" s="14">
        <v>0.03</v>
      </c>
      <c r="K145" s="14">
        <v>0.75</v>
      </c>
      <c r="L145" s="14">
        <v>3.3</v>
      </c>
      <c r="M145" s="14">
        <v>0.05</v>
      </c>
      <c r="N145" s="152" t="s">
        <v>887</v>
      </c>
    </row>
    <row r="146" spans="1:14">
      <c r="A146" s="268"/>
      <c r="B146" s="268" t="s">
        <v>44</v>
      </c>
      <c r="C146" s="14">
        <v>100000</v>
      </c>
      <c r="D146" s="45">
        <v>5185000</v>
      </c>
      <c r="E146" s="14">
        <v>0.11</v>
      </c>
      <c r="F146" s="14">
        <v>0.01</v>
      </c>
      <c r="G146" s="14">
        <v>0.13</v>
      </c>
      <c r="H146" s="14">
        <v>1.77</v>
      </c>
      <c r="I146" s="14">
        <v>0.02</v>
      </c>
      <c r="J146" s="14">
        <v>0.01</v>
      </c>
      <c r="K146" s="14">
        <v>0.23</v>
      </c>
      <c r="L146" s="14">
        <v>5.55</v>
      </c>
      <c r="M146" s="14">
        <v>0.02</v>
      </c>
      <c r="N146" s="152" t="s">
        <v>888</v>
      </c>
    </row>
    <row r="147" spans="1:14">
      <c r="A147" s="268"/>
      <c r="B147" s="268" t="s">
        <v>1972</v>
      </c>
      <c r="C147" s="14">
        <v>2000000</v>
      </c>
      <c r="D147" s="45">
        <v>16073810</v>
      </c>
      <c r="E147" s="14">
        <v>0.35</v>
      </c>
      <c r="F147" s="14">
        <v>0.01</v>
      </c>
      <c r="G147" s="14">
        <v>0.21</v>
      </c>
      <c r="H147" s="14">
        <v>0.95</v>
      </c>
      <c r="I147" s="14">
        <v>0.02</v>
      </c>
      <c r="J147" s="14">
        <v>0.02</v>
      </c>
      <c r="K147" s="14">
        <v>0.27</v>
      </c>
      <c r="L147" s="14">
        <v>2.11</v>
      </c>
      <c r="M147" s="14">
        <v>0.02</v>
      </c>
      <c r="N147" s="152" t="s">
        <v>1949</v>
      </c>
    </row>
    <row r="148" spans="1:14">
      <c r="A148" s="268"/>
      <c r="B148" s="268" t="s">
        <v>853</v>
      </c>
      <c r="C148" s="14">
        <v>4000000</v>
      </c>
      <c r="D148" s="45">
        <v>32738006</v>
      </c>
      <c r="E148" s="14">
        <v>0.71</v>
      </c>
      <c r="F148" s="14">
        <v>0</v>
      </c>
      <c r="G148" s="14">
        <v>0.1</v>
      </c>
      <c r="H148" s="14">
        <v>0.22</v>
      </c>
      <c r="I148" s="14">
        <v>0.01</v>
      </c>
      <c r="J148" s="14">
        <v>0</v>
      </c>
      <c r="K148" s="14">
        <v>0.03</v>
      </c>
      <c r="L148" s="14">
        <v>0.12</v>
      </c>
      <c r="M148" s="14">
        <v>0.01</v>
      </c>
      <c r="N148" s="152" t="s">
        <v>95</v>
      </c>
    </row>
    <row r="149" spans="1:14">
      <c r="A149" s="268"/>
      <c r="B149" s="268" t="s">
        <v>1337</v>
      </c>
      <c r="C149" s="14">
        <v>1500000</v>
      </c>
      <c r="D149" s="45">
        <v>11825264</v>
      </c>
      <c r="E149" s="14">
        <v>0.26</v>
      </c>
      <c r="F149" s="14">
        <v>0</v>
      </c>
      <c r="G149" s="14">
        <v>0.04</v>
      </c>
      <c r="H149" s="14">
        <v>0.23</v>
      </c>
      <c r="I149" s="14">
        <v>0</v>
      </c>
      <c r="J149" s="14">
        <v>0</v>
      </c>
      <c r="K149" s="14">
        <v>0.01</v>
      </c>
      <c r="L149" s="14">
        <v>0.15</v>
      </c>
      <c r="M149" s="14">
        <v>0</v>
      </c>
      <c r="N149" s="152" t="s">
        <v>1338</v>
      </c>
    </row>
    <row r="150" spans="1:14">
      <c r="A150" s="268"/>
      <c r="B150" s="268" t="s">
        <v>1084</v>
      </c>
      <c r="C150" s="14">
        <v>6000000</v>
      </c>
      <c r="D150" s="45">
        <v>46802028</v>
      </c>
      <c r="E150" s="14">
        <v>1.02</v>
      </c>
      <c r="F150" s="14">
        <v>0.04</v>
      </c>
      <c r="G150" s="14">
        <v>1.08</v>
      </c>
      <c r="H150" s="14">
        <v>1.68</v>
      </c>
      <c r="I150" s="14">
        <v>0.06</v>
      </c>
      <c r="J150" s="14">
        <v>0.04</v>
      </c>
      <c r="K150" s="14">
        <v>0.81</v>
      </c>
      <c r="L150" s="14">
        <v>2.14</v>
      </c>
      <c r="M150" s="14">
        <v>0.05</v>
      </c>
      <c r="N150" s="152" t="s">
        <v>1072</v>
      </c>
    </row>
    <row r="151" spans="1:14">
      <c r="A151" s="268"/>
      <c r="B151" s="268" t="s">
        <v>1085</v>
      </c>
      <c r="C151" s="14">
        <v>1000000</v>
      </c>
      <c r="D151" s="45">
        <v>8077533</v>
      </c>
      <c r="E151" s="14">
        <v>0.18</v>
      </c>
      <c r="F151" s="14">
        <v>0</v>
      </c>
      <c r="G151" s="14">
        <v>0.04</v>
      </c>
      <c r="H151" s="14">
        <v>0.4</v>
      </c>
      <c r="I151" s="14">
        <v>0</v>
      </c>
      <c r="J151" s="14">
        <v>0</v>
      </c>
      <c r="K151" s="14">
        <v>0.03</v>
      </c>
      <c r="L151" s="14">
        <v>0.51</v>
      </c>
      <c r="M151" s="14">
        <v>0</v>
      </c>
      <c r="N151" s="152" t="s">
        <v>1074</v>
      </c>
    </row>
    <row r="152" spans="1:14">
      <c r="A152" s="268"/>
      <c r="B152" s="268" t="s">
        <v>1980</v>
      </c>
      <c r="C152" s="14">
        <v>1000000</v>
      </c>
      <c r="D152" s="45">
        <v>8488833</v>
      </c>
      <c r="E152" s="14">
        <v>0.18</v>
      </c>
      <c r="F152" s="14">
        <v>0.01</v>
      </c>
      <c r="G152" s="14">
        <v>0.1</v>
      </c>
      <c r="H152" s="14">
        <v>0.84</v>
      </c>
      <c r="I152" s="14">
        <v>0.01</v>
      </c>
      <c r="J152" s="14">
        <v>0.01</v>
      </c>
      <c r="K152" s="14">
        <v>0.18</v>
      </c>
      <c r="L152" s="14">
        <v>2.65</v>
      </c>
      <c r="M152" s="14">
        <v>0.01</v>
      </c>
      <c r="N152" s="152" t="s">
        <v>1951</v>
      </c>
    </row>
    <row r="153" spans="1:14">
      <c r="A153" s="268"/>
      <c r="B153" s="268" t="s">
        <v>1118</v>
      </c>
      <c r="C153" s="14">
        <v>3700000</v>
      </c>
      <c r="D153" s="45">
        <v>28620993</v>
      </c>
      <c r="E153" s="14">
        <v>0.62</v>
      </c>
      <c r="F153" s="14">
        <v>0.01</v>
      </c>
      <c r="G153" s="14">
        <v>0.42</v>
      </c>
      <c r="H153" s="14">
        <v>1.08</v>
      </c>
      <c r="I153" s="14">
        <v>0.02</v>
      </c>
      <c r="J153" s="14">
        <v>0.01</v>
      </c>
      <c r="K153" s="14">
        <v>0.28999999999999998</v>
      </c>
      <c r="L153" s="14">
        <v>1.23</v>
      </c>
      <c r="M153" s="14">
        <v>0.02</v>
      </c>
      <c r="N153" s="152" t="s">
        <v>1119</v>
      </c>
    </row>
    <row r="154" spans="1:14">
      <c r="A154" s="268"/>
      <c r="B154" s="268" t="s">
        <v>1120</v>
      </c>
      <c r="C154" s="14">
        <v>1100000</v>
      </c>
      <c r="D154" s="45">
        <v>9000479</v>
      </c>
      <c r="E154" s="14">
        <v>0.2</v>
      </c>
      <c r="F154" s="14">
        <v>0</v>
      </c>
      <c r="G154" s="14">
        <v>0.1</v>
      </c>
      <c r="H154" s="14">
        <v>0.82</v>
      </c>
      <c r="I154" s="14">
        <v>0</v>
      </c>
      <c r="J154" s="14">
        <v>0</v>
      </c>
      <c r="K154" s="14">
        <v>0.06</v>
      </c>
      <c r="L154" s="14">
        <v>0.82</v>
      </c>
      <c r="M154" s="14">
        <v>0</v>
      </c>
      <c r="N154" s="152" t="s">
        <v>1121</v>
      </c>
    </row>
    <row r="155" spans="1:14">
      <c r="A155" s="268"/>
      <c r="B155" s="268" t="s">
        <v>1158</v>
      </c>
      <c r="C155" s="14">
        <v>410000</v>
      </c>
      <c r="D155" s="45">
        <v>2958831</v>
      </c>
      <c r="E155" s="14">
        <v>0.06</v>
      </c>
      <c r="F155" s="14">
        <v>0</v>
      </c>
      <c r="G155" s="14">
        <v>0.09</v>
      </c>
      <c r="H155" s="14">
        <v>2.21</v>
      </c>
      <c r="I155" s="14">
        <v>0</v>
      </c>
      <c r="J155" s="14">
        <v>0</v>
      </c>
      <c r="K155" s="14">
        <v>0.05</v>
      </c>
      <c r="L155" s="14">
        <v>2.2400000000000002</v>
      </c>
      <c r="M155" s="14">
        <v>0</v>
      </c>
      <c r="N155" s="152" t="s">
        <v>1159</v>
      </c>
    </row>
    <row r="156" spans="1:14">
      <c r="A156" s="268"/>
      <c r="B156" s="268" t="s">
        <v>1278</v>
      </c>
      <c r="C156" s="14">
        <v>5000000</v>
      </c>
      <c r="D156" s="45">
        <v>37588247</v>
      </c>
      <c r="E156" s="14">
        <v>0.82</v>
      </c>
      <c r="F156" s="14">
        <v>0.05</v>
      </c>
      <c r="G156" s="14">
        <v>0.52</v>
      </c>
      <c r="H156" s="14">
        <v>1</v>
      </c>
      <c r="I156" s="14">
        <v>7.0000000000000007E-2</v>
      </c>
      <c r="J156" s="14">
        <v>0.05</v>
      </c>
      <c r="K156" s="14">
        <v>1.39</v>
      </c>
      <c r="L156" s="14">
        <v>4.5599999999999996</v>
      </c>
      <c r="M156" s="14">
        <v>7.0000000000000007E-2</v>
      </c>
      <c r="N156" s="152" t="s">
        <v>1222</v>
      </c>
    </row>
    <row r="157" spans="1:14">
      <c r="A157" s="268"/>
      <c r="B157" s="268" t="s">
        <v>1339</v>
      </c>
      <c r="C157" s="14">
        <v>1400000</v>
      </c>
      <c r="D157" s="45">
        <v>10475224</v>
      </c>
      <c r="E157" s="14">
        <v>0.23</v>
      </c>
      <c r="F157" s="14">
        <v>0.01</v>
      </c>
      <c r="G157" s="14">
        <v>0.26</v>
      </c>
      <c r="H157" s="14">
        <v>1.82</v>
      </c>
      <c r="I157" s="14">
        <v>0.02</v>
      </c>
      <c r="J157" s="14">
        <v>0.01</v>
      </c>
      <c r="K157" s="14">
        <v>0.16</v>
      </c>
      <c r="L157" s="14">
        <v>1.94</v>
      </c>
      <c r="M157" s="14">
        <v>0.02</v>
      </c>
      <c r="N157" s="152" t="s">
        <v>1340</v>
      </c>
    </row>
    <row r="158" spans="1:14">
      <c r="A158" s="268"/>
      <c r="B158" s="268" t="s">
        <v>854</v>
      </c>
      <c r="C158" s="14">
        <v>6000000</v>
      </c>
      <c r="D158" s="45">
        <v>48952120</v>
      </c>
      <c r="E158" s="14">
        <v>1.07</v>
      </c>
      <c r="F158" s="14">
        <v>0.03</v>
      </c>
      <c r="G158" s="14">
        <v>0.6</v>
      </c>
      <c r="H158" s="14">
        <v>0.89</v>
      </c>
      <c r="I158" s="14">
        <v>0.04</v>
      </c>
      <c r="J158" s="14">
        <v>0.03</v>
      </c>
      <c r="K158" s="14">
        <v>0.61</v>
      </c>
      <c r="L158" s="14">
        <v>1.53</v>
      </c>
      <c r="M158" s="14">
        <v>0.04</v>
      </c>
      <c r="N158" s="152" t="s">
        <v>97</v>
      </c>
    </row>
    <row r="159" spans="1:14">
      <c r="A159" s="268"/>
      <c r="B159" s="268" t="s">
        <v>855</v>
      </c>
      <c r="C159" s="14">
        <v>4000000</v>
      </c>
      <c r="D159" s="45">
        <v>32902740</v>
      </c>
      <c r="E159" s="14">
        <v>0.72</v>
      </c>
      <c r="F159" s="14">
        <v>0.01</v>
      </c>
      <c r="G159" s="14">
        <v>0.32</v>
      </c>
      <c r="H159" s="14">
        <v>0.7</v>
      </c>
      <c r="I159" s="14">
        <v>0.02</v>
      </c>
      <c r="J159" s="14">
        <v>0.01</v>
      </c>
      <c r="K159" s="14">
        <v>0.32</v>
      </c>
      <c r="L159" s="14">
        <v>1.2</v>
      </c>
      <c r="M159" s="14">
        <v>0.02</v>
      </c>
      <c r="N159" s="152" t="s">
        <v>527</v>
      </c>
    </row>
    <row r="160" spans="1:14">
      <c r="A160" s="268"/>
      <c r="B160" s="268" t="s">
        <v>1279</v>
      </c>
      <c r="C160" s="14">
        <v>3100000</v>
      </c>
      <c r="D160" s="45">
        <v>24141726</v>
      </c>
      <c r="E160" s="14">
        <v>0.53</v>
      </c>
      <c r="F160" s="14">
        <v>0.02</v>
      </c>
      <c r="G160" s="14">
        <v>0.31</v>
      </c>
      <c r="H160" s="14">
        <v>0.93</v>
      </c>
      <c r="I160" s="14">
        <v>0.02</v>
      </c>
      <c r="J160" s="14">
        <v>0.02</v>
      </c>
      <c r="K160" s="14">
        <v>0.4</v>
      </c>
      <c r="L160" s="14">
        <v>2.04</v>
      </c>
      <c r="M160" s="14">
        <v>0.03</v>
      </c>
      <c r="N160" s="152" t="s">
        <v>1224</v>
      </c>
    </row>
    <row r="161" spans="1:14">
      <c r="A161" s="268"/>
      <c r="B161" s="268" t="s">
        <v>856</v>
      </c>
      <c r="C161" s="14">
        <v>1500000</v>
      </c>
      <c r="D161" s="45">
        <v>12919035</v>
      </c>
      <c r="E161" s="14">
        <v>0.28000000000000003</v>
      </c>
      <c r="F161" s="14">
        <v>0</v>
      </c>
      <c r="G161" s="14">
        <v>0.04</v>
      </c>
      <c r="H161" s="14">
        <v>0.23</v>
      </c>
      <c r="I161" s="14">
        <v>0.01</v>
      </c>
      <c r="J161" s="14">
        <v>0</v>
      </c>
      <c r="K161" s="14">
        <v>0.01</v>
      </c>
      <c r="L161" s="14">
        <v>7.0000000000000007E-2</v>
      </c>
      <c r="M161" s="14">
        <v>0.01</v>
      </c>
      <c r="N161" s="152" t="s">
        <v>99</v>
      </c>
    </row>
    <row r="162" spans="1:14">
      <c r="A162" s="268"/>
      <c r="B162" s="268" t="s">
        <v>857</v>
      </c>
      <c r="C162" s="14">
        <v>1500000</v>
      </c>
      <c r="D162" s="45">
        <v>12195525</v>
      </c>
      <c r="E162" s="14">
        <v>0.27</v>
      </c>
      <c r="F162" s="14">
        <v>0.01</v>
      </c>
      <c r="G162" s="14">
        <v>0.12</v>
      </c>
      <c r="H162" s="14">
        <v>0.74</v>
      </c>
      <c r="I162" s="14">
        <v>0.01</v>
      </c>
      <c r="J162" s="14">
        <v>0.01</v>
      </c>
      <c r="K162" s="14">
        <v>0.11</v>
      </c>
      <c r="L162" s="14">
        <v>1.07</v>
      </c>
      <c r="M162" s="14">
        <v>0.01</v>
      </c>
      <c r="N162" s="152" t="s">
        <v>101</v>
      </c>
    </row>
    <row r="163" spans="1:14">
      <c r="A163" s="268"/>
      <c r="B163" s="268" t="s">
        <v>858</v>
      </c>
      <c r="C163" s="14">
        <v>5000000</v>
      </c>
      <c r="D163" s="45">
        <v>40576533</v>
      </c>
      <c r="E163" s="14">
        <v>0.88</v>
      </c>
      <c r="F163" s="14">
        <v>7.0000000000000007E-2</v>
      </c>
      <c r="G163" s="14">
        <v>1.83</v>
      </c>
      <c r="H163" s="14">
        <v>3.28</v>
      </c>
      <c r="I163" s="14">
        <v>0.09</v>
      </c>
      <c r="J163" s="14">
        <v>7.0000000000000007E-2</v>
      </c>
      <c r="K163" s="14">
        <v>0.79</v>
      </c>
      <c r="L163" s="14">
        <v>2.41</v>
      </c>
      <c r="M163" s="14">
        <v>0.09</v>
      </c>
      <c r="N163" s="152" t="s">
        <v>103</v>
      </c>
    </row>
    <row r="164" spans="1:14">
      <c r="A164" s="268"/>
      <c r="B164" s="268" t="s">
        <v>859</v>
      </c>
      <c r="C164" s="14">
        <v>3000000</v>
      </c>
      <c r="D164" s="45">
        <v>23383297</v>
      </c>
      <c r="E164" s="14">
        <v>0.51</v>
      </c>
      <c r="F164" s="14">
        <v>0.05</v>
      </c>
      <c r="G164" s="14">
        <v>1.31</v>
      </c>
      <c r="H164" s="14">
        <v>4.0599999999999996</v>
      </c>
      <c r="I164" s="14">
        <v>7.0000000000000007E-2</v>
      </c>
      <c r="J164" s="14">
        <v>0.05</v>
      </c>
      <c r="K164" s="14">
        <v>1.34</v>
      </c>
      <c r="L164" s="14">
        <v>7.06</v>
      </c>
      <c r="M164" s="14">
        <v>7.0000000000000007E-2</v>
      </c>
      <c r="N164" s="152" t="s">
        <v>889</v>
      </c>
    </row>
    <row r="165" spans="1:14">
      <c r="A165" s="268"/>
      <c r="B165" s="268" t="s">
        <v>1394</v>
      </c>
      <c r="C165" s="14">
        <v>2000000</v>
      </c>
      <c r="D165" s="45">
        <v>8967215</v>
      </c>
      <c r="E165" s="14">
        <v>0.2</v>
      </c>
      <c r="F165" s="14">
        <v>0.04</v>
      </c>
      <c r="G165" s="14">
        <v>0.91</v>
      </c>
      <c r="H165" s="14">
        <v>7.4</v>
      </c>
      <c r="I165" s="14">
        <v>0.06</v>
      </c>
      <c r="J165" s="14">
        <v>0.05</v>
      </c>
      <c r="K165" s="14">
        <v>1.21</v>
      </c>
      <c r="L165" s="14">
        <v>16.600000000000001</v>
      </c>
      <c r="M165" s="14">
        <v>0.06</v>
      </c>
      <c r="N165" s="152" t="s">
        <v>1342</v>
      </c>
    </row>
    <row r="166" spans="1:14">
      <c r="A166" s="268"/>
      <c r="B166" s="268" t="s">
        <v>1395</v>
      </c>
      <c r="C166" s="14">
        <v>3700000</v>
      </c>
      <c r="D166" s="45">
        <v>27071339</v>
      </c>
      <c r="E166" s="14">
        <v>0.59</v>
      </c>
      <c r="F166" s="14">
        <v>0.04</v>
      </c>
      <c r="G166" s="14">
        <v>1.03</v>
      </c>
      <c r="H166" s="14">
        <v>2.77</v>
      </c>
      <c r="I166" s="14">
        <v>0.06</v>
      </c>
      <c r="J166" s="14">
        <v>0.04</v>
      </c>
      <c r="K166" s="14">
        <v>1.04</v>
      </c>
      <c r="L166" s="14">
        <v>4.7300000000000004</v>
      </c>
      <c r="M166" s="14">
        <v>0.05</v>
      </c>
      <c r="N166" s="152" t="s">
        <v>1226</v>
      </c>
    </row>
    <row r="167" spans="1:14">
      <c r="A167" s="268"/>
      <c r="B167" s="268" t="s">
        <v>1396</v>
      </c>
      <c r="C167" s="14">
        <v>1000000</v>
      </c>
      <c r="D167" s="45">
        <v>7799760</v>
      </c>
      <c r="E167" s="14">
        <v>0.17</v>
      </c>
      <c r="F167" s="14">
        <v>0.01</v>
      </c>
      <c r="G167" s="14">
        <v>0.24</v>
      </c>
      <c r="H167" s="14">
        <v>2.2200000000000002</v>
      </c>
      <c r="I167" s="14">
        <v>0.01</v>
      </c>
      <c r="J167" s="14">
        <v>0.01</v>
      </c>
      <c r="K167" s="14">
        <v>0.21</v>
      </c>
      <c r="L167" s="14">
        <v>3.4</v>
      </c>
      <c r="M167" s="14">
        <v>0.01</v>
      </c>
      <c r="N167" s="152" t="s">
        <v>1344</v>
      </c>
    </row>
    <row r="168" spans="1:14">
      <c r="A168" s="268"/>
      <c r="B168" s="268" t="s">
        <v>860</v>
      </c>
      <c r="C168" s="14">
        <v>1500000</v>
      </c>
      <c r="D168" s="45">
        <v>11895111</v>
      </c>
      <c r="E168" s="14">
        <v>0.26</v>
      </c>
      <c r="F168" s="14">
        <v>0.01</v>
      </c>
      <c r="G168" s="14">
        <v>0.24</v>
      </c>
      <c r="H168" s="14">
        <v>1.45</v>
      </c>
      <c r="I168" s="14">
        <v>0.01</v>
      </c>
      <c r="J168" s="14">
        <v>0.01</v>
      </c>
      <c r="K168" s="14">
        <v>0.13</v>
      </c>
      <c r="L168" s="14">
        <v>1.35</v>
      </c>
      <c r="M168" s="14">
        <v>0.01</v>
      </c>
      <c r="N168" s="152" t="s">
        <v>105</v>
      </c>
    </row>
    <row r="169" spans="1:14">
      <c r="A169" s="268"/>
      <c r="B169" s="268" t="s">
        <v>1160</v>
      </c>
      <c r="C169" s="14">
        <v>3000000</v>
      </c>
      <c r="D169" s="45">
        <v>23715201</v>
      </c>
      <c r="E169" s="14">
        <v>0.52</v>
      </c>
      <c r="F169" s="14">
        <v>0.02</v>
      </c>
      <c r="G169" s="14">
        <v>0.41</v>
      </c>
      <c r="H169" s="14">
        <v>1.25</v>
      </c>
      <c r="I169" s="14">
        <v>0.02</v>
      </c>
      <c r="J169" s="14">
        <v>0.02</v>
      </c>
      <c r="K169" s="14">
        <v>0.4</v>
      </c>
      <c r="L169" s="14">
        <v>2.06</v>
      </c>
      <c r="M169" s="14">
        <v>0.02</v>
      </c>
      <c r="N169" s="152" t="s">
        <v>1161</v>
      </c>
    </row>
    <row r="170" spans="1:14">
      <c r="A170" s="268"/>
      <c r="B170" s="268" t="s">
        <v>861</v>
      </c>
      <c r="C170" s="14">
        <v>2000000</v>
      </c>
      <c r="D170" s="45">
        <v>16060771</v>
      </c>
      <c r="E170" s="14">
        <v>0.35</v>
      </c>
      <c r="F170" s="14">
        <v>0</v>
      </c>
      <c r="G170" s="14">
        <v>0.12</v>
      </c>
      <c r="H170" s="14">
        <v>0.53</v>
      </c>
      <c r="I170" s="14">
        <v>0.01</v>
      </c>
      <c r="J170" s="14">
        <v>0</v>
      </c>
      <c r="K170" s="14">
        <v>0.09</v>
      </c>
      <c r="L170" s="14">
        <v>0.7</v>
      </c>
      <c r="M170" s="14">
        <v>0</v>
      </c>
      <c r="N170" s="152" t="s">
        <v>107</v>
      </c>
    </row>
    <row r="171" spans="1:14">
      <c r="A171" s="268"/>
      <c r="B171" s="268" t="s">
        <v>862</v>
      </c>
      <c r="C171" s="14">
        <v>2000000</v>
      </c>
      <c r="D171" s="45">
        <v>15934427</v>
      </c>
      <c r="E171" s="14">
        <v>0.35</v>
      </c>
      <c r="F171" s="14">
        <v>0</v>
      </c>
      <c r="G171" s="14">
        <v>0.06</v>
      </c>
      <c r="H171" s="14">
        <v>0.28999999999999998</v>
      </c>
      <c r="I171" s="14">
        <v>0</v>
      </c>
      <c r="J171" s="14">
        <v>0</v>
      </c>
      <c r="K171" s="14">
        <v>0.03</v>
      </c>
      <c r="L171" s="14">
        <v>0.19</v>
      </c>
      <c r="M171" s="14">
        <v>0</v>
      </c>
      <c r="N171" s="152" t="s">
        <v>109</v>
      </c>
    </row>
    <row r="172" spans="1:14">
      <c r="A172" s="268"/>
      <c r="B172" s="268" t="s">
        <v>1345</v>
      </c>
      <c r="C172" s="14">
        <v>263000</v>
      </c>
      <c r="D172" s="45">
        <v>2046828</v>
      </c>
      <c r="E172" s="14">
        <v>0.04</v>
      </c>
      <c r="F172" s="14">
        <v>0</v>
      </c>
      <c r="G172" s="14">
        <v>0.04</v>
      </c>
      <c r="H172" s="14">
        <v>1.59</v>
      </c>
      <c r="I172" s="14">
        <v>0</v>
      </c>
      <c r="J172" s="14">
        <v>0</v>
      </c>
      <c r="K172" s="14">
        <v>0.05</v>
      </c>
      <c r="L172" s="14">
        <v>2.9</v>
      </c>
      <c r="M172" s="14">
        <v>0</v>
      </c>
      <c r="N172" s="152" t="s">
        <v>1346</v>
      </c>
    </row>
    <row r="173" spans="1:14">
      <c r="A173" s="268"/>
      <c r="B173" s="268" t="s">
        <v>1075</v>
      </c>
      <c r="C173" s="14">
        <v>3700000</v>
      </c>
      <c r="D173" s="45">
        <v>29778677</v>
      </c>
      <c r="E173" s="14">
        <v>0.65</v>
      </c>
      <c r="F173" s="14">
        <v>0.02</v>
      </c>
      <c r="G173" s="14">
        <v>0.54</v>
      </c>
      <c r="H173" s="14">
        <v>1.32</v>
      </c>
      <c r="I173" s="14">
        <v>0.03</v>
      </c>
      <c r="J173" s="14">
        <v>0.02</v>
      </c>
      <c r="K173" s="14">
        <v>0.35</v>
      </c>
      <c r="L173" s="14">
        <v>1.46</v>
      </c>
      <c r="M173" s="14">
        <v>0.03</v>
      </c>
      <c r="N173" s="152" t="s">
        <v>1076</v>
      </c>
    </row>
    <row r="174" spans="1:14">
      <c r="A174" s="268"/>
      <c r="B174" s="268" t="s">
        <v>1086</v>
      </c>
      <c r="C174" s="14">
        <v>2500000</v>
      </c>
      <c r="D174" s="45">
        <v>19248287</v>
      </c>
      <c r="E174" s="14">
        <v>0.42</v>
      </c>
      <c r="F174" s="14">
        <v>0.02</v>
      </c>
      <c r="G174" s="14">
        <v>0.39</v>
      </c>
      <c r="H174" s="14">
        <v>1.48</v>
      </c>
      <c r="I174" s="14">
        <v>0.02</v>
      </c>
      <c r="J174" s="14">
        <v>0.02</v>
      </c>
      <c r="K174" s="14">
        <v>0.28999999999999998</v>
      </c>
      <c r="L174" s="14">
        <v>1.85</v>
      </c>
      <c r="M174" s="14">
        <v>0.02</v>
      </c>
      <c r="N174" s="152" t="s">
        <v>1078</v>
      </c>
    </row>
    <row r="175" spans="1:14">
      <c r="A175" s="268"/>
      <c r="B175" s="268" t="s">
        <v>1347</v>
      </c>
      <c r="C175" s="14">
        <v>1000000</v>
      </c>
      <c r="D175" s="45">
        <v>8039703</v>
      </c>
      <c r="E175" s="14">
        <v>0.17</v>
      </c>
      <c r="F175" s="14">
        <v>0</v>
      </c>
      <c r="G175" s="14">
        <v>0.03</v>
      </c>
      <c r="H175" s="14">
        <v>0.28999999999999998</v>
      </c>
      <c r="I175" s="14">
        <v>0</v>
      </c>
      <c r="J175" s="14">
        <v>0</v>
      </c>
      <c r="K175" s="14">
        <v>0.01</v>
      </c>
      <c r="L175" s="14">
        <v>0.19</v>
      </c>
      <c r="M175" s="14">
        <v>0</v>
      </c>
      <c r="N175" s="152" t="s">
        <v>1348</v>
      </c>
    </row>
    <row r="176" spans="1:14">
      <c r="A176" s="268"/>
      <c r="B176" s="268" t="s">
        <v>1397</v>
      </c>
      <c r="C176" s="14">
        <v>2200000</v>
      </c>
      <c r="D176" s="45">
        <v>16783251</v>
      </c>
      <c r="E176" s="14">
        <v>0.37</v>
      </c>
      <c r="F176" s="14">
        <v>0.01</v>
      </c>
      <c r="G176" s="14">
        <v>0.15</v>
      </c>
      <c r="H176" s="14">
        <v>0.66</v>
      </c>
      <c r="I176" s="14">
        <v>0.01</v>
      </c>
      <c r="J176" s="14">
        <v>0.01</v>
      </c>
      <c r="K176" s="14">
        <v>0.09</v>
      </c>
      <c r="L176" s="14">
        <v>0.69</v>
      </c>
      <c r="M176" s="14">
        <v>0.01</v>
      </c>
      <c r="N176" s="152" t="s">
        <v>1350</v>
      </c>
    </row>
    <row r="177" spans="1:14">
      <c r="A177" s="268"/>
      <c r="B177" s="268" t="s">
        <v>1397</v>
      </c>
      <c r="C177" s="14">
        <v>12000000</v>
      </c>
      <c r="D177" s="45">
        <v>91545006</v>
      </c>
      <c r="E177" s="14">
        <v>1.99</v>
      </c>
      <c r="F177" s="14">
        <v>0.03</v>
      </c>
      <c r="G177" s="14">
        <v>0.84</v>
      </c>
      <c r="H177" s="14">
        <v>0.66</v>
      </c>
      <c r="I177" s="14">
        <v>0.05</v>
      </c>
      <c r="J177" s="14">
        <v>0.04</v>
      </c>
      <c r="K177" s="14">
        <v>0.51</v>
      </c>
      <c r="L177" s="14">
        <v>0.69</v>
      </c>
      <c r="M177" s="14">
        <v>0.05</v>
      </c>
      <c r="N177" s="152" t="s">
        <v>1350</v>
      </c>
    </row>
    <row r="178" spans="1:14">
      <c r="A178" s="268"/>
      <c r="B178" s="268" t="s">
        <v>1171</v>
      </c>
      <c r="C178" s="14">
        <v>3000000</v>
      </c>
      <c r="D178" s="45">
        <v>21935302</v>
      </c>
      <c r="E178" s="14">
        <v>0.48</v>
      </c>
      <c r="F178" s="14">
        <v>0.03</v>
      </c>
      <c r="G178" s="14">
        <v>0.66</v>
      </c>
      <c r="H178" s="14">
        <v>2.19</v>
      </c>
      <c r="I178" s="14">
        <v>0.05</v>
      </c>
      <c r="J178" s="14">
        <v>0.03</v>
      </c>
      <c r="K178" s="14">
        <v>0.59</v>
      </c>
      <c r="L178" s="14">
        <v>3.32</v>
      </c>
      <c r="M178" s="14">
        <v>0.04</v>
      </c>
      <c r="N178" s="152" t="s">
        <v>1163</v>
      </c>
    </row>
    <row r="179" spans="1:14">
      <c r="A179" s="268"/>
      <c r="B179" s="268" t="s">
        <v>1087</v>
      </c>
      <c r="C179" s="14">
        <v>2350000</v>
      </c>
      <c r="D179" s="45">
        <v>18182581</v>
      </c>
      <c r="E179" s="14">
        <v>0.4</v>
      </c>
      <c r="F179" s="14">
        <v>0.01</v>
      </c>
      <c r="G179" s="14">
        <v>0.18</v>
      </c>
      <c r="H179" s="14">
        <v>0.72</v>
      </c>
      <c r="I179" s="14">
        <v>0.01</v>
      </c>
      <c r="J179" s="14">
        <v>0.01</v>
      </c>
      <c r="K179" s="14">
        <v>0.11</v>
      </c>
      <c r="L179" s="14">
        <v>0.75</v>
      </c>
      <c r="M179" s="14">
        <v>0.01</v>
      </c>
      <c r="N179" s="152" t="s">
        <v>1080</v>
      </c>
    </row>
    <row r="180" spans="1:14">
      <c r="A180" s="268"/>
      <c r="B180" s="268" t="s">
        <v>1280</v>
      </c>
      <c r="C180" s="14">
        <v>10000000</v>
      </c>
      <c r="D180" s="45">
        <v>79130345</v>
      </c>
      <c r="E180" s="14">
        <v>1.72</v>
      </c>
      <c r="F180" s="14">
        <v>0.23</v>
      </c>
      <c r="G180" s="14">
        <v>4.07</v>
      </c>
      <c r="H180" s="14">
        <v>3.74</v>
      </c>
      <c r="I180" s="14">
        <v>0.34</v>
      </c>
      <c r="J180" s="14">
        <v>0.26</v>
      </c>
      <c r="K180" s="14">
        <v>6.53</v>
      </c>
      <c r="L180" s="14">
        <v>10.19</v>
      </c>
      <c r="M180" s="14">
        <v>0.35</v>
      </c>
      <c r="N180" s="152" t="s">
        <v>1198</v>
      </c>
    </row>
    <row r="181" spans="1:14">
      <c r="A181" s="268"/>
      <c r="B181" s="268" t="s">
        <v>792</v>
      </c>
      <c r="C181" s="14">
        <v>43000</v>
      </c>
      <c r="D181" s="45">
        <v>17931000</v>
      </c>
      <c r="E181" s="14">
        <v>0.39</v>
      </c>
      <c r="F181" s="14">
        <v>0.06</v>
      </c>
      <c r="G181" s="14">
        <v>1.58</v>
      </c>
      <c r="H181" s="14">
        <v>6.39</v>
      </c>
      <c r="I181" s="14">
        <v>0.08</v>
      </c>
      <c r="J181" s="14">
        <v>0.06</v>
      </c>
      <c r="K181" s="14">
        <v>1</v>
      </c>
      <c r="L181" s="14">
        <v>6.91</v>
      </c>
      <c r="M181" s="14">
        <v>0.08</v>
      </c>
      <c r="N181" s="152" t="s">
        <v>890</v>
      </c>
    </row>
    <row r="182" spans="1:14">
      <c r="A182" s="268"/>
      <c r="B182" s="268" t="s">
        <v>863</v>
      </c>
      <c r="C182" s="14">
        <v>5000000</v>
      </c>
      <c r="D182" s="45">
        <v>39934737</v>
      </c>
      <c r="E182" s="14">
        <v>0.87</v>
      </c>
      <c r="F182" s="14">
        <v>0.01</v>
      </c>
      <c r="G182" s="14">
        <v>0.35</v>
      </c>
      <c r="H182" s="14">
        <v>0.63</v>
      </c>
      <c r="I182" s="14">
        <v>0.02</v>
      </c>
      <c r="J182" s="14">
        <v>0.01</v>
      </c>
      <c r="K182" s="14">
        <v>0.27</v>
      </c>
      <c r="L182" s="14">
        <v>0.85</v>
      </c>
      <c r="M182" s="14">
        <v>0.02</v>
      </c>
      <c r="N182" s="152" t="s">
        <v>111</v>
      </c>
    </row>
    <row r="183" spans="1:14">
      <c r="A183" s="268"/>
      <c r="B183" s="268" t="s">
        <v>1353</v>
      </c>
      <c r="C183" s="14">
        <v>2000000</v>
      </c>
      <c r="D183" s="45">
        <v>16226505</v>
      </c>
      <c r="E183" s="14">
        <v>0.35</v>
      </c>
      <c r="F183" s="14">
        <v>0</v>
      </c>
      <c r="G183" s="14">
        <v>0.04</v>
      </c>
      <c r="H183" s="14">
        <v>0.19</v>
      </c>
      <c r="I183" s="14">
        <v>0</v>
      </c>
      <c r="J183" s="14">
        <v>0</v>
      </c>
      <c r="K183" s="14">
        <v>0.01</v>
      </c>
      <c r="L183" s="14">
        <v>0.05</v>
      </c>
      <c r="M183" s="14">
        <v>0</v>
      </c>
      <c r="N183" s="152" t="s">
        <v>1354</v>
      </c>
    </row>
    <row r="184" spans="1:14">
      <c r="A184" s="268"/>
      <c r="B184" s="268" t="s">
        <v>1954</v>
      </c>
      <c r="C184" s="14">
        <v>1300000</v>
      </c>
      <c r="D184" s="45">
        <v>9463782</v>
      </c>
      <c r="E184" s="14">
        <v>0.21</v>
      </c>
      <c r="F184" s="14">
        <v>0.01</v>
      </c>
      <c r="G184" s="14">
        <v>0.21</v>
      </c>
      <c r="H184" s="14">
        <v>1.57</v>
      </c>
      <c r="I184" s="14">
        <v>0.01</v>
      </c>
      <c r="J184" s="14">
        <v>0.01</v>
      </c>
      <c r="K184" s="14">
        <v>0.11</v>
      </c>
      <c r="L184" s="14">
        <v>1.42</v>
      </c>
      <c r="M184" s="14">
        <v>0.01</v>
      </c>
      <c r="N184" s="152" t="s">
        <v>1955</v>
      </c>
    </row>
    <row r="185" spans="1:14">
      <c r="A185" s="268"/>
      <c r="B185" s="268" t="s">
        <v>864</v>
      </c>
      <c r="C185" s="14">
        <v>3561779.65</v>
      </c>
      <c r="D185" s="45">
        <v>27611628</v>
      </c>
      <c r="E185" s="14">
        <v>0.6</v>
      </c>
      <c r="F185" s="14">
        <v>0</v>
      </c>
      <c r="G185" s="14">
        <v>0.06</v>
      </c>
      <c r="H185" s="14">
        <v>0.16</v>
      </c>
      <c r="I185" s="14">
        <v>0</v>
      </c>
      <c r="J185" s="14">
        <v>0</v>
      </c>
      <c r="K185" s="14">
        <v>0</v>
      </c>
      <c r="L185" s="14">
        <v>0</v>
      </c>
      <c r="M185" s="14">
        <v>0</v>
      </c>
      <c r="N185" s="152"/>
    </row>
    <row r="186" spans="1:14">
      <c r="A186" s="268"/>
      <c r="B186" s="268" t="s">
        <v>864</v>
      </c>
      <c r="C186" s="14">
        <v>1865829.56</v>
      </c>
      <c r="D186" s="45">
        <v>14464284</v>
      </c>
      <c r="E186" s="14">
        <v>0.31</v>
      </c>
      <c r="F186" s="14">
        <v>0</v>
      </c>
      <c r="G186" s="14">
        <v>0.03</v>
      </c>
      <c r="H186" s="14">
        <v>0.16</v>
      </c>
      <c r="I186" s="14">
        <v>0</v>
      </c>
      <c r="J186" s="14">
        <v>0</v>
      </c>
      <c r="K186" s="14">
        <v>0</v>
      </c>
      <c r="L186" s="14">
        <v>0</v>
      </c>
      <c r="M186" s="14">
        <v>0</v>
      </c>
      <c r="N186" s="152"/>
    </row>
    <row r="187" spans="1:14">
      <c r="A187" s="268"/>
      <c r="B187" s="268" t="s">
        <v>864</v>
      </c>
      <c r="C187" s="14">
        <v>1502460.72</v>
      </c>
      <c r="D187" s="45">
        <v>11647376</v>
      </c>
      <c r="E187" s="14">
        <v>0.25</v>
      </c>
      <c r="F187" s="14">
        <v>0</v>
      </c>
      <c r="G187" s="14">
        <v>0.03</v>
      </c>
      <c r="H187" s="14">
        <v>0.16</v>
      </c>
      <c r="I187" s="14">
        <v>0</v>
      </c>
      <c r="J187" s="14">
        <v>0</v>
      </c>
      <c r="K187" s="14">
        <v>0</v>
      </c>
      <c r="L187" s="14">
        <v>0</v>
      </c>
      <c r="M187" s="14">
        <v>0</v>
      </c>
      <c r="N187" s="152"/>
    </row>
    <row r="188" spans="1:14">
      <c r="A188" s="268"/>
      <c r="B188" s="268" t="s">
        <v>865</v>
      </c>
      <c r="C188" s="14">
        <v>5500000</v>
      </c>
      <c r="D188" s="45">
        <v>39611145</v>
      </c>
      <c r="E188" s="14">
        <v>0.86</v>
      </c>
      <c r="F188" s="14">
        <v>0.03</v>
      </c>
      <c r="G188" s="14">
        <v>1.1100000000000001</v>
      </c>
      <c r="H188" s="14">
        <v>2.0299999999999998</v>
      </c>
      <c r="I188" s="14">
        <v>0.04</v>
      </c>
      <c r="J188" s="14">
        <v>0.03</v>
      </c>
      <c r="K188" s="14">
        <v>0.57999999999999996</v>
      </c>
      <c r="L188" s="14">
        <v>1.82</v>
      </c>
      <c r="M188" s="14">
        <v>0.04</v>
      </c>
      <c r="N188" s="152" t="s">
        <v>768</v>
      </c>
    </row>
    <row r="189" spans="1:14">
      <c r="A189" s="268"/>
      <c r="B189" s="268" t="s">
        <v>1398</v>
      </c>
      <c r="C189" s="14">
        <v>2000000</v>
      </c>
      <c r="D189" s="45">
        <v>15912364</v>
      </c>
      <c r="E189" s="14">
        <v>0.35</v>
      </c>
      <c r="F189" s="14">
        <v>0.01</v>
      </c>
      <c r="G189" s="14">
        <v>0.13</v>
      </c>
      <c r="H189" s="14">
        <v>0.61</v>
      </c>
      <c r="I189" s="14">
        <v>0.01</v>
      </c>
      <c r="J189" s="14">
        <v>0.01</v>
      </c>
      <c r="K189" s="14">
        <v>0.1</v>
      </c>
      <c r="L189" s="14">
        <v>0.79</v>
      </c>
      <c r="M189" s="14">
        <v>0.01</v>
      </c>
      <c r="N189" s="152" t="s">
        <v>1356</v>
      </c>
    </row>
    <row r="190" spans="1:14">
      <c r="A190" s="268"/>
      <c r="B190" s="268" t="s">
        <v>1973</v>
      </c>
      <c r="C190" s="14">
        <v>2000000</v>
      </c>
      <c r="D190" s="45">
        <v>15332766</v>
      </c>
      <c r="E190" s="14">
        <v>0.33</v>
      </c>
      <c r="F190" s="14">
        <v>0.01</v>
      </c>
      <c r="G190" s="14">
        <v>0.13</v>
      </c>
      <c r="H190" s="14">
        <v>0.62</v>
      </c>
      <c r="I190" s="14">
        <v>0.02</v>
      </c>
      <c r="J190" s="14">
        <v>0.02</v>
      </c>
      <c r="K190" s="14">
        <v>0.05</v>
      </c>
      <c r="L190" s="14">
        <v>0.44</v>
      </c>
      <c r="M190" s="14">
        <v>0.02</v>
      </c>
      <c r="N190" s="152" t="s">
        <v>1957</v>
      </c>
    </row>
    <row r="191" spans="1:14">
      <c r="A191" s="268"/>
      <c r="B191" s="268" t="s">
        <v>1289</v>
      </c>
      <c r="C191" s="14">
        <v>25000</v>
      </c>
      <c r="D191" s="45">
        <v>3025000</v>
      </c>
      <c r="E191" s="14">
        <v>7.0000000000000007E-2</v>
      </c>
      <c r="F191" s="14">
        <v>0.01</v>
      </c>
      <c r="G191" s="14">
        <v>0.24</v>
      </c>
      <c r="H191" s="14">
        <v>5.65</v>
      </c>
      <c r="I191" s="14">
        <v>0.01</v>
      </c>
      <c r="J191" s="14">
        <v>0.01</v>
      </c>
      <c r="K191" s="14">
        <v>0.2</v>
      </c>
      <c r="L191" s="14">
        <v>8.07</v>
      </c>
      <c r="M191" s="14">
        <v>0.02</v>
      </c>
      <c r="N191" s="152" t="s">
        <v>1399</v>
      </c>
    </row>
    <row r="192" spans="1:14">
      <c r="A192" s="268"/>
      <c r="B192" s="268" t="s">
        <v>866</v>
      </c>
      <c r="C192" s="14">
        <v>2500000</v>
      </c>
      <c r="D192" s="45">
        <v>19642524</v>
      </c>
      <c r="E192" s="14">
        <v>0.43</v>
      </c>
      <c r="F192" s="14">
        <v>0.01</v>
      </c>
      <c r="G192" s="14">
        <v>0.15</v>
      </c>
      <c r="H192" s="14">
        <v>0.55000000000000004</v>
      </c>
      <c r="I192" s="14">
        <v>0.01</v>
      </c>
      <c r="J192" s="14">
        <v>0.01</v>
      </c>
      <c r="K192" s="14">
        <v>0.08</v>
      </c>
      <c r="L192" s="14">
        <v>0.52</v>
      </c>
      <c r="M192" s="14">
        <v>0.01</v>
      </c>
      <c r="N192" s="152" t="s">
        <v>770</v>
      </c>
    </row>
    <row r="193" spans="1:14">
      <c r="A193" s="268"/>
      <c r="B193" s="268" t="s">
        <v>867</v>
      </c>
      <c r="C193" s="14">
        <v>2000000</v>
      </c>
      <c r="D193" s="45">
        <v>15757178</v>
      </c>
      <c r="E193" s="14">
        <v>0.34</v>
      </c>
      <c r="F193" s="14">
        <v>0</v>
      </c>
      <c r="G193" s="14">
        <v>7.0000000000000007E-2</v>
      </c>
      <c r="H193" s="14">
        <v>0.32</v>
      </c>
      <c r="I193" s="14">
        <v>0</v>
      </c>
      <c r="J193" s="14">
        <v>0</v>
      </c>
      <c r="K193" s="14">
        <v>0.03</v>
      </c>
      <c r="L193" s="14">
        <v>0.21</v>
      </c>
      <c r="M193" s="14">
        <v>0</v>
      </c>
      <c r="N193" s="152" t="s">
        <v>113</v>
      </c>
    </row>
    <row r="194" spans="1:14">
      <c r="A194" s="268"/>
      <c r="B194" s="268" t="s">
        <v>1400</v>
      </c>
      <c r="C194" s="14">
        <v>500000</v>
      </c>
      <c r="D194" s="45">
        <v>3799915</v>
      </c>
      <c r="E194" s="14">
        <v>0.08</v>
      </c>
      <c r="F194" s="14">
        <v>0</v>
      </c>
      <c r="G194" s="14">
        <v>0.1</v>
      </c>
      <c r="H194" s="14">
        <v>1.99</v>
      </c>
      <c r="I194" s="14">
        <v>0.01</v>
      </c>
      <c r="J194" s="14">
        <v>0</v>
      </c>
      <c r="K194" s="14">
        <v>0.04</v>
      </c>
      <c r="L194" s="14">
        <v>1.27</v>
      </c>
      <c r="M194" s="14">
        <v>0</v>
      </c>
      <c r="N194" s="152" t="s">
        <v>1358</v>
      </c>
    </row>
    <row r="195" spans="1:14">
      <c r="A195" s="268"/>
      <c r="B195" s="268" t="s">
        <v>1359</v>
      </c>
      <c r="C195" s="14">
        <v>3000000</v>
      </c>
      <c r="D195" s="45">
        <v>22545620</v>
      </c>
      <c r="E195" s="14">
        <v>0.49</v>
      </c>
      <c r="F195" s="14">
        <v>0.03</v>
      </c>
      <c r="G195" s="14">
        <v>0.79</v>
      </c>
      <c r="H195" s="14">
        <v>2.5299999999999998</v>
      </c>
      <c r="I195" s="14">
        <v>0.04</v>
      </c>
      <c r="J195" s="14">
        <v>0.03</v>
      </c>
      <c r="K195" s="14">
        <v>0.42</v>
      </c>
      <c r="L195" s="14">
        <v>2.3199999999999998</v>
      </c>
      <c r="M195" s="14">
        <v>0.04</v>
      </c>
      <c r="N195" s="152" t="s">
        <v>1360</v>
      </c>
    </row>
    <row r="196" spans="1:14">
      <c r="A196" s="268"/>
      <c r="B196" s="268" t="s">
        <v>1281</v>
      </c>
      <c r="C196" s="14">
        <v>1800000</v>
      </c>
      <c r="D196" s="45">
        <v>14021282</v>
      </c>
      <c r="E196" s="14">
        <v>0.31</v>
      </c>
      <c r="F196" s="14">
        <v>0</v>
      </c>
      <c r="G196" s="14">
        <v>0.11</v>
      </c>
      <c r="H196" s="14">
        <v>0.55000000000000004</v>
      </c>
      <c r="I196" s="14">
        <v>0.01</v>
      </c>
      <c r="J196" s="14">
        <v>0</v>
      </c>
      <c r="K196" s="14">
        <v>0.08</v>
      </c>
      <c r="L196" s="14">
        <v>0.74</v>
      </c>
      <c r="M196" s="14">
        <v>0</v>
      </c>
      <c r="N196" s="152" t="s">
        <v>1228</v>
      </c>
    </row>
    <row r="197" spans="1:14">
      <c r="A197" s="268"/>
      <c r="B197" s="268" t="s">
        <v>1401</v>
      </c>
      <c r="C197" s="14">
        <v>1000000</v>
      </c>
      <c r="D197" s="45">
        <v>6519794</v>
      </c>
      <c r="E197" s="14">
        <v>0.14000000000000001</v>
      </c>
      <c r="F197" s="14">
        <v>0.01</v>
      </c>
      <c r="G197" s="14">
        <v>0.34</v>
      </c>
      <c r="H197" s="14">
        <v>3.83</v>
      </c>
      <c r="I197" s="14">
        <v>0.02</v>
      </c>
      <c r="J197" s="14">
        <v>0.02</v>
      </c>
      <c r="K197" s="14">
        <v>0.37</v>
      </c>
      <c r="L197" s="14">
        <v>6.97</v>
      </c>
      <c r="M197" s="14">
        <v>0.02</v>
      </c>
      <c r="N197" s="152" t="s">
        <v>1362</v>
      </c>
    </row>
    <row r="198" spans="1:14">
      <c r="A198" s="268"/>
      <c r="B198" s="268" t="s">
        <v>1363</v>
      </c>
      <c r="C198" s="14">
        <v>5500000</v>
      </c>
      <c r="D198" s="45">
        <v>37222662</v>
      </c>
      <c r="E198" s="14">
        <v>0.81</v>
      </c>
      <c r="F198" s="14">
        <v>7.0000000000000007E-2</v>
      </c>
      <c r="G198" s="14">
        <v>1.84</v>
      </c>
      <c r="H198" s="14">
        <v>3.6</v>
      </c>
      <c r="I198" s="14">
        <v>0.1</v>
      </c>
      <c r="J198" s="14">
        <v>0.08</v>
      </c>
      <c r="K198" s="14">
        <v>1.88</v>
      </c>
      <c r="L198" s="14">
        <v>6.23</v>
      </c>
      <c r="M198" s="14">
        <v>0.1</v>
      </c>
      <c r="N198" s="152" t="s">
        <v>1364</v>
      </c>
    </row>
    <row r="199" spans="1:14">
      <c r="A199" s="268"/>
      <c r="B199" s="268" t="s">
        <v>1282</v>
      </c>
      <c r="C199" s="14">
        <v>4000000</v>
      </c>
      <c r="D199" s="45">
        <v>31842601</v>
      </c>
      <c r="E199" s="14">
        <v>0.69</v>
      </c>
      <c r="F199" s="14">
        <v>0.02</v>
      </c>
      <c r="G199" s="14">
        <v>0.34</v>
      </c>
      <c r="H199" s="14">
        <v>0.78</v>
      </c>
      <c r="I199" s="14">
        <v>0.03</v>
      </c>
      <c r="J199" s="14">
        <v>0.02</v>
      </c>
      <c r="K199" s="14">
        <v>0.42</v>
      </c>
      <c r="L199" s="14">
        <v>1.62</v>
      </c>
      <c r="M199" s="14">
        <v>0.03</v>
      </c>
      <c r="N199" s="152" t="s">
        <v>1230</v>
      </c>
    </row>
    <row r="200" spans="1:14">
      <c r="A200" s="268"/>
      <c r="B200" s="268" t="s">
        <v>868</v>
      </c>
      <c r="C200" s="14">
        <v>5000000</v>
      </c>
      <c r="D200" s="45">
        <v>39474978</v>
      </c>
      <c r="E200" s="14">
        <v>0.86</v>
      </c>
      <c r="F200" s="14">
        <v>0.01</v>
      </c>
      <c r="G200" s="14">
        <v>0.22</v>
      </c>
      <c r="H200" s="14">
        <v>0.4</v>
      </c>
      <c r="I200" s="14">
        <v>0.02</v>
      </c>
      <c r="J200" s="14">
        <v>0.02</v>
      </c>
      <c r="K200" s="14">
        <v>0.34</v>
      </c>
      <c r="L200" s="14">
        <v>1.08</v>
      </c>
      <c r="M200" s="14">
        <v>0.02</v>
      </c>
      <c r="N200" s="152" t="s">
        <v>795</v>
      </c>
    </row>
    <row r="201" spans="1:14">
      <c r="A201" s="268"/>
      <c r="B201" s="268" t="s">
        <v>1402</v>
      </c>
      <c r="C201" s="14">
        <v>1300000</v>
      </c>
      <c r="D201" s="45">
        <v>9396026</v>
      </c>
      <c r="E201" s="14">
        <v>0.2</v>
      </c>
      <c r="F201" s="14">
        <v>0.03</v>
      </c>
      <c r="G201" s="14">
        <v>0.94</v>
      </c>
      <c r="H201" s="14">
        <v>7.24</v>
      </c>
      <c r="I201" s="14">
        <v>0.05</v>
      </c>
      <c r="J201" s="14">
        <v>0.03</v>
      </c>
      <c r="K201" s="14">
        <v>0.74</v>
      </c>
      <c r="L201" s="14">
        <v>9.69</v>
      </c>
      <c r="M201" s="14">
        <v>0.04</v>
      </c>
      <c r="N201" s="152" t="s">
        <v>1366</v>
      </c>
    </row>
    <row r="202" spans="1:14">
      <c r="A202" s="268"/>
      <c r="B202" s="268" t="s">
        <v>1231</v>
      </c>
      <c r="C202" s="14">
        <v>3000000</v>
      </c>
      <c r="D202" s="45">
        <v>23048518</v>
      </c>
      <c r="E202" s="14">
        <v>0.5</v>
      </c>
      <c r="F202" s="14">
        <v>0.01</v>
      </c>
      <c r="G202" s="14">
        <v>0.15</v>
      </c>
      <c r="H202" s="14">
        <v>0.49</v>
      </c>
      <c r="I202" s="14">
        <v>0.01</v>
      </c>
      <c r="J202" s="14">
        <v>0.01</v>
      </c>
      <c r="K202" s="14">
        <v>0.15</v>
      </c>
      <c r="L202" s="14">
        <v>0.79</v>
      </c>
      <c r="M202" s="14">
        <v>0.01</v>
      </c>
      <c r="N202" s="152" t="s">
        <v>1232</v>
      </c>
    </row>
    <row r="203" spans="1:14">
      <c r="A203" s="268"/>
      <c r="B203" s="268" t="s">
        <v>1233</v>
      </c>
      <c r="C203" s="14">
        <v>2191000</v>
      </c>
      <c r="D203" s="45">
        <v>17009151</v>
      </c>
      <c r="E203" s="14">
        <v>0.37</v>
      </c>
      <c r="F203" s="14">
        <v>0.02</v>
      </c>
      <c r="G203" s="14">
        <v>0.53</v>
      </c>
      <c r="H203" s="14">
        <v>2.25</v>
      </c>
      <c r="I203" s="14">
        <v>0.03</v>
      </c>
      <c r="J203" s="14">
        <v>0.02</v>
      </c>
      <c r="K203" s="14">
        <v>0.42</v>
      </c>
      <c r="L203" s="14">
        <v>3.01</v>
      </c>
      <c r="M203" s="14">
        <v>0.02</v>
      </c>
      <c r="N203" s="152" t="s">
        <v>1234</v>
      </c>
    </row>
    <row r="204" spans="1:14">
      <c r="A204" s="268"/>
      <c r="B204" s="268" t="s">
        <v>528</v>
      </c>
      <c r="C204" s="14">
        <v>3500000</v>
      </c>
      <c r="D204" s="45">
        <v>27643631</v>
      </c>
      <c r="E204" s="14">
        <v>0.6</v>
      </c>
      <c r="F204" s="14">
        <v>0.02</v>
      </c>
      <c r="G204" s="14">
        <v>0.48</v>
      </c>
      <c r="H204" s="14">
        <v>1.26</v>
      </c>
      <c r="I204" s="14">
        <v>0.02</v>
      </c>
      <c r="J204" s="14">
        <v>0.02</v>
      </c>
      <c r="K204" s="14">
        <v>0.47</v>
      </c>
      <c r="L204" s="14">
        <v>2.1</v>
      </c>
      <c r="M204" s="14">
        <v>0.02</v>
      </c>
      <c r="N204" s="152" t="s">
        <v>529</v>
      </c>
    </row>
    <row r="205" spans="1:14">
      <c r="A205" s="268"/>
      <c r="B205" s="268" t="s">
        <v>114</v>
      </c>
      <c r="C205" s="14">
        <v>4000000</v>
      </c>
      <c r="D205" s="45">
        <v>32083341</v>
      </c>
      <c r="E205" s="14">
        <v>0.7</v>
      </c>
      <c r="F205" s="14">
        <v>0.01</v>
      </c>
      <c r="G205" s="14">
        <v>0.36</v>
      </c>
      <c r="H205" s="14">
        <v>0.83</v>
      </c>
      <c r="I205" s="14">
        <v>0.02</v>
      </c>
      <c r="J205" s="14">
        <v>0.01</v>
      </c>
      <c r="K205" s="14">
        <v>0.4</v>
      </c>
      <c r="L205" s="14">
        <v>1.54</v>
      </c>
      <c r="M205" s="14">
        <v>0.02</v>
      </c>
      <c r="N205" s="152" t="s">
        <v>115</v>
      </c>
    </row>
  </sheetData>
  <sortState xmlns:xlrd2="http://schemas.microsoft.com/office/spreadsheetml/2017/richdata2" ref="U17:U160">
    <sortCondition ref="U17"/>
  </sortState>
  <mergeCells count="11">
    <mergeCell ref="C14:M14"/>
    <mergeCell ref="A3:N3"/>
    <mergeCell ref="A13:N13"/>
    <mergeCell ref="C4:H4"/>
    <mergeCell ref="C5:H5"/>
    <mergeCell ref="C6:H6"/>
    <mergeCell ref="C7:H7"/>
    <mergeCell ref="C8:H8"/>
    <mergeCell ref="C9:H9"/>
    <mergeCell ref="C10:H10"/>
    <mergeCell ref="C11:H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0BDDE-D09D-4467-BA29-63506AD9791A}">
  <sheetPr codeName="Sheet17">
    <tabColor rgb="FFFF0000"/>
    <outlinePr summaryBelow="0"/>
  </sheetPr>
  <dimension ref="A1:AX200"/>
  <sheetViews>
    <sheetView topLeftCell="A178" workbookViewId="0">
      <selection activeCell="G201" sqref="G201"/>
    </sheetView>
  </sheetViews>
  <sheetFormatPr defaultRowHeight="14.4"/>
  <cols>
    <col min="1" max="1" width="5" style="171" customWidth="1"/>
    <col min="2" max="2" width="31.6640625" style="171" customWidth="1"/>
    <col min="3" max="3" width="14.33203125" style="171" customWidth="1"/>
    <col min="4" max="5" width="13.6640625" style="171" customWidth="1"/>
    <col min="6" max="6" width="6.88671875" style="171" customWidth="1"/>
    <col min="7" max="7" width="41.33203125" style="171" customWidth="1"/>
    <col min="8" max="8" width="39.44140625" style="171" customWidth="1"/>
    <col min="9" max="9" width="36.5546875" style="171" customWidth="1"/>
    <col min="10" max="10" width="40.109375" style="171" customWidth="1"/>
    <col min="11" max="11" width="36.33203125" style="171" customWidth="1"/>
    <col min="12" max="12" width="39.5546875" style="171" customWidth="1"/>
    <col min="13" max="13" width="48.6640625" style="171" customWidth="1"/>
    <col min="14" max="14" width="29.33203125" style="171" customWidth="1"/>
    <col min="15" max="15" width="31.5546875" style="171" customWidth="1"/>
    <col min="16" max="16" width="32.5546875" style="171" customWidth="1"/>
    <col min="17" max="17" width="34" style="171" customWidth="1"/>
    <col min="18" max="18" width="26.6640625" style="171" customWidth="1"/>
    <col min="19" max="19" width="39.5546875" style="171" customWidth="1"/>
    <col min="20" max="20" width="44.5546875" style="171" customWidth="1"/>
    <col min="21" max="21" width="46.5546875" style="171" customWidth="1"/>
    <col min="22" max="22" width="47.5546875" style="171" customWidth="1"/>
    <col min="23" max="23" width="28.44140625" style="171" customWidth="1"/>
    <col min="24" max="24" width="37.44140625" style="171" customWidth="1"/>
    <col min="25" max="25" width="35.5546875" style="171" customWidth="1"/>
    <col min="26" max="26" width="32.6640625" style="171" customWidth="1"/>
    <col min="27" max="27" width="8.88671875" style="171" customWidth="1"/>
    <col min="234" max="234" width="5" customWidth="1"/>
    <col min="235" max="235" width="31.6640625" customWidth="1"/>
    <col min="236" max="236" width="14.33203125" customWidth="1"/>
    <col min="237" max="238" width="13.6640625" customWidth="1"/>
    <col min="239" max="239" width="6.88671875" customWidth="1"/>
    <col min="240" max="240" width="41.33203125" customWidth="1"/>
    <col min="241" max="241" width="39.44140625" customWidth="1"/>
    <col min="242" max="242" width="36.5546875" customWidth="1"/>
    <col min="243" max="243" width="40.109375" customWidth="1"/>
    <col min="244" max="244" width="36.33203125" customWidth="1"/>
    <col min="245" max="245" width="39.5546875" customWidth="1"/>
    <col min="246" max="246" width="48.6640625" customWidth="1"/>
    <col min="247" max="247" width="29.33203125" customWidth="1"/>
    <col min="248" max="248" width="31.5546875" customWidth="1"/>
    <col min="249" max="249" width="32.5546875" customWidth="1"/>
    <col min="250" max="250" width="34" customWidth="1"/>
    <col min="251" max="251" width="26.6640625" customWidth="1"/>
    <col min="252" max="252" width="39.5546875" customWidth="1"/>
    <col min="253" max="253" width="44.5546875" customWidth="1"/>
    <col min="254" max="254" width="46.5546875" customWidth="1"/>
    <col min="255" max="255" width="47.5546875" customWidth="1"/>
    <col min="256" max="256" width="28.44140625" customWidth="1"/>
    <col min="257" max="257" width="37.44140625" customWidth="1"/>
    <col min="258" max="258" width="35.5546875" customWidth="1"/>
    <col min="259" max="259" width="32.6640625" customWidth="1"/>
    <col min="260" max="260" width="36.33203125" customWidth="1"/>
    <col min="261" max="261" width="32.44140625" customWidth="1"/>
    <col min="262" max="262" width="35.6640625" customWidth="1"/>
    <col min="263" max="263" width="44.88671875" customWidth="1"/>
    <col min="264" max="264" width="25.44140625" customWidth="1"/>
    <col min="265" max="265" width="27.6640625" customWidth="1"/>
    <col min="266" max="266" width="28.6640625" customWidth="1"/>
    <col min="267" max="267" width="30.109375" customWidth="1"/>
    <col min="268" max="268" width="22.88671875" customWidth="1"/>
    <col min="269" max="269" width="35.6640625" customWidth="1"/>
    <col min="270" max="270" width="40.6640625" customWidth="1"/>
    <col min="271" max="271" width="42.6640625" customWidth="1"/>
    <col min="272" max="272" width="43.6640625" customWidth="1"/>
    <col min="273" max="273" width="24.5546875" customWidth="1"/>
    <col min="274" max="283" width="8.88671875" customWidth="1"/>
    <col min="490" max="490" width="5" customWidth="1"/>
    <col min="491" max="491" width="31.6640625" customWidth="1"/>
    <col min="492" max="492" width="14.33203125" customWidth="1"/>
    <col min="493" max="494" width="13.6640625" customWidth="1"/>
    <col min="495" max="495" width="6.88671875" customWidth="1"/>
    <col min="496" max="496" width="41.33203125" customWidth="1"/>
    <col min="497" max="497" width="39.44140625" customWidth="1"/>
    <col min="498" max="498" width="36.5546875" customWidth="1"/>
    <col min="499" max="499" width="40.109375" customWidth="1"/>
    <col min="500" max="500" width="36.33203125" customWidth="1"/>
    <col min="501" max="501" width="39.5546875" customWidth="1"/>
    <col min="502" max="502" width="48.6640625" customWidth="1"/>
    <col min="503" max="503" width="29.33203125" customWidth="1"/>
    <col min="504" max="504" width="31.5546875" customWidth="1"/>
    <col min="505" max="505" width="32.5546875" customWidth="1"/>
    <col min="506" max="506" width="34" customWidth="1"/>
    <col min="507" max="507" width="26.6640625" customWidth="1"/>
    <col min="508" max="508" width="39.5546875" customWidth="1"/>
    <col min="509" max="509" width="44.5546875" customWidth="1"/>
    <col min="510" max="510" width="46.5546875" customWidth="1"/>
    <col min="511" max="511" width="47.5546875" customWidth="1"/>
    <col min="512" max="512" width="28.44140625" customWidth="1"/>
    <col min="513" max="513" width="37.44140625" customWidth="1"/>
    <col min="514" max="514" width="35.5546875" customWidth="1"/>
    <col min="515" max="515" width="32.6640625" customWidth="1"/>
    <col min="516" max="516" width="36.33203125" customWidth="1"/>
    <col min="517" max="517" width="32.44140625" customWidth="1"/>
    <col min="518" max="518" width="35.6640625" customWidth="1"/>
    <col min="519" max="519" width="44.88671875" customWidth="1"/>
    <col min="520" max="520" width="25.44140625" customWidth="1"/>
    <col min="521" max="521" width="27.6640625" customWidth="1"/>
    <col min="522" max="522" width="28.6640625" customWidth="1"/>
    <col min="523" max="523" width="30.109375" customWidth="1"/>
    <col min="524" max="524" width="22.88671875" customWidth="1"/>
    <col min="525" max="525" width="35.6640625" customWidth="1"/>
    <col min="526" max="526" width="40.6640625" customWidth="1"/>
    <col min="527" max="527" width="42.6640625" customWidth="1"/>
    <col min="528" max="528" width="43.6640625" customWidth="1"/>
    <col min="529" max="529" width="24.5546875" customWidth="1"/>
    <col min="530" max="539" width="8.88671875" customWidth="1"/>
    <col min="746" max="746" width="5" customWidth="1"/>
    <col min="747" max="747" width="31.6640625" customWidth="1"/>
    <col min="748" max="748" width="14.33203125" customWidth="1"/>
    <col min="749" max="750" width="13.6640625" customWidth="1"/>
    <col min="751" max="751" width="6.88671875" customWidth="1"/>
    <col min="752" max="752" width="41.33203125" customWidth="1"/>
    <col min="753" max="753" width="39.44140625" customWidth="1"/>
    <col min="754" max="754" width="36.5546875" customWidth="1"/>
    <col min="755" max="755" width="40.109375" customWidth="1"/>
    <col min="756" max="756" width="36.33203125" customWidth="1"/>
    <col min="757" max="757" width="39.5546875" customWidth="1"/>
    <col min="758" max="758" width="48.6640625" customWidth="1"/>
    <col min="759" max="759" width="29.33203125" customWidth="1"/>
    <col min="760" max="760" width="31.5546875" customWidth="1"/>
    <col min="761" max="761" width="32.5546875" customWidth="1"/>
    <col min="762" max="762" width="34" customWidth="1"/>
    <col min="763" max="763" width="26.6640625" customWidth="1"/>
    <col min="764" max="764" width="39.5546875" customWidth="1"/>
    <col min="765" max="765" width="44.5546875" customWidth="1"/>
    <col min="766" max="766" width="46.5546875" customWidth="1"/>
    <col min="767" max="767" width="47.5546875" customWidth="1"/>
    <col min="768" max="768" width="28.44140625" customWidth="1"/>
    <col min="769" max="769" width="37.44140625" customWidth="1"/>
    <col min="770" max="770" width="35.5546875" customWidth="1"/>
    <col min="771" max="771" width="32.6640625" customWidth="1"/>
    <col min="772" max="772" width="36.33203125" customWidth="1"/>
    <col min="773" max="773" width="32.44140625" customWidth="1"/>
    <col min="774" max="774" width="35.6640625" customWidth="1"/>
    <col min="775" max="775" width="44.88671875" customWidth="1"/>
    <col min="776" max="776" width="25.44140625" customWidth="1"/>
    <col min="777" max="777" width="27.6640625" customWidth="1"/>
    <col min="778" max="778" width="28.6640625" customWidth="1"/>
    <col min="779" max="779" width="30.109375" customWidth="1"/>
    <col min="780" max="780" width="22.88671875" customWidth="1"/>
    <col min="781" max="781" width="35.6640625" customWidth="1"/>
    <col min="782" max="782" width="40.6640625" customWidth="1"/>
    <col min="783" max="783" width="42.6640625" customWidth="1"/>
    <col min="784" max="784" width="43.6640625" customWidth="1"/>
    <col min="785" max="785" width="24.5546875" customWidth="1"/>
    <col min="786" max="795" width="8.88671875" customWidth="1"/>
    <col min="1002" max="1002" width="5" customWidth="1"/>
    <col min="1003" max="1003" width="31.6640625" customWidth="1"/>
    <col min="1004" max="1004" width="14.33203125" customWidth="1"/>
    <col min="1005" max="1006" width="13.6640625" customWidth="1"/>
    <col min="1007" max="1007" width="6.88671875" customWidth="1"/>
    <col min="1008" max="1008" width="41.33203125" customWidth="1"/>
    <col min="1009" max="1009" width="39.44140625" customWidth="1"/>
    <col min="1010" max="1010" width="36.5546875" customWidth="1"/>
    <col min="1011" max="1011" width="40.109375" customWidth="1"/>
    <col min="1012" max="1012" width="36.33203125" customWidth="1"/>
    <col min="1013" max="1013" width="39.5546875" customWidth="1"/>
    <col min="1014" max="1014" width="48.6640625" customWidth="1"/>
    <col min="1015" max="1015" width="29.33203125" customWidth="1"/>
    <col min="1016" max="1016" width="31.5546875" customWidth="1"/>
    <col min="1017" max="1017" width="32.5546875" customWidth="1"/>
    <col min="1018" max="1018" width="34" customWidth="1"/>
    <col min="1019" max="1019" width="26.6640625" customWidth="1"/>
    <col min="1020" max="1020" width="39.5546875" customWidth="1"/>
    <col min="1021" max="1021" width="44.5546875" customWidth="1"/>
    <col min="1022" max="1022" width="46.5546875" customWidth="1"/>
    <col min="1023" max="1023" width="47.5546875" customWidth="1"/>
    <col min="1024" max="1024" width="28.44140625" customWidth="1"/>
    <col min="1025" max="1025" width="37.44140625" customWidth="1"/>
    <col min="1026" max="1026" width="35.5546875" customWidth="1"/>
    <col min="1027" max="1027" width="32.6640625" customWidth="1"/>
    <col min="1028" max="1028" width="36.33203125" customWidth="1"/>
    <col min="1029" max="1029" width="32.44140625" customWidth="1"/>
    <col min="1030" max="1030" width="35.6640625" customWidth="1"/>
    <col min="1031" max="1031" width="44.88671875" customWidth="1"/>
    <col min="1032" max="1032" width="25.44140625" customWidth="1"/>
    <col min="1033" max="1033" width="27.6640625" customWidth="1"/>
    <col min="1034" max="1034" width="28.6640625" customWidth="1"/>
    <col min="1035" max="1035" width="30.109375" customWidth="1"/>
    <col min="1036" max="1036" width="22.88671875" customWidth="1"/>
    <col min="1037" max="1037" width="35.6640625" customWidth="1"/>
    <col min="1038" max="1038" width="40.6640625" customWidth="1"/>
    <col min="1039" max="1039" width="42.6640625" customWidth="1"/>
    <col min="1040" max="1040" width="43.6640625" customWidth="1"/>
    <col min="1041" max="1041" width="24.5546875" customWidth="1"/>
    <col min="1042" max="1051" width="8.88671875" customWidth="1"/>
    <col min="1258" max="1258" width="5" customWidth="1"/>
    <col min="1259" max="1259" width="31.6640625" customWidth="1"/>
    <col min="1260" max="1260" width="14.33203125" customWidth="1"/>
    <col min="1261" max="1262" width="13.6640625" customWidth="1"/>
    <col min="1263" max="1263" width="6.88671875" customWidth="1"/>
    <col min="1264" max="1264" width="41.33203125" customWidth="1"/>
    <col min="1265" max="1265" width="39.44140625" customWidth="1"/>
    <col min="1266" max="1266" width="36.5546875" customWidth="1"/>
    <col min="1267" max="1267" width="40.109375" customWidth="1"/>
    <col min="1268" max="1268" width="36.33203125" customWidth="1"/>
    <col min="1269" max="1269" width="39.5546875" customWidth="1"/>
    <col min="1270" max="1270" width="48.6640625" customWidth="1"/>
    <col min="1271" max="1271" width="29.33203125" customWidth="1"/>
    <col min="1272" max="1272" width="31.5546875" customWidth="1"/>
    <col min="1273" max="1273" width="32.5546875" customWidth="1"/>
    <col min="1274" max="1274" width="34" customWidth="1"/>
    <col min="1275" max="1275" width="26.6640625" customWidth="1"/>
    <col min="1276" max="1276" width="39.5546875" customWidth="1"/>
    <col min="1277" max="1277" width="44.5546875" customWidth="1"/>
    <col min="1278" max="1278" width="46.5546875" customWidth="1"/>
    <col min="1279" max="1279" width="47.5546875" customWidth="1"/>
    <col min="1280" max="1280" width="28.44140625" customWidth="1"/>
    <col min="1281" max="1281" width="37.44140625" customWidth="1"/>
    <col min="1282" max="1282" width="35.5546875" customWidth="1"/>
    <col min="1283" max="1283" width="32.6640625" customWidth="1"/>
    <col min="1284" max="1284" width="36.33203125" customWidth="1"/>
    <col min="1285" max="1285" width="32.44140625" customWidth="1"/>
    <col min="1286" max="1286" width="35.6640625" customWidth="1"/>
    <col min="1287" max="1287" width="44.88671875" customWidth="1"/>
    <col min="1288" max="1288" width="25.44140625" customWidth="1"/>
    <col min="1289" max="1289" width="27.6640625" customWidth="1"/>
    <col min="1290" max="1290" width="28.6640625" customWidth="1"/>
    <col min="1291" max="1291" width="30.109375" customWidth="1"/>
    <col min="1292" max="1292" width="22.88671875" customWidth="1"/>
    <col min="1293" max="1293" width="35.6640625" customWidth="1"/>
    <col min="1294" max="1294" width="40.6640625" customWidth="1"/>
    <col min="1295" max="1295" width="42.6640625" customWidth="1"/>
    <col min="1296" max="1296" width="43.6640625" customWidth="1"/>
    <col min="1297" max="1297" width="24.5546875" customWidth="1"/>
    <col min="1298" max="1307" width="8.88671875" customWidth="1"/>
    <col min="1514" max="1514" width="5" customWidth="1"/>
    <col min="1515" max="1515" width="31.6640625" customWidth="1"/>
    <col min="1516" max="1516" width="14.33203125" customWidth="1"/>
    <col min="1517" max="1518" width="13.6640625" customWidth="1"/>
    <col min="1519" max="1519" width="6.88671875" customWidth="1"/>
    <col min="1520" max="1520" width="41.33203125" customWidth="1"/>
    <col min="1521" max="1521" width="39.44140625" customWidth="1"/>
    <col min="1522" max="1522" width="36.5546875" customWidth="1"/>
    <col min="1523" max="1523" width="40.109375" customWidth="1"/>
    <col min="1524" max="1524" width="36.33203125" customWidth="1"/>
    <col min="1525" max="1525" width="39.5546875" customWidth="1"/>
    <col min="1526" max="1526" width="48.6640625" customWidth="1"/>
    <col min="1527" max="1527" width="29.33203125" customWidth="1"/>
    <col min="1528" max="1528" width="31.5546875" customWidth="1"/>
    <col min="1529" max="1529" width="32.5546875" customWidth="1"/>
    <col min="1530" max="1530" width="34" customWidth="1"/>
    <col min="1531" max="1531" width="26.6640625" customWidth="1"/>
    <col min="1532" max="1532" width="39.5546875" customWidth="1"/>
    <col min="1533" max="1533" width="44.5546875" customWidth="1"/>
    <col min="1534" max="1534" width="46.5546875" customWidth="1"/>
    <col min="1535" max="1535" width="47.5546875" customWidth="1"/>
    <col min="1536" max="1536" width="28.44140625" customWidth="1"/>
    <col min="1537" max="1537" width="37.44140625" customWidth="1"/>
    <col min="1538" max="1538" width="35.5546875" customWidth="1"/>
    <col min="1539" max="1539" width="32.6640625" customWidth="1"/>
    <col min="1540" max="1540" width="36.33203125" customWidth="1"/>
    <col min="1541" max="1541" width="32.44140625" customWidth="1"/>
    <col min="1542" max="1542" width="35.6640625" customWidth="1"/>
    <col min="1543" max="1543" width="44.88671875" customWidth="1"/>
    <col min="1544" max="1544" width="25.44140625" customWidth="1"/>
    <col min="1545" max="1545" width="27.6640625" customWidth="1"/>
    <col min="1546" max="1546" width="28.6640625" customWidth="1"/>
    <col min="1547" max="1547" width="30.109375" customWidth="1"/>
    <col min="1548" max="1548" width="22.88671875" customWidth="1"/>
    <col min="1549" max="1549" width="35.6640625" customWidth="1"/>
    <col min="1550" max="1550" width="40.6640625" customWidth="1"/>
    <col min="1551" max="1551" width="42.6640625" customWidth="1"/>
    <col min="1552" max="1552" width="43.6640625" customWidth="1"/>
    <col min="1553" max="1553" width="24.5546875" customWidth="1"/>
    <col min="1554" max="1563" width="8.88671875" customWidth="1"/>
    <col min="1770" max="1770" width="5" customWidth="1"/>
    <col min="1771" max="1771" width="31.6640625" customWidth="1"/>
    <col min="1772" max="1772" width="14.33203125" customWidth="1"/>
    <col min="1773" max="1774" width="13.6640625" customWidth="1"/>
    <col min="1775" max="1775" width="6.88671875" customWidth="1"/>
    <col min="1776" max="1776" width="41.33203125" customWidth="1"/>
    <col min="1777" max="1777" width="39.44140625" customWidth="1"/>
    <col min="1778" max="1778" width="36.5546875" customWidth="1"/>
    <col min="1779" max="1779" width="40.109375" customWidth="1"/>
    <col min="1780" max="1780" width="36.33203125" customWidth="1"/>
    <col min="1781" max="1781" width="39.5546875" customWidth="1"/>
    <col min="1782" max="1782" width="48.6640625" customWidth="1"/>
    <col min="1783" max="1783" width="29.33203125" customWidth="1"/>
    <col min="1784" max="1784" width="31.5546875" customWidth="1"/>
    <col min="1785" max="1785" width="32.5546875" customWidth="1"/>
    <col min="1786" max="1786" width="34" customWidth="1"/>
    <col min="1787" max="1787" width="26.6640625" customWidth="1"/>
    <col min="1788" max="1788" width="39.5546875" customWidth="1"/>
    <col min="1789" max="1789" width="44.5546875" customWidth="1"/>
    <col min="1790" max="1790" width="46.5546875" customWidth="1"/>
    <col min="1791" max="1791" width="47.5546875" customWidth="1"/>
    <col min="1792" max="1792" width="28.44140625" customWidth="1"/>
    <col min="1793" max="1793" width="37.44140625" customWidth="1"/>
    <col min="1794" max="1794" width="35.5546875" customWidth="1"/>
    <col min="1795" max="1795" width="32.6640625" customWidth="1"/>
    <col min="1796" max="1796" width="36.33203125" customWidth="1"/>
    <col min="1797" max="1797" width="32.44140625" customWidth="1"/>
    <col min="1798" max="1798" width="35.6640625" customWidth="1"/>
    <col min="1799" max="1799" width="44.88671875" customWidth="1"/>
    <col min="1800" max="1800" width="25.44140625" customWidth="1"/>
    <col min="1801" max="1801" width="27.6640625" customWidth="1"/>
    <col min="1802" max="1802" width="28.6640625" customWidth="1"/>
    <col min="1803" max="1803" width="30.109375" customWidth="1"/>
    <col min="1804" max="1804" width="22.88671875" customWidth="1"/>
    <col min="1805" max="1805" width="35.6640625" customWidth="1"/>
    <col min="1806" max="1806" width="40.6640625" customWidth="1"/>
    <col min="1807" max="1807" width="42.6640625" customWidth="1"/>
    <col min="1808" max="1808" width="43.6640625" customWidth="1"/>
    <col min="1809" max="1809" width="24.5546875" customWidth="1"/>
    <col min="1810" max="1819" width="8.88671875" customWidth="1"/>
    <col min="2026" max="2026" width="5" customWidth="1"/>
    <col min="2027" max="2027" width="31.6640625" customWidth="1"/>
    <col min="2028" max="2028" width="14.33203125" customWidth="1"/>
    <col min="2029" max="2030" width="13.6640625" customWidth="1"/>
    <col min="2031" max="2031" width="6.88671875" customWidth="1"/>
    <col min="2032" max="2032" width="41.33203125" customWidth="1"/>
    <col min="2033" max="2033" width="39.44140625" customWidth="1"/>
    <col min="2034" max="2034" width="36.5546875" customWidth="1"/>
    <col min="2035" max="2035" width="40.109375" customWidth="1"/>
    <col min="2036" max="2036" width="36.33203125" customWidth="1"/>
    <col min="2037" max="2037" width="39.5546875" customWidth="1"/>
    <col min="2038" max="2038" width="48.6640625" customWidth="1"/>
    <col min="2039" max="2039" width="29.33203125" customWidth="1"/>
    <col min="2040" max="2040" width="31.5546875" customWidth="1"/>
    <col min="2041" max="2041" width="32.5546875" customWidth="1"/>
    <col min="2042" max="2042" width="34" customWidth="1"/>
    <col min="2043" max="2043" width="26.6640625" customWidth="1"/>
    <col min="2044" max="2044" width="39.5546875" customWidth="1"/>
    <col min="2045" max="2045" width="44.5546875" customWidth="1"/>
    <col min="2046" max="2046" width="46.5546875" customWidth="1"/>
    <col min="2047" max="2047" width="47.5546875" customWidth="1"/>
    <col min="2048" max="2048" width="28.44140625" customWidth="1"/>
    <col min="2049" max="2049" width="37.44140625" customWidth="1"/>
    <col min="2050" max="2050" width="35.5546875" customWidth="1"/>
    <col min="2051" max="2051" width="32.6640625" customWidth="1"/>
    <col min="2052" max="2052" width="36.33203125" customWidth="1"/>
    <col min="2053" max="2053" width="32.44140625" customWidth="1"/>
    <col min="2054" max="2054" width="35.6640625" customWidth="1"/>
    <col min="2055" max="2055" width="44.88671875" customWidth="1"/>
    <col min="2056" max="2056" width="25.44140625" customWidth="1"/>
    <col min="2057" max="2057" width="27.6640625" customWidth="1"/>
    <col min="2058" max="2058" width="28.6640625" customWidth="1"/>
    <col min="2059" max="2059" width="30.109375" customWidth="1"/>
    <col min="2060" max="2060" width="22.88671875" customWidth="1"/>
    <col min="2061" max="2061" width="35.6640625" customWidth="1"/>
    <col min="2062" max="2062" width="40.6640625" customWidth="1"/>
    <col min="2063" max="2063" width="42.6640625" customWidth="1"/>
    <col min="2064" max="2064" width="43.6640625" customWidth="1"/>
    <col min="2065" max="2065" width="24.5546875" customWidth="1"/>
    <col min="2066" max="2075" width="8.88671875" customWidth="1"/>
    <col min="2282" max="2282" width="5" customWidth="1"/>
    <col min="2283" max="2283" width="31.6640625" customWidth="1"/>
    <col min="2284" max="2284" width="14.33203125" customWidth="1"/>
    <col min="2285" max="2286" width="13.6640625" customWidth="1"/>
    <col min="2287" max="2287" width="6.88671875" customWidth="1"/>
    <col min="2288" max="2288" width="41.33203125" customWidth="1"/>
    <col min="2289" max="2289" width="39.44140625" customWidth="1"/>
    <col min="2290" max="2290" width="36.5546875" customWidth="1"/>
    <col min="2291" max="2291" width="40.109375" customWidth="1"/>
    <col min="2292" max="2292" width="36.33203125" customWidth="1"/>
    <col min="2293" max="2293" width="39.5546875" customWidth="1"/>
    <col min="2294" max="2294" width="48.6640625" customWidth="1"/>
    <col min="2295" max="2295" width="29.33203125" customWidth="1"/>
    <col min="2296" max="2296" width="31.5546875" customWidth="1"/>
    <col min="2297" max="2297" width="32.5546875" customWidth="1"/>
    <col min="2298" max="2298" width="34" customWidth="1"/>
    <col min="2299" max="2299" width="26.6640625" customWidth="1"/>
    <col min="2300" max="2300" width="39.5546875" customWidth="1"/>
    <col min="2301" max="2301" width="44.5546875" customWidth="1"/>
    <col min="2302" max="2302" width="46.5546875" customWidth="1"/>
    <col min="2303" max="2303" width="47.5546875" customWidth="1"/>
    <col min="2304" max="2304" width="28.44140625" customWidth="1"/>
    <col min="2305" max="2305" width="37.44140625" customWidth="1"/>
    <col min="2306" max="2306" width="35.5546875" customWidth="1"/>
    <col min="2307" max="2307" width="32.6640625" customWidth="1"/>
    <col min="2308" max="2308" width="36.33203125" customWidth="1"/>
    <col min="2309" max="2309" width="32.44140625" customWidth="1"/>
    <col min="2310" max="2310" width="35.6640625" customWidth="1"/>
    <col min="2311" max="2311" width="44.88671875" customWidth="1"/>
    <col min="2312" max="2312" width="25.44140625" customWidth="1"/>
    <col min="2313" max="2313" width="27.6640625" customWidth="1"/>
    <col min="2314" max="2314" width="28.6640625" customWidth="1"/>
    <col min="2315" max="2315" width="30.109375" customWidth="1"/>
    <col min="2316" max="2316" width="22.88671875" customWidth="1"/>
    <col min="2317" max="2317" width="35.6640625" customWidth="1"/>
    <col min="2318" max="2318" width="40.6640625" customWidth="1"/>
    <col min="2319" max="2319" width="42.6640625" customWidth="1"/>
    <col min="2320" max="2320" width="43.6640625" customWidth="1"/>
    <col min="2321" max="2321" width="24.5546875" customWidth="1"/>
    <col min="2322" max="2331" width="8.88671875" customWidth="1"/>
    <col min="2538" max="2538" width="5" customWidth="1"/>
    <col min="2539" max="2539" width="31.6640625" customWidth="1"/>
    <col min="2540" max="2540" width="14.33203125" customWidth="1"/>
    <col min="2541" max="2542" width="13.6640625" customWidth="1"/>
    <col min="2543" max="2543" width="6.88671875" customWidth="1"/>
    <col min="2544" max="2544" width="41.33203125" customWidth="1"/>
    <col min="2545" max="2545" width="39.44140625" customWidth="1"/>
    <col min="2546" max="2546" width="36.5546875" customWidth="1"/>
    <col min="2547" max="2547" width="40.109375" customWidth="1"/>
    <col min="2548" max="2548" width="36.33203125" customWidth="1"/>
    <col min="2549" max="2549" width="39.5546875" customWidth="1"/>
    <col min="2550" max="2550" width="48.6640625" customWidth="1"/>
    <col min="2551" max="2551" width="29.33203125" customWidth="1"/>
    <col min="2552" max="2552" width="31.5546875" customWidth="1"/>
    <col min="2553" max="2553" width="32.5546875" customWidth="1"/>
    <col min="2554" max="2554" width="34" customWidth="1"/>
    <col min="2555" max="2555" width="26.6640625" customWidth="1"/>
    <col min="2556" max="2556" width="39.5546875" customWidth="1"/>
    <col min="2557" max="2557" width="44.5546875" customWidth="1"/>
    <col min="2558" max="2558" width="46.5546875" customWidth="1"/>
    <col min="2559" max="2559" width="47.5546875" customWidth="1"/>
    <col min="2560" max="2560" width="28.44140625" customWidth="1"/>
    <col min="2561" max="2561" width="37.44140625" customWidth="1"/>
    <col min="2562" max="2562" width="35.5546875" customWidth="1"/>
    <col min="2563" max="2563" width="32.6640625" customWidth="1"/>
    <col min="2564" max="2564" width="36.33203125" customWidth="1"/>
    <col min="2565" max="2565" width="32.44140625" customWidth="1"/>
    <col min="2566" max="2566" width="35.6640625" customWidth="1"/>
    <col min="2567" max="2567" width="44.88671875" customWidth="1"/>
    <col min="2568" max="2568" width="25.44140625" customWidth="1"/>
    <col min="2569" max="2569" width="27.6640625" customWidth="1"/>
    <col min="2570" max="2570" width="28.6640625" customWidth="1"/>
    <col min="2571" max="2571" width="30.109375" customWidth="1"/>
    <col min="2572" max="2572" width="22.88671875" customWidth="1"/>
    <col min="2573" max="2573" width="35.6640625" customWidth="1"/>
    <col min="2574" max="2574" width="40.6640625" customWidth="1"/>
    <col min="2575" max="2575" width="42.6640625" customWidth="1"/>
    <col min="2576" max="2576" width="43.6640625" customWidth="1"/>
    <col min="2577" max="2577" width="24.5546875" customWidth="1"/>
    <col min="2578" max="2587" width="8.88671875" customWidth="1"/>
    <col min="2794" max="2794" width="5" customWidth="1"/>
    <col min="2795" max="2795" width="31.6640625" customWidth="1"/>
    <col min="2796" max="2796" width="14.33203125" customWidth="1"/>
    <col min="2797" max="2798" width="13.6640625" customWidth="1"/>
    <col min="2799" max="2799" width="6.88671875" customWidth="1"/>
    <col min="2800" max="2800" width="41.33203125" customWidth="1"/>
    <col min="2801" max="2801" width="39.44140625" customWidth="1"/>
    <col min="2802" max="2802" width="36.5546875" customWidth="1"/>
    <col min="2803" max="2803" width="40.109375" customWidth="1"/>
    <col min="2804" max="2804" width="36.33203125" customWidth="1"/>
    <col min="2805" max="2805" width="39.5546875" customWidth="1"/>
    <col min="2806" max="2806" width="48.6640625" customWidth="1"/>
    <col min="2807" max="2807" width="29.33203125" customWidth="1"/>
    <col min="2808" max="2808" width="31.5546875" customWidth="1"/>
    <col min="2809" max="2809" width="32.5546875" customWidth="1"/>
    <col min="2810" max="2810" width="34" customWidth="1"/>
    <col min="2811" max="2811" width="26.6640625" customWidth="1"/>
    <col min="2812" max="2812" width="39.5546875" customWidth="1"/>
    <col min="2813" max="2813" width="44.5546875" customWidth="1"/>
    <col min="2814" max="2814" width="46.5546875" customWidth="1"/>
    <col min="2815" max="2815" width="47.5546875" customWidth="1"/>
    <col min="2816" max="2816" width="28.44140625" customWidth="1"/>
    <col min="2817" max="2817" width="37.44140625" customWidth="1"/>
    <col min="2818" max="2818" width="35.5546875" customWidth="1"/>
    <col min="2819" max="2819" width="32.6640625" customWidth="1"/>
    <col min="2820" max="2820" width="36.33203125" customWidth="1"/>
    <col min="2821" max="2821" width="32.44140625" customWidth="1"/>
    <col min="2822" max="2822" width="35.6640625" customWidth="1"/>
    <col min="2823" max="2823" width="44.88671875" customWidth="1"/>
    <col min="2824" max="2824" width="25.44140625" customWidth="1"/>
    <col min="2825" max="2825" width="27.6640625" customWidth="1"/>
    <col min="2826" max="2826" width="28.6640625" customWidth="1"/>
    <col min="2827" max="2827" width="30.109375" customWidth="1"/>
    <col min="2828" max="2828" width="22.88671875" customWidth="1"/>
    <col min="2829" max="2829" width="35.6640625" customWidth="1"/>
    <col min="2830" max="2830" width="40.6640625" customWidth="1"/>
    <col min="2831" max="2831" width="42.6640625" customWidth="1"/>
    <col min="2832" max="2832" width="43.6640625" customWidth="1"/>
    <col min="2833" max="2833" width="24.5546875" customWidth="1"/>
    <col min="2834" max="2843" width="8.88671875" customWidth="1"/>
    <col min="3050" max="3050" width="5" customWidth="1"/>
    <col min="3051" max="3051" width="31.6640625" customWidth="1"/>
    <col min="3052" max="3052" width="14.33203125" customWidth="1"/>
    <col min="3053" max="3054" width="13.6640625" customWidth="1"/>
    <col min="3055" max="3055" width="6.88671875" customWidth="1"/>
    <col min="3056" max="3056" width="41.33203125" customWidth="1"/>
    <col min="3057" max="3057" width="39.44140625" customWidth="1"/>
    <col min="3058" max="3058" width="36.5546875" customWidth="1"/>
    <col min="3059" max="3059" width="40.109375" customWidth="1"/>
    <col min="3060" max="3060" width="36.33203125" customWidth="1"/>
    <col min="3061" max="3061" width="39.5546875" customWidth="1"/>
    <col min="3062" max="3062" width="48.6640625" customWidth="1"/>
    <col min="3063" max="3063" width="29.33203125" customWidth="1"/>
    <col min="3064" max="3064" width="31.5546875" customWidth="1"/>
    <col min="3065" max="3065" width="32.5546875" customWidth="1"/>
    <col min="3066" max="3066" width="34" customWidth="1"/>
    <col min="3067" max="3067" width="26.6640625" customWidth="1"/>
    <col min="3068" max="3068" width="39.5546875" customWidth="1"/>
    <col min="3069" max="3069" width="44.5546875" customWidth="1"/>
    <col min="3070" max="3070" width="46.5546875" customWidth="1"/>
    <col min="3071" max="3071" width="47.5546875" customWidth="1"/>
    <col min="3072" max="3072" width="28.44140625" customWidth="1"/>
    <col min="3073" max="3073" width="37.44140625" customWidth="1"/>
    <col min="3074" max="3074" width="35.5546875" customWidth="1"/>
    <col min="3075" max="3075" width="32.6640625" customWidth="1"/>
    <col min="3076" max="3076" width="36.33203125" customWidth="1"/>
    <col min="3077" max="3077" width="32.44140625" customWidth="1"/>
    <col min="3078" max="3078" width="35.6640625" customWidth="1"/>
    <col min="3079" max="3079" width="44.88671875" customWidth="1"/>
    <col min="3080" max="3080" width="25.44140625" customWidth="1"/>
    <col min="3081" max="3081" width="27.6640625" customWidth="1"/>
    <col min="3082" max="3082" width="28.6640625" customWidth="1"/>
    <col min="3083" max="3083" width="30.109375" customWidth="1"/>
    <col min="3084" max="3084" width="22.88671875" customWidth="1"/>
    <col min="3085" max="3085" width="35.6640625" customWidth="1"/>
    <col min="3086" max="3086" width="40.6640625" customWidth="1"/>
    <col min="3087" max="3087" width="42.6640625" customWidth="1"/>
    <col min="3088" max="3088" width="43.6640625" customWidth="1"/>
    <col min="3089" max="3089" width="24.5546875" customWidth="1"/>
    <col min="3090" max="3099" width="8.88671875" customWidth="1"/>
    <col min="3306" max="3306" width="5" customWidth="1"/>
    <col min="3307" max="3307" width="31.6640625" customWidth="1"/>
    <col min="3308" max="3308" width="14.33203125" customWidth="1"/>
    <col min="3309" max="3310" width="13.6640625" customWidth="1"/>
    <col min="3311" max="3311" width="6.88671875" customWidth="1"/>
    <col min="3312" max="3312" width="41.33203125" customWidth="1"/>
    <col min="3313" max="3313" width="39.44140625" customWidth="1"/>
    <col min="3314" max="3314" width="36.5546875" customWidth="1"/>
    <col min="3315" max="3315" width="40.109375" customWidth="1"/>
    <col min="3316" max="3316" width="36.33203125" customWidth="1"/>
    <col min="3317" max="3317" width="39.5546875" customWidth="1"/>
    <col min="3318" max="3318" width="48.6640625" customWidth="1"/>
    <col min="3319" max="3319" width="29.33203125" customWidth="1"/>
    <col min="3320" max="3320" width="31.5546875" customWidth="1"/>
    <col min="3321" max="3321" width="32.5546875" customWidth="1"/>
    <col min="3322" max="3322" width="34" customWidth="1"/>
    <col min="3323" max="3323" width="26.6640625" customWidth="1"/>
    <col min="3324" max="3324" width="39.5546875" customWidth="1"/>
    <col min="3325" max="3325" width="44.5546875" customWidth="1"/>
    <col min="3326" max="3326" width="46.5546875" customWidth="1"/>
    <col min="3327" max="3327" width="47.5546875" customWidth="1"/>
    <col min="3328" max="3328" width="28.44140625" customWidth="1"/>
    <col min="3329" max="3329" width="37.44140625" customWidth="1"/>
    <col min="3330" max="3330" width="35.5546875" customWidth="1"/>
    <col min="3331" max="3331" width="32.6640625" customWidth="1"/>
    <col min="3332" max="3332" width="36.33203125" customWidth="1"/>
    <col min="3333" max="3333" width="32.44140625" customWidth="1"/>
    <col min="3334" max="3334" width="35.6640625" customWidth="1"/>
    <col min="3335" max="3335" width="44.88671875" customWidth="1"/>
    <col min="3336" max="3336" width="25.44140625" customWidth="1"/>
    <col min="3337" max="3337" width="27.6640625" customWidth="1"/>
    <col min="3338" max="3338" width="28.6640625" customWidth="1"/>
    <col min="3339" max="3339" width="30.109375" customWidth="1"/>
    <col min="3340" max="3340" width="22.88671875" customWidth="1"/>
    <col min="3341" max="3341" width="35.6640625" customWidth="1"/>
    <col min="3342" max="3342" width="40.6640625" customWidth="1"/>
    <col min="3343" max="3343" width="42.6640625" customWidth="1"/>
    <col min="3344" max="3344" width="43.6640625" customWidth="1"/>
    <col min="3345" max="3345" width="24.5546875" customWidth="1"/>
    <col min="3346" max="3355" width="8.88671875" customWidth="1"/>
    <col min="3562" max="3562" width="5" customWidth="1"/>
    <col min="3563" max="3563" width="31.6640625" customWidth="1"/>
    <col min="3564" max="3564" width="14.33203125" customWidth="1"/>
    <col min="3565" max="3566" width="13.6640625" customWidth="1"/>
    <col min="3567" max="3567" width="6.88671875" customWidth="1"/>
    <col min="3568" max="3568" width="41.33203125" customWidth="1"/>
    <col min="3569" max="3569" width="39.44140625" customWidth="1"/>
    <col min="3570" max="3570" width="36.5546875" customWidth="1"/>
    <col min="3571" max="3571" width="40.109375" customWidth="1"/>
    <col min="3572" max="3572" width="36.33203125" customWidth="1"/>
    <col min="3573" max="3573" width="39.5546875" customWidth="1"/>
    <col min="3574" max="3574" width="48.6640625" customWidth="1"/>
    <col min="3575" max="3575" width="29.33203125" customWidth="1"/>
    <col min="3576" max="3576" width="31.5546875" customWidth="1"/>
    <col min="3577" max="3577" width="32.5546875" customWidth="1"/>
    <col min="3578" max="3578" width="34" customWidth="1"/>
    <col min="3579" max="3579" width="26.6640625" customWidth="1"/>
    <col min="3580" max="3580" width="39.5546875" customWidth="1"/>
    <col min="3581" max="3581" width="44.5546875" customWidth="1"/>
    <col min="3582" max="3582" width="46.5546875" customWidth="1"/>
    <col min="3583" max="3583" width="47.5546875" customWidth="1"/>
    <col min="3584" max="3584" width="28.44140625" customWidth="1"/>
    <col min="3585" max="3585" width="37.44140625" customWidth="1"/>
    <col min="3586" max="3586" width="35.5546875" customWidth="1"/>
    <col min="3587" max="3587" width="32.6640625" customWidth="1"/>
    <col min="3588" max="3588" width="36.33203125" customWidth="1"/>
    <col min="3589" max="3589" width="32.44140625" customWidth="1"/>
    <col min="3590" max="3590" width="35.6640625" customWidth="1"/>
    <col min="3591" max="3591" width="44.88671875" customWidth="1"/>
    <col min="3592" max="3592" width="25.44140625" customWidth="1"/>
    <col min="3593" max="3593" width="27.6640625" customWidth="1"/>
    <col min="3594" max="3594" width="28.6640625" customWidth="1"/>
    <col min="3595" max="3595" width="30.109375" customWidth="1"/>
    <col min="3596" max="3596" width="22.88671875" customWidth="1"/>
    <col min="3597" max="3597" width="35.6640625" customWidth="1"/>
    <col min="3598" max="3598" width="40.6640625" customWidth="1"/>
    <col min="3599" max="3599" width="42.6640625" customWidth="1"/>
    <col min="3600" max="3600" width="43.6640625" customWidth="1"/>
    <col min="3601" max="3601" width="24.5546875" customWidth="1"/>
    <col min="3602" max="3611" width="8.88671875" customWidth="1"/>
    <col min="3818" max="3818" width="5" customWidth="1"/>
    <col min="3819" max="3819" width="31.6640625" customWidth="1"/>
    <col min="3820" max="3820" width="14.33203125" customWidth="1"/>
    <col min="3821" max="3822" width="13.6640625" customWidth="1"/>
    <col min="3823" max="3823" width="6.88671875" customWidth="1"/>
    <col min="3824" max="3824" width="41.33203125" customWidth="1"/>
    <col min="3825" max="3825" width="39.44140625" customWidth="1"/>
    <col min="3826" max="3826" width="36.5546875" customWidth="1"/>
    <col min="3827" max="3827" width="40.109375" customWidth="1"/>
    <col min="3828" max="3828" width="36.33203125" customWidth="1"/>
    <col min="3829" max="3829" width="39.5546875" customWidth="1"/>
    <col min="3830" max="3830" width="48.6640625" customWidth="1"/>
    <col min="3831" max="3831" width="29.33203125" customWidth="1"/>
    <col min="3832" max="3832" width="31.5546875" customWidth="1"/>
    <col min="3833" max="3833" width="32.5546875" customWidth="1"/>
    <col min="3834" max="3834" width="34" customWidth="1"/>
    <col min="3835" max="3835" width="26.6640625" customWidth="1"/>
    <col min="3836" max="3836" width="39.5546875" customWidth="1"/>
    <col min="3837" max="3837" width="44.5546875" customWidth="1"/>
    <col min="3838" max="3838" width="46.5546875" customWidth="1"/>
    <col min="3839" max="3839" width="47.5546875" customWidth="1"/>
    <col min="3840" max="3840" width="28.44140625" customWidth="1"/>
    <col min="3841" max="3841" width="37.44140625" customWidth="1"/>
    <col min="3842" max="3842" width="35.5546875" customWidth="1"/>
    <col min="3843" max="3843" width="32.6640625" customWidth="1"/>
    <col min="3844" max="3844" width="36.33203125" customWidth="1"/>
    <col min="3845" max="3845" width="32.44140625" customWidth="1"/>
    <col min="3846" max="3846" width="35.6640625" customWidth="1"/>
    <col min="3847" max="3847" width="44.88671875" customWidth="1"/>
    <col min="3848" max="3848" width="25.44140625" customWidth="1"/>
    <col min="3849" max="3849" width="27.6640625" customWidth="1"/>
    <col min="3850" max="3850" width="28.6640625" customWidth="1"/>
    <col min="3851" max="3851" width="30.109375" customWidth="1"/>
    <col min="3852" max="3852" width="22.88671875" customWidth="1"/>
    <col min="3853" max="3853" width="35.6640625" customWidth="1"/>
    <col min="3854" max="3854" width="40.6640625" customWidth="1"/>
    <col min="3855" max="3855" width="42.6640625" customWidth="1"/>
    <col min="3856" max="3856" width="43.6640625" customWidth="1"/>
    <col min="3857" max="3857" width="24.5546875" customWidth="1"/>
    <col min="3858" max="3867" width="8.88671875" customWidth="1"/>
    <col min="4074" max="4074" width="5" customWidth="1"/>
    <col min="4075" max="4075" width="31.6640625" customWidth="1"/>
    <col min="4076" max="4076" width="14.33203125" customWidth="1"/>
    <col min="4077" max="4078" width="13.6640625" customWidth="1"/>
    <col min="4079" max="4079" width="6.88671875" customWidth="1"/>
    <col min="4080" max="4080" width="41.33203125" customWidth="1"/>
    <col min="4081" max="4081" width="39.44140625" customWidth="1"/>
    <col min="4082" max="4082" width="36.5546875" customWidth="1"/>
    <col min="4083" max="4083" width="40.109375" customWidth="1"/>
    <col min="4084" max="4084" width="36.33203125" customWidth="1"/>
    <col min="4085" max="4085" width="39.5546875" customWidth="1"/>
    <col min="4086" max="4086" width="48.6640625" customWidth="1"/>
    <col min="4087" max="4087" width="29.33203125" customWidth="1"/>
    <col min="4088" max="4088" width="31.5546875" customWidth="1"/>
    <col min="4089" max="4089" width="32.5546875" customWidth="1"/>
    <col min="4090" max="4090" width="34" customWidth="1"/>
    <col min="4091" max="4091" width="26.6640625" customWidth="1"/>
    <col min="4092" max="4092" width="39.5546875" customWidth="1"/>
    <col min="4093" max="4093" width="44.5546875" customWidth="1"/>
    <col min="4094" max="4094" width="46.5546875" customWidth="1"/>
    <col min="4095" max="4095" width="47.5546875" customWidth="1"/>
    <col min="4096" max="4096" width="28.44140625" customWidth="1"/>
    <col min="4097" max="4097" width="37.44140625" customWidth="1"/>
    <col min="4098" max="4098" width="35.5546875" customWidth="1"/>
    <col min="4099" max="4099" width="32.6640625" customWidth="1"/>
    <col min="4100" max="4100" width="36.33203125" customWidth="1"/>
    <col min="4101" max="4101" width="32.44140625" customWidth="1"/>
    <col min="4102" max="4102" width="35.6640625" customWidth="1"/>
    <col min="4103" max="4103" width="44.88671875" customWidth="1"/>
    <col min="4104" max="4104" width="25.44140625" customWidth="1"/>
    <col min="4105" max="4105" width="27.6640625" customWidth="1"/>
    <col min="4106" max="4106" width="28.6640625" customWidth="1"/>
    <col min="4107" max="4107" width="30.109375" customWidth="1"/>
    <col min="4108" max="4108" width="22.88671875" customWidth="1"/>
    <col min="4109" max="4109" width="35.6640625" customWidth="1"/>
    <col min="4110" max="4110" width="40.6640625" customWidth="1"/>
    <col min="4111" max="4111" width="42.6640625" customWidth="1"/>
    <col min="4112" max="4112" width="43.6640625" customWidth="1"/>
    <col min="4113" max="4113" width="24.5546875" customWidth="1"/>
    <col min="4114" max="4123" width="8.88671875" customWidth="1"/>
    <col min="4330" max="4330" width="5" customWidth="1"/>
    <col min="4331" max="4331" width="31.6640625" customWidth="1"/>
    <col min="4332" max="4332" width="14.33203125" customWidth="1"/>
    <col min="4333" max="4334" width="13.6640625" customWidth="1"/>
    <col min="4335" max="4335" width="6.88671875" customWidth="1"/>
    <col min="4336" max="4336" width="41.33203125" customWidth="1"/>
    <col min="4337" max="4337" width="39.44140625" customWidth="1"/>
    <col min="4338" max="4338" width="36.5546875" customWidth="1"/>
    <col min="4339" max="4339" width="40.109375" customWidth="1"/>
    <col min="4340" max="4340" width="36.33203125" customWidth="1"/>
    <col min="4341" max="4341" width="39.5546875" customWidth="1"/>
    <col min="4342" max="4342" width="48.6640625" customWidth="1"/>
    <col min="4343" max="4343" width="29.33203125" customWidth="1"/>
    <col min="4344" max="4344" width="31.5546875" customWidth="1"/>
    <col min="4345" max="4345" width="32.5546875" customWidth="1"/>
    <col min="4346" max="4346" width="34" customWidth="1"/>
    <col min="4347" max="4347" width="26.6640625" customWidth="1"/>
    <col min="4348" max="4348" width="39.5546875" customWidth="1"/>
    <col min="4349" max="4349" width="44.5546875" customWidth="1"/>
    <col min="4350" max="4350" width="46.5546875" customWidth="1"/>
    <col min="4351" max="4351" width="47.5546875" customWidth="1"/>
    <col min="4352" max="4352" width="28.44140625" customWidth="1"/>
    <col min="4353" max="4353" width="37.44140625" customWidth="1"/>
    <col min="4354" max="4354" width="35.5546875" customWidth="1"/>
    <col min="4355" max="4355" width="32.6640625" customWidth="1"/>
    <col min="4356" max="4356" width="36.33203125" customWidth="1"/>
    <col min="4357" max="4357" width="32.44140625" customWidth="1"/>
    <col min="4358" max="4358" width="35.6640625" customWidth="1"/>
    <col min="4359" max="4359" width="44.88671875" customWidth="1"/>
    <col min="4360" max="4360" width="25.44140625" customWidth="1"/>
    <col min="4361" max="4361" width="27.6640625" customWidth="1"/>
    <col min="4362" max="4362" width="28.6640625" customWidth="1"/>
    <col min="4363" max="4363" width="30.109375" customWidth="1"/>
    <col min="4364" max="4364" width="22.88671875" customWidth="1"/>
    <col min="4365" max="4365" width="35.6640625" customWidth="1"/>
    <col min="4366" max="4366" width="40.6640625" customWidth="1"/>
    <col min="4367" max="4367" width="42.6640625" customWidth="1"/>
    <col min="4368" max="4368" width="43.6640625" customWidth="1"/>
    <col min="4369" max="4369" width="24.5546875" customWidth="1"/>
    <col min="4370" max="4379" width="8.88671875" customWidth="1"/>
    <col min="4586" max="4586" width="5" customWidth="1"/>
    <col min="4587" max="4587" width="31.6640625" customWidth="1"/>
    <col min="4588" max="4588" width="14.33203125" customWidth="1"/>
    <col min="4589" max="4590" width="13.6640625" customWidth="1"/>
    <col min="4591" max="4591" width="6.88671875" customWidth="1"/>
    <col min="4592" max="4592" width="41.33203125" customWidth="1"/>
    <col min="4593" max="4593" width="39.44140625" customWidth="1"/>
    <col min="4594" max="4594" width="36.5546875" customWidth="1"/>
    <col min="4595" max="4595" width="40.109375" customWidth="1"/>
    <col min="4596" max="4596" width="36.33203125" customWidth="1"/>
    <col min="4597" max="4597" width="39.5546875" customWidth="1"/>
    <col min="4598" max="4598" width="48.6640625" customWidth="1"/>
    <col min="4599" max="4599" width="29.33203125" customWidth="1"/>
    <col min="4600" max="4600" width="31.5546875" customWidth="1"/>
    <col min="4601" max="4601" width="32.5546875" customWidth="1"/>
    <col min="4602" max="4602" width="34" customWidth="1"/>
    <col min="4603" max="4603" width="26.6640625" customWidth="1"/>
    <col min="4604" max="4604" width="39.5546875" customWidth="1"/>
    <col min="4605" max="4605" width="44.5546875" customWidth="1"/>
    <col min="4606" max="4606" width="46.5546875" customWidth="1"/>
    <col min="4607" max="4607" width="47.5546875" customWidth="1"/>
    <col min="4608" max="4608" width="28.44140625" customWidth="1"/>
    <col min="4609" max="4609" width="37.44140625" customWidth="1"/>
    <col min="4610" max="4610" width="35.5546875" customWidth="1"/>
    <col min="4611" max="4611" width="32.6640625" customWidth="1"/>
    <col min="4612" max="4612" width="36.33203125" customWidth="1"/>
    <col min="4613" max="4613" width="32.44140625" customWidth="1"/>
    <col min="4614" max="4614" width="35.6640625" customWidth="1"/>
    <col min="4615" max="4615" width="44.88671875" customWidth="1"/>
    <col min="4616" max="4616" width="25.44140625" customWidth="1"/>
    <col min="4617" max="4617" width="27.6640625" customWidth="1"/>
    <col min="4618" max="4618" width="28.6640625" customWidth="1"/>
    <col min="4619" max="4619" width="30.109375" customWidth="1"/>
    <col min="4620" max="4620" width="22.88671875" customWidth="1"/>
    <col min="4621" max="4621" width="35.6640625" customWidth="1"/>
    <col min="4622" max="4622" width="40.6640625" customWidth="1"/>
    <col min="4623" max="4623" width="42.6640625" customWidth="1"/>
    <col min="4624" max="4624" width="43.6640625" customWidth="1"/>
    <col min="4625" max="4625" width="24.5546875" customWidth="1"/>
    <col min="4626" max="4635" width="8.88671875" customWidth="1"/>
    <col min="4842" max="4842" width="5" customWidth="1"/>
    <col min="4843" max="4843" width="31.6640625" customWidth="1"/>
    <col min="4844" max="4844" width="14.33203125" customWidth="1"/>
    <col min="4845" max="4846" width="13.6640625" customWidth="1"/>
    <col min="4847" max="4847" width="6.88671875" customWidth="1"/>
    <col min="4848" max="4848" width="41.33203125" customWidth="1"/>
    <col min="4849" max="4849" width="39.44140625" customWidth="1"/>
    <col min="4850" max="4850" width="36.5546875" customWidth="1"/>
    <col min="4851" max="4851" width="40.109375" customWidth="1"/>
    <col min="4852" max="4852" width="36.33203125" customWidth="1"/>
    <col min="4853" max="4853" width="39.5546875" customWidth="1"/>
    <col min="4854" max="4854" width="48.6640625" customWidth="1"/>
    <col min="4855" max="4855" width="29.33203125" customWidth="1"/>
    <col min="4856" max="4856" width="31.5546875" customWidth="1"/>
    <col min="4857" max="4857" width="32.5546875" customWidth="1"/>
    <col min="4858" max="4858" width="34" customWidth="1"/>
    <col min="4859" max="4859" width="26.6640625" customWidth="1"/>
    <col min="4860" max="4860" width="39.5546875" customWidth="1"/>
    <col min="4861" max="4861" width="44.5546875" customWidth="1"/>
    <col min="4862" max="4862" width="46.5546875" customWidth="1"/>
    <col min="4863" max="4863" width="47.5546875" customWidth="1"/>
    <col min="4864" max="4864" width="28.44140625" customWidth="1"/>
    <col min="4865" max="4865" width="37.44140625" customWidth="1"/>
    <col min="4866" max="4866" width="35.5546875" customWidth="1"/>
    <col min="4867" max="4867" width="32.6640625" customWidth="1"/>
    <col min="4868" max="4868" width="36.33203125" customWidth="1"/>
    <col min="4869" max="4869" width="32.44140625" customWidth="1"/>
    <col min="4870" max="4870" width="35.6640625" customWidth="1"/>
    <col min="4871" max="4871" width="44.88671875" customWidth="1"/>
    <col min="4872" max="4872" width="25.44140625" customWidth="1"/>
    <col min="4873" max="4873" width="27.6640625" customWidth="1"/>
    <col min="4874" max="4874" width="28.6640625" customWidth="1"/>
    <col min="4875" max="4875" width="30.109375" customWidth="1"/>
    <col min="4876" max="4876" width="22.88671875" customWidth="1"/>
    <col min="4877" max="4877" width="35.6640625" customWidth="1"/>
    <col min="4878" max="4878" width="40.6640625" customWidth="1"/>
    <col min="4879" max="4879" width="42.6640625" customWidth="1"/>
    <col min="4880" max="4880" width="43.6640625" customWidth="1"/>
    <col min="4881" max="4881" width="24.5546875" customWidth="1"/>
    <col min="4882" max="4891" width="8.88671875" customWidth="1"/>
    <col min="5098" max="5098" width="5" customWidth="1"/>
    <col min="5099" max="5099" width="31.6640625" customWidth="1"/>
    <col min="5100" max="5100" width="14.33203125" customWidth="1"/>
    <col min="5101" max="5102" width="13.6640625" customWidth="1"/>
    <col min="5103" max="5103" width="6.88671875" customWidth="1"/>
    <col min="5104" max="5104" width="41.33203125" customWidth="1"/>
    <col min="5105" max="5105" width="39.44140625" customWidth="1"/>
    <col min="5106" max="5106" width="36.5546875" customWidth="1"/>
    <col min="5107" max="5107" width="40.109375" customWidth="1"/>
    <col min="5108" max="5108" width="36.33203125" customWidth="1"/>
    <col min="5109" max="5109" width="39.5546875" customWidth="1"/>
    <col min="5110" max="5110" width="48.6640625" customWidth="1"/>
    <col min="5111" max="5111" width="29.33203125" customWidth="1"/>
    <col min="5112" max="5112" width="31.5546875" customWidth="1"/>
    <col min="5113" max="5113" width="32.5546875" customWidth="1"/>
    <col min="5114" max="5114" width="34" customWidth="1"/>
    <col min="5115" max="5115" width="26.6640625" customWidth="1"/>
    <col min="5116" max="5116" width="39.5546875" customWidth="1"/>
    <col min="5117" max="5117" width="44.5546875" customWidth="1"/>
    <col min="5118" max="5118" width="46.5546875" customWidth="1"/>
    <col min="5119" max="5119" width="47.5546875" customWidth="1"/>
    <col min="5120" max="5120" width="28.44140625" customWidth="1"/>
    <col min="5121" max="5121" width="37.44140625" customWidth="1"/>
    <col min="5122" max="5122" width="35.5546875" customWidth="1"/>
    <col min="5123" max="5123" width="32.6640625" customWidth="1"/>
    <col min="5124" max="5124" width="36.33203125" customWidth="1"/>
    <col min="5125" max="5125" width="32.44140625" customWidth="1"/>
    <col min="5126" max="5126" width="35.6640625" customWidth="1"/>
    <col min="5127" max="5127" width="44.88671875" customWidth="1"/>
    <col min="5128" max="5128" width="25.44140625" customWidth="1"/>
    <col min="5129" max="5129" width="27.6640625" customWidth="1"/>
    <col min="5130" max="5130" width="28.6640625" customWidth="1"/>
    <col min="5131" max="5131" width="30.109375" customWidth="1"/>
    <col min="5132" max="5132" width="22.88671875" customWidth="1"/>
    <col min="5133" max="5133" width="35.6640625" customWidth="1"/>
    <col min="5134" max="5134" width="40.6640625" customWidth="1"/>
    <col min="5135" max="5135" width="42.6640625" customWidth="1"/>
    <col min="5136" max="5136" width="43.6640625" customWidth="1"/>
    <col min="5137" max="5137" width="24.5546875" customWidth="1"/>
    <col min="5138" max="5147" width="8.88671875" customWidth="1"/>
    <col min="5354" max="5354" width="5" customWidth="1"/>
    <col min="5355" max="5355" width="31.6640625" customWidth="1"/>
    <col min="5356" max="5356" width="14.33203125" customWidth="1"/>
    <col min="5357" max="5358" width="13.6640625" customWidth="1"/>
    <col min="5359" max="5359" width="6.88671875" customWidth="1"/>
    <col min="5360" max="5360" width="41.33203125" customWidth="1"/>
    <col min="5361" max="5361" width="39.44140625" customWidth="1"/>
    <col min="5362" max="5362" width="36.5546875" customWidth="1"/>
    <col min="5363" max="5363" width="40.109375" customWidth="1"/>
    <col min="5364" max="5364" width="36.33203125" customWidth="1"/>
    <col min="5365" max="5365" width="39.5546875" customWidth="1"/>
    <col min="5366" max="5366" width="48.6640625" customWidth="1"/>
    <col min="5367" max="5367" width="29.33203125" customWidth="1"/>
    <col min="5368" max="5368" width="31.5546875" customWidth="1"/>
    <col min="5369" max="5369" width="32.5546875" customWidth="1"/>
    <col min="5370" max="5370" width="34" customWidth="1"/>
    <col min="5371" max="5371" width="26.6640625" customWidth="1"/>
    <col min="5372" max="5372" width="39.5546875" customWidth="1"/>
    <col min="5373" max="5373" width="44.5546875" customWidth="1"/>
    <col min="5374" max="5374" width="46.5546875" customWidth="1"/>
    <col min="5375" max="5375" width="47.5546875" customWidth="1"/>
    <col min="5376" max="5376" width="28.44140625" customWidth="1"/>
    <col min="5377" max="5377" width="37.44140625" customWidth="1"/>
    <col min="5378" max="5378" width="35.5546875" customWidth="1"/>
    <col min="5379" max="5379" width="32.6640625" customWidth="1"/>
    <col min="5380" max="5380" width="36.33203125" customWidth="1"/>
    <col min="5381" max="5381" width="32.44140625" customWidth="1"/>
    <col min="5382" max="5382" width="35.6640625" customWidth="1"/>
    <col min="5383" max="5383" width="44.88671875" customWidth="1"/>
    <col min="5384" max="5384" width="25.44140625" customWidth="1"/>
    <col min="5385" max="5385" width="27.6640625" customWidth="1"/>
    <col min="5386" max="5386" width="28.6640625" customWidth="1"/>
    <col min="5387" max="5387" width="30.109375" customWidth="1"/>
    <col min="5388" max="5388" width="22.88671875" customWidth="1"/>
    <col min="5389" max="5389" width="35.6640625" customWidth="1"/>
    <col min="5390" max="5390" width="40.6640625" customWidth="1"/>
    <col min="5391" max="5391" width="42.6640625" customWidth="1"/>
    <col min="5392" max="5392" width="43.6640625" customWidth="1"/>
    <col min="5393" max="5393" width="24.5546875" customWidth="1"/>
    <col min="5394" max="5403" width="8.88671875" customWidth="1"/>
    <col min="5610" max="5610" width="5" customWidth="1"/>
    <col min="5611" max="5611" width="31.6640625" customWidth="1"/>
    <col min="5612" max="5612" width="14.33203125" customWidth="1"/>
    <col min="5613" max="5614" width="13.6640625" customWidth="1"/>
    <col min="5615" max="5615" width="6.88671875" customWidth="1"/>
    <col min="5616" max="5616" width="41.33203125" customWidth="1"/>
    <col min="5617" max="5617" width="39.44140625" customWidth="1"/>
    <col min="5618" max="5618" width="36.5546875" customWidth="1"/>
    <col min="5619" max="5619" width="40.109375" customWidth="1"/>
    <col min="5620" max="5620" width="36.33203125" customWidth="1"/>
    <col min="5621" max="5621" width="39.5546875" customWidth="1"/>
    <col min="5622" max="5622" width="48.6640625" customWidth="1"/>
    <col min="5623" max="5623" width="29.33203125" customWidth="1"/>
    <col min="5624" max="5624" width="31.5546875" customWidth="1"/>
    <col min="5625" max="5625" width="32.5546875" customWidth="1"/>
    <col min="5626" max="5626" width="34" customWidth="1"/>
    <col min="5627" max="5627" width="26.6640625" customWidth="1"/>
    <col min="5628" max="5628" width="39.5546875" customWidth="1"/>
    <col min="5629" max="5629" width="44.5546875" customWidth="1"/>
    <col min="5630" max="5630" width="46.5546875" customWidth="1"/>
    <col min="5631" max="5631" width="47.5546875" customWidth="1"/>
    <col min="5632" max="5632" width="28.44140625" customWidth="1"/>
    <col min="5633" max="5633" width="37.44140625" customWidth="1"/>
    <col min="5634" max="5634" width="35.5546875" customWidth="1"/>
    <col min="5635" max="5635" width="32.6640625" customWidth="1"/>
    <col min="5636" max="5636" width="36.33203125" customWidth="1"/>
    <col min="5637" max="5637" width="32.44140625" customWidth="1"/>
    <col min="5638" max="5638" width="35.6640625" customWidth="1"/>
    <col min="5639" max="5639" width="44.88671875" customWidth="1"/>
    <col min="5640" max="5640" width="25.44140625" customWidth="1"/>
    <col min="5641" max="5641" width="27.6640625" customWidth="1"/>
    <col min="5642" max="5642" width="28.6640625" customWidth="1"/>
    <col min="5643" max="5643" width="30.109375" customWidth="1"/>
    <col min="5644" max="5644" width="22.88671875" customWidth="1"/>
    <col min="5645" max="5645" width="35.6640625" customWidth="1"/>
    <col min="5646" max="5646" width="40.6640625" customWidth="1"/>
    <col min="5647" max="5647" width="42.6640625" customWidth="1"/>
    <col min="5648" max="5648" width="43.6640625" customWidth="1"/>
    <col min="5649" max="5649" width="24.5546875" customWidth="1"/>
    <col min="5650" max="5659" width="8.88671875" customWidth="1"/>
    <col min="5866" max="5866" width="5" customWidth="1"/>
    <col min="5867" max="5867" width="31.6640625" customWidth="1"/>
    <col min="5868" max="5868" width="14.33203125" customWidth="1"/>
    <col min="5869" max="5870" width="13.6640625" customWidth="1"/>
    <col min="5871" max="5871" width="6.88671875" customWidth="1"/>
    <col min="5872" max="5872" width="41.33203125" customWidth="1"/>
    <col min="5873" max="5873" width="39.44140625" customWidth="1"/>
    <col min="5874" max="5874" width="36.5546875" customWidth="1"/>
    <col min="5875" max="5875" width="40.109375" customWidth="1"/>
    <col min="5876" max="5876" width="36.33203125" customWidth="1"/>
    <col min="5877" max="5877" width="39.5546875" customWidth="1"/>
    <col min="5878" max="5878" width="48.6640625" customWidth="1"/>
    <col min="5879" max="5879" width="29.33203125" customWidth="1"/>
    <col min="5880" max="5880" width="31.5546875" customWidth="1"/>
    <col min="5881" max="5881" width="32.5546875" customWidth="1"/>
    <col min="5882" max="5882" width="34" customWidth="1"/>
    <col min="5883" max="5883" width="26.6640625" customWidth="1"/>
    <col min="5884" max="5884" width="39.5546875" customWidth="1"/>
    <col min="5885" max="5885" width="44.5546875" customWidth="1"/>
    <col min="5886" max="5886" width="46.5546875" customWidth="1"/>
    <col min="5887" max="5887" width="47.5546875" customWidth="1"/>
    <col min="5888" max="5888" width="28.44140625" customWidth="1"/>
    <col min="5889" max="5889" width="37.44140625" customWidth="1"/>
    <col min="5890" max="5890" width="35.5546875" customWidth="1"/>
    <col min="5891" max="5891" width="32.6640625" customWidth="1"/>
    <col min="5892" max="5892" width="36.33203125" customWidth="1"/>
    <col min="5893" max="5893" width="32.44140625" customWidth="1"/>
    <col min="5894" max="5894" width="35.6640625" customWidth="1"/>
    <col min="5895" max="5895" width="44.88671875" customWidth="1"/>
    <col min="5896" max="5896" width="25.44140625" customWidth="1"/>
    <col min="5897" max="5897" width="27.6640625" customWidth="1"/>
    <col min="5898" max="5898" width="28.6640625" customWidth="1"/>
    <col min="5899" max="5899" width="30.109375" customWidth="1"/>
    <col min="5900" max="5900" width="22.88671875" customWidth="1"/>
    <col min="5901" max="5901" width="35.6640625" customWidth="1"/>
    <col min="5902" max="5902" width="40.6640625" customWidth="1"/>
    <col min="5903" max="5903" width="42.6640625" customWidth="1"/>
    <col min="5904" max="5904" width="43.6640625" customWidth="1"/>
    <col min="5905" max="5905" width="24.5546875" customWidth="1"/>
    <col min="5906" max="5915" width="8.88671875" customWidth="1"/>
    <col min="6122" max="6122" width="5" customWidth="1"/>
    <col min="6123" max="6123" width="31.6640625" customWidth="1"/>
    <col min="6124" max="6124" width="14.33203125" customWidth="1"/>
    <col min="6125" max="6126" width="13.6640625" customWidth="1"/>
    <col min="6127" max="6127" width="6.88671875" customWidth="1"/>
    <col min="6128" max="6128" width="41.33203125" customWidth="1"/>
    <col min="6129" max="6129" width="39.44140625" customWidth="1"/>
    <col min="6130" max="6130" width="36.5546875" customWidth="1"/>
    <col min="6131" max="6131" width="40.109375" customWidth="1"/>
    <col min="6132" max="6132" width="36.33203125" customWidth="1"/>
    <col min="6133" max="6133" width="39.5546875" customWidth="1"/>
    <col min="6134" max="6134" width="48.6640625" customWidth="1"/>
    <col min="6135" max="6135" width="29.33203125" customWidth="1"/>
    <col min="6136" max="6136" width="31.5546875" customWidth="1"/>
    <col min="6137" max="6137" width="32.5546875" customWidth="1"/>
    <col min="6138" max="6138" width="34" customWidth="1"/>
    <col min="6139" max="6139" width="26.6640625" customWidth="1"/>
    <col min="6140" max="6140" width="39.5546875" customWidth="1"/>
    <col min="6141" max="6141" width="44.5546875" customWidth="1"/>
    <col min="6142" max="6142" width="46.5546875" customWidth="1"/>
    <col min="6143" max="6143" width="47.5546875" customWidth="1"/>
    <col min="6144" max="6144" width="28.44140625" customWidth="1"/>
    <col min="6145" max="6145" width="37.44140625" customWidth="1"/>
    <col min="6146" max="6146" width="35.5546875" customWidth="1"/>
    <col min="6147" max="6147" width="32.6640625" customWidth="1"/>
    <col min="6148" max="6148" width="36.33203125" customWidth="1"/>
    <col min="6149" max="6149" width="32.44140625" customWidth="1"/>
    <col min="6150" max="6150" width="35.6640625" customWidth="1"/>
    <col min="6151" max="6151" width="44.88671875" customWidth="1"/>
    <col min="6152" max="6152" width="25.44140625" customWidth="1"/>
    <col min="6153" max="6153" width="27.6640625" customWidth="1"/>
    <col min="6154" max="6154" width="28.6640625" customWidth="1"/>
    <col min="6155" max="6155" width="30.109375" customWidth="1"/>
    <col min="6156" max="6156" width="22.88671875" customWidth="1"/>
    <col min="6157" max="6157" width="35.6640625" customWidth="1"/>
    <col min="6158" max="6158" width="40.6640625" customWidth="1"/>
    <col min="6159" max="6159" width="42.6640625" customWidth="1"/>
    <col min="6160" max="6160" width="43.6640625" customWidth="1"/>
    <col min="6161" max="6161" width="24.5546875" customWidth="1"/>
    <col min="6162" max="6171" width="8.88671875" customWidth="1"/>
    <col min="6378" max="6378" width="5" customWidth="1"/>
    <col min="6379" max="6379" width="31.6640625" customWidth="1"/>
    <col min="6380" max="6380" width="14.33203125" customWidth="1"/>
    <col min="6381" max="6382" width="13.6640625" customWidth="1"/>
    <col min="6383" max="6383" width="6.88671875" customWidth="1"/>
    <col min="6384" max="6384" width="41.33203125" customWidth="1"/>
    <col min="6385" max="6385" width="39.44140625" customWidth="1"/>
    <col min="6386" max="6386" width="36.5546875" customWidth="1"/>
    <col min="6387" max="6387" width="40.109375" customWidth="1"/>
    <col min="6388" max="6388" width="36.33203125" customWidth="1"/>
    <col min="6389" max="6389" width="39.5546875" customWidth="1"/>
    <col min="6390" max="6390" width="48.6640625" customWidth="1"/>
    <col min="6391" max="6391" width="29.33203125" customWidth="1"/>
    <col min="6392" max="6392" width="31.5546875" customWidth="1"/>
    <col min="6393" max="6393" width="32.5546875" customWidth="1"/>
    <col min="6394" max="6394" width="34" customWidth="1"/>
    <col min="6395" max="6395" width="26.6640625" customWidth="1"/>
    <col min="6396" max="6396" width="39.5546875" customWidth="1"/>
    <col min="6397" max="6397" width="44.5546875" customWidth="1"/>
    <col min="6398" max="6398" width="46.5546875" customWidth="1"/>
    <col min="6399" max="6399" width="47.5546875" customWidth="1"/>
    <col min="6400" max="6400" width="28.44140625" customWidth="1"/>
    <col min="6401" max="6401" width="37.44140625" customWidth="1"/>
    <col min="6402" max="6402" width="35.5546875" customWidth="1"/>
    <col min="6403" max="6403" width="32.6640625" customWidth="1"/>
    <col min="6404" max="6404" width="36.33203125" customWidth="1"/>
    <col min="6405" max="6405" width="32.44140625" customWidth="1"/>
    <col min="6406" max="6406" width="35.6640625" customWidth="1"/>
    <col min="6407" max="6407" width="44.88671875" customWidth="1"/>
    <col min="6408" max="6408" width="25.44140625" customWidth="1"/>
    <col min="6409" max="6409" width="27.6640625" customWidth="1"/>
    <col min="6410" max="6410" width="28.6640625" customWidth="1"/>
    <col min="6411" max="6411" width="30.109375" customWidth="1"/>
    <col min="6412" max="6412" width="22.88671875" customWidth="1"/>
    <col min="6413" max="6413" width="35.6640625" customWidth="1"/>
    <col min="6414" max="6414" width="40.6640625" customWidth="1"/>
    <col min="6415" max="6415" width="42.6640625" customWidth="1"/>
    <col min="6416" max="6416" width="43.6640625" customWidth="1"/>
    <col min="6417" max="6417" width="24.5546875" customWidth="1"/>
    <col min="6418" max="6427" width="8.88671875" customWidth="1"/>
    <col min="6634" max="6634" width="5" customWidth="1"/>
    <col min="6635" max="6635" width="31.6640625" customWidth="1"/>
    <col min="6636" max="6636" width="14.33203125" customWidth="1"/>
    <col min="6637" max="6638" width="13.6640625" customWidth="1"/>
    <col min="6639" max="6639" width="6.88671875" customWidth="1"/>
    <col min="6640" max="6640" width="41.33203125" customWidth="1"/>
    <col min="6641" max="6641" width="39.44140625" customWidth="1"/>
    <col min="6642" max="6642" width="36.5546875" customWidth="1"/>
    <col min="6643" max="6643" width="40.109375" customWidth="1"/>
    <col min="6644" max="6644" width="36.33203125" customWidth="1"/>
    <col min="6645" max="6645" width="39.5546875" customWidth="1"/>
    <col min="6646" max="6646" width="48.6640625" customWidth="1"/>
    <col min="6647" max="6647" width="29.33203125" customWidth="1"/>
    <col min="6648" max="6648" width="31.5546875" customWidth="1"/>
    <col min="6649" max="6649" width="32.5546875" customWidth="1"/>
    <col min="6650" max="6650" width="34" customWidth="1"/>
    <col min="6651" max="6651" width="26.6640625" customWidth="1"/>
    <col min="6652" max="6652" width="39.5546875" customWidth="1"/>
    <col min="6653" max="6653" width="44.5546875" customWidth="1"/>
    <col min="6654" max="6654" width="46.5546875" customWidth="1"/>
    <col min="6655" max="6655" width="47.5546875" customWidth="1"/>
    <col min="6656" max="6656" width="28.44140625" customWidth="1"/>
    <col min="6657" max="6657" width="37.44140625" customWidth="1"/>
    <col min="6658" max="6658" width="35.5546875" customWidth="1"/>
    <col min="6659" max="6659" width="32.6640625" customWidth="1"/>
    <col min="6660" max="6660" width="36.33203125" customWidth="1"/>
    <col min="6661" max="6661" width="32.44140625" customWidth="1"/>
    <col min="6662" max="6662" width="35.6640625" customWidth="1"/>
    <col min="6663" max="6663" width="44.88671875" customWidth="1"/>
    <col min="6664" max="6664" width="25.44140625" customWidth="1"/>
    <col min="6665" max="6665" width="27.6640625" customWidth="1"/>
    <col min="6666" max="6666" width="28.6640625" customWidth="1"/>
    <col min="6667" max="6667" width="30.109375" customWidth="1"/>
    <col min="6668" max="6668" width="22.88671875" customWidth="1"/>
    <col min="6669" max="6669" width="35.6640625" customWidth="1"/>
    <col min="6670" max="6670" width="40.6640625" customWidth="1"/>
    <col min="6671" max="6671" width="42.6640625" customWidth="1"/>
    <col min="6672" max="6672" width="43.6640625" customWidth="1"/>
    <col min="6673" max="6673" width="24.5546875" customWidth="1"/>
    <col min="6674" max="6683" width="8.88671875" customWidth="1"/>
    <col min="6890" max="6890" width="5" customWidth="1"/>
    <col min="6891" max="6891" width="31.6640625" customWidth="1"/>
    <col min="6892" max="6892" width="14.33203125" customWidth="1"/>
    <col min="6893" max="6894" width="13.6640625" customWidth="1"/>
    <col min="6895" max="6895" width="6.88671875" customWidth="1"/>
    <col min="6896" max="6896" width="41.33203125" customWidth="1"/>
    <col min="6897" max="6897" width="39.44140625" customWidth="1"/>
    <col min="6898" max="6898" width="36.5546875" customWidth="1"/>
    <col min="6899" max="6899" width="40.109375" customWidth="1"/>
    <col min="6900" max="6900" width="36.33203125" customWidth="1"/>
    <col min="6901" max="6901" width="39.5546875" customWidth="1"/>
    <col min="6902" max="6902" width="48.6640625" customWidth="1"/>
    <col min="6903" max="6903" width="29.33203125" customWidth="1"/>
    <col min="6904" max="6904" width="31.5546875" customWidth="1"/>
    <col min="6905" max="6905" width="32.5546875" customWidth="1"/>
    <col min="6906" max="6906" width="34" customWidth="1"/>
    <col min="6907" max="6907" width="26.6640625" customWidth="1"/>
    <col min="6908" max="6908" width="39.5546875" customWidth="1"/>
    <col min="6909" max="6909" width="44.5546875" customWidth="1"/>
    <col min="6910" max="6910" width="46.5546875" customWidth="1"/>
    <col min="6911" max="6911" width="47.5546875" customWidth="1"/>
    <col min="6912" max="6912" width="28.44140625" customWidth="1"/>
    <col min="6913" max="6913" width="37.44140625" customWidth="1"/>
    <col min="6914" max="6914" width="35.5546875" customWidth="1"/>
    <col min="6915" max="6915" width="32.6640625" customWidth="1"/>
    <col min="6916" max="6916" width="36.33203125" customWidth="1"/>
    <col min="6917" max="6917" width="32.44140625" customWidth="1"/>
    <col min="6918" max="6918" width="35.6640625" customWidth="1"/>
    <col min="6919" max="6919" width="44.88671875" customWidth="1"/>
    <col min="6920" max="6920" width="25.44140625" customWidth="1"/>
    <col min="6921" max="6921" width="27.6640625" customWidth="1"/>
    <col min="6922" max="6922" width="28.6640625" customWidth="1"/>
    <col min="6923" max="6923" width="30.109375" customWidth="1"/>
    <col min="6924" max="6924" width="22.88671875" customWidth="1"/>
    <col min="6925" max="6925" width="35.6640625" customWidth="1"/>
    <col min="6926" max="6926" width="40.6640625" customWidth="1"/>
    <col min="6927" max="6927" width="42.6640625" customWidth="1"/>
    <col min="6928" max="6928" width="43.6640625" customWidth="1"/>
    <col min="6929" max="6929" width="24.5546875" customWidth="1"/>
    <col min="6930" max="6939" width="8.88671875" customWidth="1"/>
    <col min="7146" max="7146" width="5" customWidth="1"/>
    <col min="7147" max="7147" width="31.6640625" customWidth="1"/>
    <col min="7148" max="7148" width="14.33203125" customWidth="1"/>
    <col min="7149" max="7150" width="13.6640625" customWidth="1"/>
    <col min="7151" max="7151" width="6.88671875" customWidth="1"/>
    <col min="7152" max="7152" width="41.33203125" customWidth="1"/>
    <col min="7153" max="7153" width="39.44140625" customWidth="1"/>
    <col min="7154" max="7154" width="36.5546875" customWidth="1"/>
    <col min="7155" max="7155" width="40.109375" customWidth="1"/>
    <col min="7156" max="7156" width="36.33203125" customWidth="1"/>
    <col min="7157" max="7157" width="39.5546875" customWidth="1"/>
    <col min="7158" max="7158" width="48.6640625" customWidth="1"/>
    <col min="7159" max="7159" width="29.33203125" customWidth="1"/>
    <col min="7160" max="7160" width="31.5546875" customWidth="1"/>
    <col min="7161" max="7161" width="32.5546875" customWidth="1"/>
    <col min="7162" max="7162" width="34" customWidth="1"/>
    <col min="7163" max="7163" width="26.6640625" customWidth="1"/>
    <col min="7164" max="7164" width="39.5546875" customWidth="1"/>
    <col min="7165" max="7165" width="44.5546875" customWidth="1"/>
    <col min="7166" max="7166" width="46.5546875" customWidth="1"/>
    <col min="7167" max="7167" width="47.5546875" customWidth="1"/>
    <col min="7168" max="7168" width="28.44140625" customWidth="1"/>
    <col min="7169" max="7169" width="37.44140625" customWidth="1"/>
    <col min="7170" max="7170" width="35.5546875" customWidth="1"/>
    <col min="7171" max="7171" width="32.6640625" customWidth="1"/>
    <col min="7172" max="7172" width="36.33203125" customWidth="1"/>
    <col min="7173" max="7173" width="32.44140625" customWidth="1"/>
    <col min="7174" max="7174" width="35.6640625" customWidth="1"/>
    <col min="7175" max="7175" width="44.88671875" customWidth="1"/>
    <col min="7176" max="7176" width="25.44140625" customWidth="1"/>
    <col min="7177" max="7177" width="27.6640625" customWidth="1"/>
    <col min="7178" max="7178" width="28.6640625" customWidth="1"/>
    <col min="7179" max="7179" width="30.109375" customWidth="1"/>
    <col min="7180" max="7180" width="22.88671875" customWidth="1"/>
    <col min="7181" max="7181" width="35.6640625" customWidth="1"/>
    <col min="7182" max="7182" width="40.6640625" customWidth="1"/>
    <col min="7183" max="7183" width="42.6640625" customWidth="1"/>
    <col min="7184" max="7184" width="43.6640625" customWidth="1"/>
    <col min="7185" max="7185" width="24.5546875" customWidth="1"/>
    <col min="7186" max="7195" width="8.88671875" customWidth="1"/>
    <col min="7402" max="7402" width="5" customWidth="1"/>
    <col min="7403" max="7403" width="31.6640625" customWidth="1"/>
    <col min="7404" max="7404" width="14.33203125" customWidth="1"/>
    <col min="7405" max="7406" width="13.6640625" customWidth="1"/>
    <col min="7407" max="7407" width="6.88671875" customWidth="1"/>
    <col min="7408" max="7408" width="41.33203125" customWidth="1"/>
    <col min="7409" max="7409" width="39.44140625" customWidth="1"/>
    <col min="7410" max="7410" width="36.5546875" customWidth="1"/>
    <col min="7411" max="7411" width="40.109375" customWidth="1"/>
    <col min="7412" max="7412" width="36.33203125" customWidth="1"/>
    <col min="7413" max="7413" width="39.5546875" customWidth="1"/>
    <col min="7414" max="7414" width="48.6640625" customWidth="1"/>
    <col min="7415" max="7415" width="29.33203125" customWidth="1"/>
    <col min="7416" max="7416" width="31.5546875" customWidth="1"/>
    <col min="7417" max="7417" width="32.5546875" customWidth="1"/>
    <col min="7418" max="7418" width="34" customWidth="1"/>
    <col min="7419" max="7419" width="26.6640625" customWidth="1"/>
    <col min="7420" max="7420" width="39.5546875" customWidth="1"/>
    <col min="7421" max="7421" width="44.5546875" customWidth="1"/>
    <col min="7422" max="7422" width="46.5546875" customWidth="1"/>
    <col min="7423" max="7423" width="47.5546875" customWidth="1"/>
    <col min="7424" max="7424" width="28.44140625" customWidth="1"/>
    <col min="7425" max="7425" width="37.44140625" customWidth="1"/>
    <col min="7426" max="7426" width="35.5546875" customWidth="1"/>
    <col min="7427" max="7427" width="32.6640625" customWidth="1"/>
    <col min="7428" max="7428" width="36.33203125" customWidth="1"/>
    <col min="7429" max="7429" width="32.44140625" customWidth="1"/>
    <col min="7430" max="7430" width="35.6640625" customWidth="1"/>
    <col min="7431" max="7431" width="44.88671875" customWidth="1"/>
    <col min="7432" max="7432" width="25.44140625" customWidth="1"/>
    <col min="7433" max="7433" width="27.6640625" customWidth="1"/>
    <col min="7434" max="7434" width="28.6640625" customWidth="1"/>
    <col min="7435" max="7435" width="30.109375" customWidth="1"/>
    <col min="7436" max="7436" width="22.88671875" customWidth="1"/>
    <col min="7437" max="7437" width="35.6640625" customWidth="1"/>
    <col min="7438" max="7438" width="40.6640625" customWidth="1"/>
    <col min="7439" max="7439" width="42.6640625" customWidth="1"/>
    <col min="7440" max="7440" width="43.6640625" customWidth="1"/>
    <col min="7441" max="7441" width="24.5546875" customWidth="1"/>
    <col min="7442" max="7451" width="8.88671875" customWidth="1"/>
    <col min="7658" max="7658" width="5" customWidth="1"/>
    <col min="7659" max="7659" width="31.6640625" customWidth="1"/>
    <col min="7660" max="7660" width="14.33203125" customWidth="1"/>
    <col min="7661" max="7662" width="13.6640625" customWidth="1"/>
    <col min="7663" max="7663" width="6.88671875" customWidth="1"/>
    <col min="7664" max="7664" width="41.33203125" customWidth="1"/>
    <col min="7665" max="7665" width="39.44140625" customWidth="1"/>
    <col min="7666" max="7666" width="36.5546875" customWidth="1"/>
    <col min="7667" max="7667" width="40.109375" customWidth="1"/>
    <col min="7668" max="7668" width="36.33203125" customWidth="1"/>
    <col min="7669" max="7669" width="39.5546875" customWidth="1"/>
    <col min="7670" max="7670" width="48.6640625" customWidth="1"/>
    <col min="7671" max="7671" width="29.33203125" customWidth="1"/>
    <col min="7672" max="7672" width="31.5546875" customWidth="1"/>
    <col min="7673" max="7673" width="32.5546875" customWidth="1"/>
    <col min="7674" max="7674" width="34" customWidth="1"/>
    <col min="7675" max="7675" width="26.6640625" customWidth="1"/>
    <col min="7676" max="7676" width="39.5546875" customWidth="1"/>
    <col min="7677" max="7677" width="44.5546875" customWidth="1"/>
    <col min="7678" max="7678" width="46.5546875" customWidth="1"/>
    <col min="7679" max="7679" width="47.5546875" customWidth="1"/>
    <col min="7680" max="7680" width="28.44140625" customWidth="1"/>
    <col min="7681" max="7681" width="37.44140625" customWidth="1"/>
    <col min="7682" max="7682" width="35.5546875" customWidth="1"/>
    <col min="7683" max="7683" width="32.6640625" customWidth="1"/>
    <col min="7684" max="7684" width="36.33203125" customWidth="1"/>
    <col min="7685" max="7685" width="32.44140625" customWidth="1"/>
    <col min="7686" max="7686" width="35.6640625" customWidth="1"/>
    <col min="7687" max="7687" width="44.88671875" customWidth="1"/>
    <col min="7688" max="7688" width="25.44140625" customWidth="1"/>
    <col min="7689" max="7689" width="27.6640625" customWidth="1"/>
    <col min="7690" max="7690" width="28.6640625" customWidth="1"/>
    <col min="7691" max="7691" width="30.109375" customWidth="1"/>
    <col min="7692" max="7692" width="22.88671875" customWidth="1"/>
    <col min="7693" max="7693" width="35.6640625" customWidth="1"/>
    <col min="7694" max="7694" width="40.6640625" customWidth="1"/>
    <col min="7695" max="7695" width="42.6640625" customWidth="1"/>
    <col min="7696" max="7696" width="43.6640625" customWidth="1"/>
    <col min="7697" max="7697" width="24.5546875" customWidth="1"/>
    <col min="7698" max="7707" width="8.88671875" customWidth="1"/>
    <col min="7914" max="7914" width="5" customWidth="1"/>
    <col min="7915" max="7915" width="31.6640625" customWidth="1"/>
    <col min="7916" max="7916" width="14.33203125" customWidth="1"/>
    <col min="7917" max="7918" width="13.6640625" customWidth="1"/>
    <col min="7919" max="7919" width="6.88671875" customWidth="1"/>
    <col min="7920" max="7920" width="41.33203125" customWidth="1"/>
    <col min="7921" max="7921" width="39.44140625" customWidth="1"/>
    <col min="7922" max="7922" width="36.5546875" customWidth="1"/>
    <col min="7923" max="7923" width="40.109375" customWidth="1"/>
    <col min="7924" max="7924" width="36.33203125" customWidth="1"/>
    <col min="7925" max="7925" width="39.5546875" customWidth="1"/>
    <col min="7926" max="7926" width="48.6640625" customWidth="1"/>
    <col min="7927" max="7927" width="29.33203125" customWidth="1"/>
    <col min="7928" max="7928" width="31.5546875" customWidth="1"/>
    <col min="7929" max="7929" width="32.5546875" customWidth="1"/>
    <col min="7930" max="7930" width="34" customWidth="1"/>
    <col min="7931" max="7931" width="26.6640625" customWidth="1"/>
    <col min="7932" max="7932" width="39.5546875" customWidth="1"/>
    <col min="7933" max="7933" width="44.5546875" customWidth="1"/>
    <col min="7934" max="7934" width="46.5546875" customWidth="1"/>
    <col min="7935" max="7935" width="47.5546875" customWidth="1"/>
    <col min="7936" max="7936" width="28.44140625" customWidth="1"/>
    <col min="7937" max="7937" width="37.44140625" customWidth="1"/>
    <col min="7938" max="7938" width="35.5546875" customWidth="1"/>
    <col min="7939" max="7939" width="32.6640625" customWidth="1"/>
    <col min="7940" max="7940" width="36.33203125" customWidth="1"/>
    <col min="7941" max="7941" width="32.44140625" customWidth="1"/>
    <col min="7942" max="7942" width="35.6640625" customWidth="1"/>
    <col min="7943" max="7943" width="44.88671875" customWidth="1"/>
    <col min="7944" max="7944" width="25.44140625" customWidth="1"/>
    <col min="7945" max="7945" width="27.6640625" customWidth="1"/>
    <col min="7946" max="7946" width="28.6640625" customWidth="1"/>
    <col min="7947" max="7947" width="30.109375" customWidth="1"/>
    <col min="7948" max="7948" width="22.88671875" customWidth="1"/>
    <col min="7949" max="7949" width="35.6640625" customWidth="1"/>
    <col min="7950" max="7950" width="40.6640625" customWidth="1"/>
    <col min="7951" max="7951" width="42.6640625" customWidth="1"/>
    <col min="7952" max="7952" width="43.6640625" customWidth="1"/>
    <col min="7953" max="7953" width="24.5546875" customWidth="1"/>
    <col min="7954" max="7963" width="8.88671875" customWidth="1"/>
    <col min="8170" max="8170" width="5" customWidth="1"/>
    <col min="8171" max="8171" width="31.6640625" customWidth="1"/>
    <col min="8172" max="8172" width="14.33203125" customWidth="1"/>
    <col min="8173" max="8174" width="13.6640625" customWidth="1"/>
    <col min="8175" max="8175" width="6.88671875" customWidth="1"/>
    <col min="8176" max="8176" width="41.33203125" customWidth="1"/>
    <col min="8177" max="8177" width="39.44140625" customWidth="1"/>
    <col min="8178" max="8178" width="36.5546875" customWidth="1"/>
    <col min="8179" max="8179" width="40.109375" customWidth="1"/>
    <col min="8180" max="8180" width="36.33203125" customWidth="1"/>
    <col min="8181" max="8181" width="39.5546875" customWidth="1"/>
    <col min="8182" max="8182" width="48.6640625" customWidth="1"/>
    <col min="8183" max="8183" width="29.33203125" customWidth="1"/>
    <col min="8184" max="8184" width="31.5546875" customWidth="1"/>
    <col min="8185" max="8185" width="32.5546875" customWidth="1"/>
    <col min="8186" max="8186" width="34" customWidth="1"/>
    <col min="8187" max="8187" width="26.6640625" customWidth="1"/>
    <col min="8188" max="8188" width="39.5546875" customWidth="1"/>
    <col min="8189" max="8189" width="44.5546875" customWidth="1"/>
    <col min="8190" max="8190" width="46.5546875" customWidth="1"/>
    <col min="8191" max="8191" width="47.5546875" customWidth="1"/>
    <col min="8192" max="8192" width="28.44140625" customWidth="1"/>
    <col min="8193" max="8193" width="37.44140625" customWidth="1"/>
    <col min="8194" max="8194" width="35.5546875" customWidth="1"/>
    <col min="8195" max="8195" width="32.6640625" customWidth="1"/>
    <col min="8196" max="8196" width="36.33203125" customWidth="1"/>
    <col min="8197" max="8197" width="32.44140625" customWidth="1"/>
    <col min="8198" max="8198" width="35.6640625" customWidth="1"/>
    <col min="8199" max="8199" width="44.88671875" customWidth="1"/>
    <col min="8200" max="8200" width="25.44140625" customWidth="1"/>
    <col min="8201" max="8201" width="27.6640625" customWidth="1"/>
    <col min="8202" max="8202" width="28.6640625" customWidth="1"/>
    <col min="8203" max="8203" width="30.109375" customWidth="1"/>
    <col min="8204" max="8204" width="22.88671875" customWidth="1"/>
    <col min="8205" max="8205" width="35.6640625" customWidth="1"/>
    <col min="8206" max="8206" width="40.6640625" customWidth="1"/>
    <col min="8207" max="8207" width="42.6640625" customWidth="1"/>
    <col min="8208" max="8208" width="43.6640625" customWidth="1"/>
    <col min="8209" max="8209" width="24.5546875" customWidth="1"/>
    <col min="8210" max="8219" width="8.88671875" customWidth="1"/>
    <col min="8426" max="8426" width="5" customWidth="1"/>
    <col min="8427" max="8427" width="31.6640625" customWidth="1"/>
    <col min="8428" max="8428" width="14.33203125" customWidth="1"/>
    <col min="8429" max="8430" width="13.6640625" customWidth="1"/>
    <col min="8431" max="8431" width="6.88671875" customWidth="1"/>
    <col min="8432" max="8432" width="41.33203125" customWidth="1"/>
    <col min="8433" max="8433" width="39.44140625" customWidth="1"/>
    <col min="8434" max="8434" width="36.5546875" customWidth="1"/>
    <col min="8435" max="8435" width="40.109375" customWidth="1"/>
    <col min="8436" max="8436" width="36.33203125" customWidth="1"/>
    <col min="8437" max="8437" width="39.5546875" customWidth="1"/>
    <col min="8438" max="8438" width="48.6640625" customWidth="1"/>
    <col min="8439" max="8439" width="29.33203125" customWidth="1"/>
    <col min="8440" max="8440" width="31.5546875" customWidth="1"/>
    <col min="8441" max="8441" width="32.5546875" customWidth="1"/>
    <col min="8442" max="8442" width="34" customWidth="1"/>
    <col min="8443" max="8443" width="26.6640625" customWidth="1"/>
    <col min="8444" max="8444" width="39.5546875" customWidth="1"/>
    <col min="8445" max="8445" width="44.5546875" customWidth="1"/>
    <col min="8446" max="8446" width="46.5546875" customWidth="1"/>
    <col min="8447" max="8447" width="47.5546875" customWidth="1"/>
    <col min="8448" max="8448" width="28.44140625" customWidth="1"/>
    <col min="8449" max="8449" width="37.44140625" customWidth="1"/>
    <col min="8450" max="8450" width="35.5546875" customWidth="1"/>
    <col min="8451" max="8451" width="32.6640625" customWidth="1"/>
    <col min="8452" max="8452" width="36.33203125" customWidth="1"/>
    <col min="8453" max="8453" width="32.44140625" customWidth="1"/>
    <col min="8454" max="8454" width="35.6640625" customWidth="1"/>
    <col min="8455" max="8455" width="44.88671875" customWidth="1"/>
    <col min="8456" max="8456" width="25.44140625" customWidth="1"/>
    <col min="8457" max="8457" width="27.6640625" customWidth="1"/>
    <col min="8458" max="8458" width="28.6640625" customWidth="1"/>
    <col min="8459" max="8459" width="30.109375" customWidth="1"/>
    <col min="8460" max="8460" width="22.88671875" customWidth="1"/>
    <col min="8461" max="8461" width="35.6640625" customWidth="1"/>
    <col min="8462" max="8462" width="40.6640625" customWidth="1"/>
    <col min="8463" max="8463" width="42.6640625" customWidth="1"/>
    <col min="8464" max="8464" width="43.6640625" customWidth="1"/>
    <col min="8465" max="8465" width="24.5546875" customWidth="1"/>
    <col min="8466" max="8475" width="8.88671875" customWidth="1"/>
    <col min="8682" max="8682" width="5" customWidth="1"/>
    <col min="8683" max="8683" width="31.6640625" customWidth="1"/>
    <col min="8684" max="8684" width="14.33203125" customWidth="1"/>
    <col min="8685" max="8686" width="13.6640625" customWidth="1"/>
    <col min="8687" max="8687" width="6.88671875" customWidth="1"/>
    <col min="8688" max="8688" width="41.33203125" customWidth="1"/>
    <col min="8689" max="8689" width="39.44140625" customWidth="1"/>
    <col min="8690" max="8690" width="36.5546875" customWidth="1"/>
    <col min="8691" max="8691" width="40.109375" customWidth="1"/>
    <col min="8692" max="8692" width="36.33203125" customWidth="1"/>
    <col min="8693" max="8693" width="39.5546875" customWidth="1"/>
    <col min="8694" max="8694" width="48.6640625" customWidth="1"/>
    <col min="8695" max="8695" width="29.33203125" customWidth="1"/>
    <col min="8696" max="8696" width="31.5546875" customWidth="1"/>
    <col min="8697" max="8697" width="32.5546875" customWidth="1"/>
    <col min="8698" max="8698" width="34" customWidth="1"/>
    <col min="8699" max="8699" width="26.6640625" customWidth="1"/>
    <col min="8700" max="8700" width="39.5546875" customWidth="1"/>
    <col min="8701" max="8701" width="44.5546875" customWidth="1"/>
    <col min="8702" max="8702" width="46.5546875" customWidth="1"/>
    <col min="8703" max="8703" width="47.5546875" customWidth="1"/>
    <col min="8704" max="8704" width="28.44140625" customWidth="1"/>
    <col min="8705" max="8705" width="37.44140625" customWidth="1"/>
    <col min="8706" max="8706" width="35.5546875" customWidth="1"/>
    <col min="8707" max="8707" width="32.6640625" customWidth="1"/>
    <col min="8708" max="8708" width="36.33203125" customWidth="1"/>
    <col min="8709" max="8709" width="32.44140625" customWidth="1"/>
    <col min="8710" max="8710" width="35.6640625" customWidth="1"/>
    <col min="8711" max="8711" width="44.88671875" customWidth="1"/>
    <col min="8712" max="8712" width="25.44140625" customWidth="1"/>
    <col min="8713" max="8713" width="27.6640625" customWidth="1"/>
    <col min="8714" max="8714" width="28.6640625" customWidth="1"/>
    <col min="8715" max="8715" width="30.109375" customWidth="1"/>
    <col min="8716" max="8716" width="22.88671875" customWidth="1"/>
    <col min="8717" max="8717" width="35.6640625" customWidth="1"/>
    <col min="8718" max="8718" width="40.6640625" customWidth="1"/>
    <col min="8719" max="8719" width="42.6640625" customWidth="1"/>
    <col min="8720" max="8720" width="43.6640625" customWidth="1"/>
    <col min="8721" max="8721" width="24.5546875" customWidth="1"/>
    <col min="8722" max="8731" width="8.88671875" customWidth="1"/>
    <col min="8938" max="8938" width="5" customWidth="1"/>
    <col min="8939" max="8939" width="31.6640625" customWidth="1"/>
    <col min="8940" max="8940" width="14.33203125" customWidth="1"/>
    <col min="8941" max="8942" width="13.6640625" customWidth="1"/>
    <col min="8943" max="8943" width="6.88671875" customWidth="1"/>
    <col min="8944" max="8944" width="41.33203125" customWidth="1"/>
    <col min="8945" max="8945" width="39.44140625" customWidth="1"/>
    <col min="8946" max="8946" width="36.5546875" customWidth="1"/>
    <col min="8947" max="8947" width="40.109375" customWidth="1"/>
    <col min="8948" max="8948" width="36.33203125" customWidth="1"/>
    <col min="8949" max="8949" width="39.5546875" customWidth="1"/>
    <col min="8950" max="8950" width="48.6640625" customWidth="1"/>
    <col min="8951" max="8951" width="29.33203125" customWidth="1"/>
    <col min="8952" max="8952" width="31.5546875" customWidth="1"/>
    <col min="8953" max="8953" width="32.5546875" customWidth="1"/>
    <col min="8954" max="8954" width="34" customWidth="1"/>
    <col min="8955" max="8955" width="26.6640625" customWidth="1"/>
    <col min="8956" max="8956" width="39.5546875" customWidth="1"/>
    <col min="8957" max="8957" width="44.5546875" customWidth="1"/>
    <col min="8958" max="8958" width="46.5546875" customWidth="1"/>
    <col min="8959" max="8959" width="47.5546875" customWidth="1"/>
    <col min="8960" max="8960" width="28.44140625" customWidth="1"/>
    <col min="8961" max="8961" width="37.44140625" customWidth="1"/>
    <col min="8962" max="8962" width="35.5546875" customWidth="1"/>
    <col min="8963" max="8963" width="32.6640625" customWidth="1"/>
    <col min="8964" max="8964" width="36.33203125" customWidth="1"/>
    <col min="8965" max="8965" width="32.44140625" customWidth="1"/>
    <col min="8966" max="8966" width="35.6640625" customWidth="1"/>
    <col min="8967" max="8967" width="44.88671875" customWidth="1"/>
    <col min="8968" max="8968" width="25.44140625" customWidth="1"/>
    <col min="8969" max="8969" width="27.6640625" customWidth="1"/>
    <col min="8970" max="8970" width="28.6640625" customWidth="1"/>
    <col min="8971" max="8971" width="30.109375" customWidth="1"/>
    <col min="8972" max="8972" width="22.88671875" customWidth="1"/>
    <col min="8973" max="8973" width="35.6640625" customWidth="1"/>
    <col min="8974" max="8974" width="40.6640625" customWidth="1"/>
    <col min="8975" max="8975" width="42.6640625" customWidth="1"/>
    <col min="8976" max="8976" width="43.6640625" customWidth="1"/>
    <col min="8977" max="8977" width="24.5546875" customWidth="1"/>
    <col min="8978" max="8987" width="8.88671875" customWidth="1"/>
    <col min="9194" max="9194" width="5" customWidth="1"/>
    <col min="9195" max="9195" width="31.6640625" customWidth="1"/>
    <col min="9196" max="9196" width="14.33203125" customWidth="1"/>
    <col min="9197" max="9198" width="13.6640625" customWidth="1"/>
    <col min="9199" max="9199" width="6.88671875" customWidth="1"/>
    <col min="9200" max="9200" width="41.33203125" customWidth="1"/>
    <col min="9201" max="9201" width="39.44140625" customWidth="1"/>
    <col min="9202" max="9202" width="36.5546875" customWidth="1"/>
    <col min="9203" max="9203" width="40.109375" customWidth="1"/>
    <col min="9204" max="9204" width="36.33203125" customWidth="1"/>
    <col min="9205" max="9205" width="39.5546875" customWidth="1"/>
    <col min="9206" max="9206" width="48.6640625" customWidth="1"/>
    <col min="9207" max="9207" width="29.33203125" customWidth="1"/>
    <col min="9208" max="9208" width="31.5546875" customWidth="1"/>
    <col min="9209" max="9209" width="32.5546875" customWidth="1"/>
    <col min="9210" max="9210" width="34" customWidth="1"/>
    <col min="9211" max="9211" width="26.6640625" customWidth="1"/>
    <col min="9212" max="9212" width="39.5546875" customWidth="1"/>
    <col min="9213" max="9213" width="44.5546875" customWidth="1"/>
    <col min="9214" max="9214" width="46.5546875" customWidth="1"/>
    <col min="9215" max="9215" width="47.5546875" customWidth="1"/>
    <col min="9216" max="9216" width="28.44140625" customWidth="1"/>
    <col min="9217" max="9217" width="37.44140625" customWidth="1"/>
    <col min="9218" max="9218" width="35.5546875" customWidth="1"/>
    <col min="9219" max="9219" width="32.6640625" customWidth="1"/>
    <col min="9220" max="9220" width="36.33203125" customWidth="1"/>
    <col min="9221" max="9221" width="32.44140625" customWidth="1"/>
    <col min="9222" max="9222" width="35.6640625" customWidth="1"/>
    <col min="9223" max="9223" width="44.88671875" customWidth="1"/>
    <col min="9224" max="9224" width="25.44140625" customWidth="1"/>
    <col min="9225" max="9225" width="27.6640625" customWidth="1"/>
    <col min="9226" max="9226" width="28.6640625" customWidth="1"/>
    <col min="9227" max="9227" width="30.109375" customWidth="1"/>
    <col min="9228" max="9228" width="22.88671875" customWidth="1"/>
    <col min="9229" max="9229" width="35.6640625" customWidth="1"/>
    <col min="9230" max="9230" width="40.6640625" customWidth="1"/>
    <col min="9231" max="9231" width="42.6640625" customWidth="1"/>
    <col min="9232" max="9232" width="43.6640625" customWidth="1"/>
    <col min="9233" max="9233" width="24.5546875" customWidth="1"/>
    <col min="9234" max="9243" width="8.88671875" customWidth="1"/>
    <col min="9450" max="9450" width="5" customWidth="1"/>
    <col min="9451" max="9451" width="31.6640625" customWidth="1"/>
    <col min="9452" max="9452" width="14.33203125" customWidth="1"/>
    <col min="9453" max="9454" width="13.6640625" customWidth="1"/>
    <col min="9455" max="9455" width="6.88671875" customWidth="1"/>
    <col min="9456" max="9456" width="41.33203125" customWidth="1"/>
    <col min="9457" max="9457" width="39.44140625" customWidth="1"/>
    <col min="9458" max="9458" width="36.5546875" customWidth="1"/>
    <col min="9459" max="9459" width="40.109375" customWidth="1"/>
    <col min="9460" max="9460" width="36.33203125" customWidth="1"/>
    <col min="9461" max="9461" width="39.5546875" customWidth="1"/>
    <col min="9462" max="9462" width="48.6640625" customWidth="1"/>
    <col min="9463" max="9463" width="29.33203125" customWidth="1"/>
    <col min="9464" max="9464" width="31.5546875" customWidth="1"/>
    <col min="9465" max="9465" width="32.5546875" customWidth="1"/>
    <col min="9466" max="9466" width="34" customWidth="1"/>
    <col min="9467" max="9467" width="26.6640625" customWidth="1"/>
    <col min="9468" max="9468" width="39.5546875" customWidth="1"/>
    <col min="9469" max="9469" width="44.5546875" customWidth="1"/>
    <col min="9470" max="9470" width="46.5546875" customWidth="1"/>
    <col min="9471" max="9471" width="47.5546875" customWidth="1"/>
    <col min="9472" max="9472" width="28.44140625" customWidth="1"/>
    <col min="9473" max="9473" width="37.44140625" customWidth="1"/>
    <col min="9474" max="9474" width="35.5546875" customWidth="1"/>
    <col min="9475" max="9475" width="32.6640625" customWidth="1"/>
    <col min="9476" max="9476" width="36.33203125" customWidth="1"/>
    <col min="9477" max="9477" width="32.44140625" customWidth="1"/>
    <col min="9478" max="9478" width="35.6640625" customWidth="1"/>
    <col min="9479" max="9479" width="44.88671875" customWidth="1"/>
    <col min="9480" max="9480" width="25.44140625" customWidth="1"/>
    <col min="9481" max="9481" width="27.6640625" customWidth="1"/>
    <col min="9482" max="9482" width="28.6640625" customWidth="1"/>
    <col min="9483" max="9483" width="30.109375" customWidth="1"/>
    <col min="9484" max="9484" width="22.88671875" customWidth="1"/>
    <col min="9485" max="9485" width="35.6640625" customWidth="1"/>
    <col min="9486" max="9486" width="40.6640625" customWidth="1"/>
    <col min="9487" max="9487" width="42.6640625" customWidth="1"/>
    <col min="9488" max="9488" width="43.6640625" customWidth="1"/>
    <col min="9489" max="9489" width="24.5546875" customWidth="1"/>
    <col min="9490" max="9499" width="8.88671875" customWidth="1"/>
    <col min="9706" max="9706" width="5" customWidth="1"/>
    <col min="9707" max="9707" width="31.6640625" customWidth="1"/>
    <col min="9708" max="9708" width="14.33203125" customWidth="1"/>
    <col min="9709" max="9710" width="13.6640625" customWidth="1"/>
    <col min="9711" max="9711" width="6.88671875" customWidth="1"/>
    <col min="9712" max="9712" width="41.33203125" customWidth="1"/>
    <col min="9713" max="9713" width="39.44140625" customWidth="1"/>
    <col min="9714" max="9714" width="36.5546875" customWidth="1"/>
    <col min="9715" max="9715" width="40.109375" customWidth="1"/>
    <col min="9716" max="9716" width="36.33203125" customWidth="1"/>
    <col min="9717" max="9717" width="39.5546875" customWidth="1"/>
    <col min="9718" max="9718" width="48.6640625" customWidth="1"/>
    <col min="9719" max="9719" width="29.33203125" customWidth="1"/>
    <col min="9720" max="9720" width="31.5546875" customWidth="1"/>
    <col min="9721" max="9721" width="32.5546875" customWidth="1"/>
    <col min="9722" max="9722" width="34" customWidth="1"/>
    <col min="9723" max="9723" width="26.6640625" customWidth="1"/>
    <col min="9724" max="9724" width="39.5546875" customWidth="1"/>
    <col min="9725" max="9725" width="44.5546875" customWidth="1"/>
    <col min="9726" max="9726" width="46.5546875" customWidth="1"/>
    <col min="9727" max="9727" width="47.5546875" customWidth="1"/>
    <col min="9728" max="9728" width="28.44140625" customWidth="1"/>
    <col min="9729" max="9729" width="37.44140625" customWidth="1"/>
    <col min="9730" max="9730" width="35.5546875" customWidth="1"/>
    <col min="9731" max="9731" width="32.6640625" customWidth="1"/>
    <col min="9732" max="9732" width="36.33203125" customWidth="1"/>
    <col min="9733" max="9733" width="32.44140625" customWidth="1"/>
    <col min="9734" max="9734" width="35.6640625" customWidth="1"/>
    <col min="9735" max="9735" width="44.88671875" customWidth="1"/>
    <col min="9736" max="9736" width="25.44140625" customWidth="1"/>
    <col min="9737" max="9737" width="27.6640625" customWidth="1"/>
    <col min="9738" max="9738" width="28.6640625" customWidth="1"/>
    <col min="9739" max="9739" width="30.109375" customWidth="1"/>
    <col min="9740" max="9740" width="22.88671875" customWidth="1"/>
    <col min="9741" max="9741" width="35.6640625" customWidth="1"/>
    <col min="9742" max="9742" width="40.6640625" customWidth="1"/>
    <col min="9743" max="9743" width="42.6640625" customWidth="1"/>
    <col min="9744" max="9744" width="43.6640625" customWidth="1"/>
    <col min="9745" max="9745" width="24.5546875" customWidth="1"/>
    <col min="9746" max="9755" width="8.88671875" customWidth="1"/>
    <col min="9962" max="9962" width="5" customWidth="1"/>
    <col min="9963" max="9963" width="31.6640625" customWidth="1"/>
    <col min="9964" max="9964" width="14.33203125" customWidth="1"/>
    <col min="9965" max="9966" width="13.6640625" customWidth="1"/>
    <col min="9967" max="9967" width="6.88671875" customWidth="1"/>
    <col min="9968" max="9968" width="41.33203125" customWidth="1"/>
    <col min="9969" max="9969" width="39.44140625" customWidth="1"/>
    <col min="9970" max="9970" width="36.5546875" customWidth="1"/>
    <col min="9971" max="9971" width="40.109375" customWidth="1"/>
    <col min="9972" max="9972" width="36.33203125" customWidth="1"/>
    <col min="9973" max="9973" width="39.5546875" customWidth="1"/>
    <col min="9974" max="9974" width="48.6640625" customWidth="1"/>
    <col min="9975" max="9975" width="29.33203125" customWidth="1"/>
    <col min="9976" max="9976" width="31.5546875" customWidth="1"/>
    <col min="9977" max="9977" width="32.5546875" customWidth="1"/>
    <col min="9978" max="9978" width="34" customWidth="1"/>
    <col min="9979" max="9979" width="26.6640625" customWidth="1"/>
    <col min="9980" max="9980" width="39.5546875" customWidth="1"/>
    <col min="9981" max="9981" width="44.5546875" customWidth="1"/>
    <col min="9982" max="9982" width="46.5546875" customWidth="1"/>
    <col min="9983" max="9983" width="47.5546875" customWidth="1"/>
    <col min="9984" max="9984" width="28.44140625" customWidth="1"/>
    <col min="9985" max="9985" width="37.44140625" customWidth="1"/>
    <col min="9986" max="9986" width="35.5546875" customWidth="1"/>
    <col min="9987" max="9987" width="32.6640625" customWidth="1"/>
    <col min="9988" max="9988" width="36.33203125" customWidth="1"/>
    <col min="9989" max="9989" width="32.44140625" customWidth="1"/>
    <col min="9990" max="9990" width="35.6640625" customWidth="1"/>
    <col min="9991" max="9991" width="44.88671875" customWidth="1"/>
    <col min="9992" max="9992" width="25.44140625" customWidth="1"/>
    <col min="9993" max="9993" width="27.6640625" customWidth="1"/>
    <col min="9994" max="9994" width="28.6640625" customWidth="1"/>
    <col min="9995" max="9995" width="30.109375" customWidth="1"/>
    <col min="9996" max="9996" width="22.88671875" customWidth="1"/>
    <col min="9997" max="9997" width="35.6640625" customWidth="1"/>
    <col min="9998" max="9998" width="40.6640625" customWidth="1"/>
    <col min="9999" max="9999" width="42.6640625" customWidth="1"/>
    <col min="10000" max="10000" width="43.6640625" customWidth="1"/>
    <col min="10001" max="10001" width="24.5546875" customWidth="1"/>
    <col min="10002" max="10011" width="8.88671875" customWidth="1"/>
    <col min="10218" max="10218" width="5" customWidth="1"/>
    <col min="10219" max="10219" width="31.6640625" customWidth="1"/>
    <col min="10220" max="10220" width="14.33203125" customWidth="1"/>
    <col min="10221" max="10222" width="13.6640625" customWidth="1"/>
    <col min="10223" max="10223" width="6.88671875" customWidth="1"/>
    <col min="10224" max="10224" width="41.33203125" customWidth="1"/>
    <col min="10225" max="10225" width="39.44140625" customWidth="1"/>
    <col min="10226" max="10226" width="36.5546875" customWidth="1"/>
    <col min="10227" max="10227" width="40.109375" customWidth="1"/>
    <col min="10228" max="10228" width="36.33203125" customWidth="1"/>
    <col min="10229" max="10229" width="39.5546875" customWidth="1"/>
    <col min="10230" max="10230" width="48.6640625" customWidth="1"/>
    <col min="10231" max="10231" width="29.33203125" customWidth="1"/>
    <col min="10232" max="10232" width="31.5546875" customWidth="1"/>
    <col min="10233" max="10233" width="32.5546875" customWidth="1"/>
    <col min="10234" max="10234" width="34" customWidth="1"/>
    <col min="10235" max="10235" width="26.6640625" customWidth="1"/>
    <col min="10236" max="10236" width="39.5546875" customWidth="1"/>
    <col min="10237" max="10237" width="44.5546875" customWidth="1"/>
    <col min="10238" max="10238" width="46.5546875" customWidth="1"/>
    <col min="10239" max="10239" width="47.5546875" customWidth="1"/>
    <col min="10240" max="10240" width="28.44140625" customWidth="1"/>
    <col min="10241" max="10241" width="37.44140625" customWidth="1"/>
    <col min="10242" max="10242" width="35.5546875" customWidth="1"/>
    <col min="10243" max="10243" width="32.6640625" customWidth="1"/>
    <col min="10244" max="10244" width="36.33203125" customWidth="1"/>
    <col min="10245" max="10245" width="32.44140625" customWidth="1"/>
    <col min="10246" max="10246" width="35.6640625" customWidth="1"/>
    <col min="10247" max="10247" width="44.88671875" customWidth="1"/>
    <col min="10248" max="10248" width="25.44140625" customWidth="1"/>
    <col min="10249" max="10249" width="27.6640625" customWidth="1"/>
    <col min="10250" max="10250" width="28.6640625" customWidth="1"/>
    <col min="10251" max="10251" width="30.109375" customWidth="1"/>
    <col min="10252" max="10252" width="22.88671875" customWidth="1"/>
    <col min="10253" max="10253" width="35.6640625" customWidth="1"/>
    <col min="10254" max="10254" width="40.6640625" customWidth="1"/>
    <col min="10255" max="10255" width="42.6640625" customWidth="1"/>
    <col min="10256" max="10256" width="43.6640625" customWidth="1"/>
    <col min="10257" max="10257" width="24.5546875" customWidth="1"/>
    <col min="10258" max="10267" width="8.88671875" customWidth="1"/>
    <col min="10474" max="10474" width="5" customWidth="1"/>
    <col min="10475" max="10475" width="31.6640625" customWidth="1"/>
    <col min="10476" max="10476" width="14.33203125" customWidth="1"/>
    <col min="10477" max="10478" width="13.6640625" customWidth="1"/>
    <col min="10479" max="10479" width="6.88671875" customWidth="1"/>
    <col min="10480" max="10480" width="41.33203125" customWidth="1"/>
    <col min="10481" max="10481" width="39.44140625" customWidth="1"/>
    <col min="10482" max="10482" width="36.5546875" customWidth="1"/>
    <col min="10483" max="10483" width="40.109375" customWidth="1"/>
    <col min="10484" max="10484" width="36.33203125" customWidth="1"/>
    <col min="10485" max="10485" width="39.5546875" customWidth="1"/>
    <col min="10486" max="10486" width="48.6640625" customWidth="1"/>
    <col min="10487" max="10487" width="29.33203125" customWidth="1"/>
    <col min="10488" max="10488" width="31.5546875" customWidth="1"/>
    <col min="10489" max="10489" width="32.5546875" customWidth="1"/>
    <col min="10490" max="10490" width="34" customWidth="1"/>
    <col min="10491" max="10491" width="26.6640625" customWidth="1"/>
    <col min="10492" max="10492" width="39.5546875" customWidth="1"/>
    <col min="10493" max="10493" width="44.5546875" customWidth="1"/>
    <col min="10494" max="10494" width="46.5546875" customWidth="1"/>
    <col min="10495" max="10495" width="47.5546875" customWidth="1"/>
    <col min="10496" max="10496" width="28.44140625" customWidth="1"/>
    <col min="10497" max="10497" width="37.44140625" customWidth="1"/>
    <col min="10498" max="10498" width="35.5546875" customWidth="1"/>
    <col min="10499" max="10499" width="32.6640625" customWidth="1"/>
    <col min="10500" max="10500" width="36.33203125" customWidth="1"/>
    <col min="10501" max="10501" width="32.44140625" customWidth="1"/>
    <col min="10502" max="10502" width="35.6640625" customWidth="1"/>
    <col min="10503" max="10503" width="44.88671875" customWidth="1"/>
    <col min="10504" max="10504" width="25.44140625" customWidth="1"/>
    <col min="10505" max="10505" width="27.6640625" customWidth="1"/>
    <col min="10506" max="10506" width="28.6640625" customWidth="1"/>
    <col min="10507" max="10507" width="30.109375" customWidth="1"/>
    <col min="10508" max="10508" width="22.88671875" customWidth="1"/>
    <col min="10509" max="10509" width="35.6640625" customWidth="1"/>
    <col min="10510" max="10510" width="40.6640625" customWidth="1"/>
    <col min="10511" max="10511" width="42.6640625" customWidth="1"/>
    <col min="10512" max="10512" width="43.6640625" customWidth="1"/>
    <col min="10513" max="10513" width="24.5546875" customWidth="1"/>
    <col min="10514" max="10523" width="8.88671875" customWidth="1"/>
    <col min="10730" max="10730" width="5" customWidth="1"/>
    <col min="10731" max="10731" width="31.6640625" customWidth="1"/>
    <col min="10732" max="10732" width="14.33203125" customWidth="1"/>
    <col min="10733" max="10734" width="13.6640625" customWidth="1"/>
    <col min="10735" max="10735" width="6.88671875" customWidth="1"/>
    <col min="10736" max="10736" width="41.33203125" customWidth="1"/>
    <col min="10737" max="10737" width="39.44140625" customWidth="1"/>
    <col min="10738" max="10738" width="36.5546875" customWidth="1"/>
    <col min="10739" max="10739" width="40.109375" customWidth="1"/>
    <col min="10740" max="10740" width="36.33203125" customWidth="1"/>
    <col min="10741" max="10741" width="39.5546875" customWidth="1"/>
    <col min="10742" max="10742" width="48.6640625" customWidth="1"/>
    <col min="10743" max="10743" width="29.33203125" customWidth="1"/>
    <col min="10744" max="10744" width="31.5546875" customWidth="1"/>
    <col min="10745" max="10745" width="32.5546875" customWidth="1"/>
    <col min="10746" max="10746" width="34" customWidth="1"/>
    <col min="10747" max="10747" width="26.6640625" customWidth="1"/>
    <col min="10748" max="10748" width="39.5546875" customWidth="1"/>
    <col min="10749" max="10749" width="44.5546875" customWidth="1"/>
    <col min="10750" max="10750" width="46.5546875" customWidth="1"/>
    <col min="10751" max="10751" width="47.5546875" customWidth="1"/>
    <col min="10752" max="10752" width="28.44140625" customWidth="1"/>
    <col min="10753" max="10753" width="37.44140625" customWidth="1"/>
    <col min="10754" max="10754" width="35.5546875" customWidth="1"/>
    <col min="10755" max="10755" width="32.6640625" customWidth="1"/>
    <col min="10756" max="10756" width="36.33203125" customWidth="1"/>
    <col min="10757" max="10757" width="32.44140625" customWidth="1"/>
    <col min="10758" max="10758" width="35.6640625" customWidth="1"/>
    <col min="10759" max="10759" width="44.88671875" customWidth="1"/>
    <col min="10760" max="10760" width="25.44140625" customWidth="1"/>
    <col min="10761" max="10761" width="27.6640625" customWidth="1"/>
    <col min="10762" max="10762" width="28.6640625" customWidth="1"/>
    <col min="10763" max="10763" width="30.109375" customWidth="1"/>
    <col min="10764" max="10764" width="22.88671875" customWidth="1"/>
    <col min="10765" max="10765" width="35.6640625" customWidth="1"/>
    <col min="10766" max="10766" width="40.6640625" customWidth="1"/>
    <col min="10767" max="10767" width="42.6640625" customWidth="1"/>
    <col min="10768" max="10768" width="43.6640625" customWidth="1"/>
    <col min="10769" max="10769" width="24.5546875" customWidth="1"/>
    <col min="10770" max="10779" width="8.88671875" customWidth="1"/>
    <col min="10986" max="10986" width="5" customWidth="1"/>
    <col min="10987" max="10987" width="31.6640625" customWidth="1"/>
    <col min="10988" max="10988" width="14.33203125" customWidth="1"/>
    <col min="10989" max="10990" width="13.6640625" customWidth="1"/>
    <col min="10991" max="10991" width="6.88671875" customWidth="1"/>
    <col min="10992" max="10992" width="41.33203125" customWidth="1"/>
    <col min="10993" max="10993" width="39.44140625" customWidth="1"/>
    <col min="10994" max="10994" width="36.5546875" customWidth="1"/>
    <col min="10995" max="10995" width="40.109375" customWidth="1"/>
    <col min="10996" max="10996" width="36.33203125" customWidth="1"/>
    <col min="10997" max="10997" width="39.5546875" customWidth="1"/>
    <col min="10998" max="10998" width="48.6640625" customWidth="1"/>
    <col min="10999" max="10999" width="29.33203125" customWidth="1"/>
    <col min="11000" max="11000" width="31.5546875" customWidth="1"/>
    <col min="11001" max="11001" width="32.5546875" customWidth="1"/>
    <col min="11002" max="11002" width="34" customWidth="1"/>
    <col min="11003" max="11003" width="26.6640625" customWidth="1"/>
    <col min="11004" max="11004" width="39.5546875" customWidth="1"/>
    <col min="11005" max="11005" width="44.5546875" customWidth="1"/>
    <col min="11006" max="11006" width="46.5546875" customWidth="1"/>
    <col min="11007" max="11007" width="47.5546875" customWidth="1"/>
    <col min="11008" max="11008" width="28.44140625" customWidth="1"/>
    <col min="11009" max="11009" width="37.44140625" customWidth="1"/>
    <col min="11010" max="11010" width="35.5546875" customWidth="1"/>
    <col min="11011" max="11011" width="32.6640625" customWidth="1"/>
    <col min="11012" max="11012" width="36.33203125" customWidth="1"/>
    <col min="11013" max="11013" width="32.44140625" customWidth="1"/>
    <col min="11014" max="11014" width="35.6640625" customWidth="1"/>
    <col min="11015" max="11015" width="44.88671875" customWidth="1"/>
    <col min="11016" max="11016" width="25.44140625" customWidth="1"/>
    <col min="11017" max="11017" width="27.6640625" customWidth="1"/>
    <col min="11018" max="11018" width="28.6640625" customWidth="1"/>
    <col min="11019" max="11019" width="30.109375" customWidth="1"/>
    <col min="11020" max="11020" width="22.88671875" customWidth="1"/>
    <col min="11021" max="11021" width="35.6640625" customWidth="1"/>
    <col min="11022" max="11022" width="40.6640625" customWidth="1"/>
    <col min="11023" max="11023" width="42.6640625" customWidth="1"/>
    <col min="11024" max="11024" width="43.6640625" customWidth="1"/>
    <col min="11025" max="11025" width="24.5546875" customWidth="1"/>
    <col min="11026" max="11035" width="8.88671875" customWidth="1"/>
    <col min="11242" max="11242" width="5" customWidth="1"/>
    <col min="11243" max="11243" width="31.6640625" customWidth="1"/>
    <col min="11244" max="11244" width="14.33203125" customWidth="1"/>
    <col min="11245" max="11246" width="13.6640625" customWidth="1"/>
    <col min="11247" max="11247" width="6.88671875" customWidth="1"/>
    <col min="11248" max="11248" width="41.33203125" customWidth="1"/>
    <col min="11249" max="11249" width="39.44140625" customWidth="1"/>
    <col min="11250" max="11250" width="36.5546875" customWidth="1"/>
    <col min="11251" max="11251" width="40.109375" customWidth="1"/>
    <col min="11252" max="11252" width="36.33203125" customWidth="1"/>
    <col min="11253" max="11253" width="39.5546875" customWidth="1"/>
    <col min="11254" max="11254" width="48.6640625" customWidth="1"/>
    <col min="11255" max="11255" width="29.33203125" customWidth="1"/>
    <col min="11256" max="11256" width="31.5546875" customWidth="1"/>
    <col min="11257" max="11257" width="32.5546875" customWidth="1"/>
    <col min="11258" max="11258" width="34" customWidth="1"/>
    <col min="11259" max="11259" width="26.6640625" customWidth="1"/>
    <col min="11260" max="11260" width="39.5546875" customWidth="1"/>
    <col min="11261" max="11261" width="44.5546875" customWidth="1"/>
    <col min="11262" max="11262" width="46.5546875" customWidth="1"/>
    <col min="11263" max="11263" width="47.5546875" customWidth="1"/>
    <col min="11264" max="11264" width="28.44140625" customWidth="1"/>
    <col min="11265" max="11265" width="37.44140625" customWidth="1"/>
    <col min="11266" max="11266" width="35.5546875" customWidth="1"/>
    <col min="11267" max="11267" width="32.6640625" customWidth="1"/>
    <col min="11268" max="11268" width="36.33203125" customWidth="1"/>
    <col min="11269" max="11269" width="32.44140625" customWidth="1"/>
    <col min="11270" max="11270" width="35.6640625" customWidth="1"/>
    <col min="11271" max="11271" width="44.88671875" customWidth="1"/>
    <col min="11272" max="11272" width="25.44140625" customWidth="1"/>
    <col min="11273" max="11273" width="27.6640625" customWidth="1"/>
    <col min="11274" max="11274" width="28.6640625" customWidth="1"/>
    <col min="11275" max="11275" width="30.109375" customWidth="1"/>
    <col min="11276" max="11276" width="22.88671875" customWidth="1"/>
    <col min="11277" max="11277" width="35.6640625" customWidth="1"/>
    <col min="11278" max="11278" width="40.6640625" customWidth="1"/>
    <col min="11279" max="11279" width="42.6640625" customWidth="1"/>
    <col min="11280" max="11280" width="43.6640625" customWidth="1"/>
    <col min="11281" max="11281" width="24.5546875" customWidth="1"/>
    <col min="11282" max="11291" width="8.88671875" customWidth="1"/>
    <col min="11498" max="11498" width="5" customWidth="1"/>
    <col min="11499" max="11499" width="31.6640625" customWidth="1"/>
    <col min="11500" max="11500" width="14.33203125" customWidth="1"/>
    <col min="11501" max="11502" width="13.6640625" customWidth="1"/>
    <col min="11503" max="11503" width="6.88671875" customWidth="1"/>
    <col min="11504" max="11504" width="41.33203125" customWidth="1"/>
    <col min="11505" max="11505" width="39.44140625" customWidth="1"/>
    <col min="11506" max="11506" width="36.5546875" customWidth="1"/>
    <col min="11507" max="11507" width="40.109375" customWidth="1"/>
    <col min="11508" max="11508" width="36.33203125" customWidth="1"/>
    <col min="11509" max="11509" width="39.5546875" customWidth="1"/>
    <col min="11510" max="11510" width="48.6640625" customWidth="1"/>
    <col min="11511" max="11511" width="29.33203125" customWidth="1"/>
    <col min="11512" max="11512" width="31.5546875" customWidth="1"/>
    <col min="11513" max="11513" width="32.5546875" customWidth="1"/>
    <col min="11514" max="11514" width="34" customWidth="1"/>
    <col min="11515" max="11515" width="26.6640625" customWidth="1"/>
    <col min="11516" max="11516" width="39.5546875" customWidth="1"/>
    <col min="11517" max="11517" width="44.5546875" customWidth="1"/>
    <col min="11518" max="11518" width="46.5546875" customWidth="1"/>
    <col min="11519" max="11519" width="47.5546875" customWidth="1"/>
    <col min="11520" max="11520" width="28.44140625" customWidth="1"/>
    <col min="11521" max="11521" width="37.44140625" customWidth="1"/>
    <col min="11522" max="11522" width="35.5546875" customWidth="1"/>
    <col min="11523" max="11523" width="32.6640625" customWidth="1"/>
    <col min="11524" max="11524" width="36.33203125" customWidth="1"/>
    <col min="11525" max="11525" width="32.44140625" customWidth="1"/>
    <col min="11526" max="11526" width="35.6640625" customWidth="1"/>
    <col min="11527" max="11527" width="44.88671875" customWidth="1"/>
    <col min="11528" max="11528" width="25.44140625" customWidth="1"/>
    <col min="11529" max="11529" width="27.6640625" customWidth="1"/>
    <col min="11530" max="11530" width="28.6640625" customWidth="1"/>
    <col min="11531" max="11531" width="30.109375" customWidth="1"/>
    <col min="11532" max="11532" width="22.88671875" customWidth="1"/>
    <col min="11533" max="11533" width="35.6640625" customWidth="1"/>
    <col min="11534" max="11534" width="40.6640625" customWidth="1"/>
    <col min="11535" max="11535" width="42.6640625" customWidth="1"/>
    <col min="11536" max="11536" width="43.6640625" customWidth="1"/>
    <col min="11537" max="11537" width="24.5546875" customWidth="1"/>
    <col min="11538" max="11547" width="8.88671875" customWidth="1"/>
    <col min="11754" max="11754" width="5" customWidth="1"/>
    <col min="11755" max="11755" width="31.6640625" customWidth="1"/>
    <col min="11756" max="11756" width="14.33203125" customWidth="1"/>
    <col min="11757" max="11758" width="13.6640625" customWidth="1"/>
    <col min="11759" max="11759" width="6.88671875" customWidth="1"/>
    <col min="11760" max="11760" width="41.33203125" customWidth="1"/>
    <col min="11761" max="11761" width="39.44140625" customWidth="1"/>
    <col min="11762" max="11762" width="36.5546875" customWidth="1"/>
    <col min="11763" max="11763" width="40.109375" customWidth="1"/>
    <col min="11764" max="11764" width="36.33203125" customWidth="1"/>
    <col min="11765" max="11765" width="39.5546875" customWidth="1"/>
    <col min="11766" max="11766" width="48.6640625" customWidth="1"/>
    <col min="11767" max="11767" width="29.33203125" customWidth="1"/>
    <col min="11768" max="11768" width="31.5546875" customWidth="1"/>
    <col min="11769" max="11769" width="32.5546875" customWidth="1"/>
    <col min="11770" max="11770" width="34" customWidth="1"/>
    <col min="11771" max="11771" width="26.6640625" customWidth="1"/>
    <col min="11772" max="11772" width="39.5546875" customWidth="1"/>
    <col min="11773" max="11773" width="44.5546875" customWidth="1"/>
    <col min="11774" max="11774" width="46.5546875" customWidth="1"/>
    <col min="11775" max="11775" width="47.5546875" customWidth="1"/>
    <col min="11776" max="11776" width="28.44140625" customWidth="1"/>
    <col min="11777" max="11777" width="37.44140625" customWidth="1"/>
    <col min="11778" max="11778" width="35.5546875" customWidth="1"/>
    <col min="11779" max="11779" width="32.6640625" customWidth="1"/>
    <col min="11780" max="11780" width="36.33203125" customWidth="1"/>
    <col min="11781" max="11781" width="32.44140625" customWidth="1"/>
    <col min="11782" max="11782" width="35.6640625" customWidth="1"/>
    <col min="11783" max="11783" width="44.88671875" customWidth="1"/>
    <col min="11784" max="11784" width="25.44140625" customWidth="1"/>
    <col min="11785" max="11785" width="27.6640625" customWidth="1"/>
    <col min="11786" max="11786" width="28.6640625" customWidth="1"/>
    <col min="11787" max="11787" width="30.109375" customWidth="1"/>
    <col min="11788" max="11788" width="22.88671875" customWidth="1"/>
    <col min="11789" max="11789" width="35.6640625" customWidth="1"/>
    <col min="11790" max="11790" width="40.6640625" customWidth="1"/>
    <col min="11791" max="11791" width="42.6640625" customWidth="1"/>
    <col min="11792" max="11792" width="43.6640625" customWidth="1"/>
    <col min="11793" max="11793" width="24.5546875" customWidth="1"/>
    <col min="11794" max="11803" width="8.88671875" customWidth="1"/>
    <col min="12010" max="12010" width="5" customWidth="1"/>
    <col min="12011" max="12011" width="31.6640625" customWidth="1"/>
    <col min="12012" max="12012" width="14.33203125" customWidth="1"/>
    <col min="12013" max="12014" width="13.6640625" customWidth="1"/>
    <col min="12015" max="12015" width="6.88671875" customWidth="1"/>
    <col min="12016" max="12016" width="41.33203125" customWidth="1"/>
    <col min="12017" max="12017" width="39.44140625" customWidth="1"/>
    <col min="12018" max="12018" width="36.5546875" customWidth="1"/>
    <col min="12019" max="12019" width="40.109375" customWidth="1"/>
    <col min="12020" max="12020" width="36.33203125" customWidth="1"/>
    <col min="12021" max="12021" width="39.5546875" customWidth="1"/>
    <col min="12022" max="12022" width="48.6640625" customWidth="1"/>
    <col min="12023" max="12023" width="29.33203125" customWidth="1"/>
    <col min="12024" max="12024" width="31.5546875" customWidth="1"/>
    <col min="12025" max="12025" width="32.5546875" customWidth="1"/>
    <col min="12026" max="12026" width="34" customWidth="1"/>
    <col min="12027" max="12027" width="26.6640625" customWidth="1"/>
    <col min="12028" max="12028" width="39.5546875" customWidth="1"/>
    <col min="12029" max="12029" width="44.5546875" customWidth="1"/>
    <col min="12030" max="12030" width="46.5546875" customWidth="1"/>
    <col min="12031" max="12031" width="47.5546875" customWidth="1"/>
    <col min="12032" max="12032" width="28.44140625" customWidth="1"/>
    <col min="12033" max="12033" width="37.44140625" customWidth="1"/>
    <col min="12034" max="12034" width="35.5546875" customWidth="1"/>
    <col min="12035" max="12035" width="32.6640625" customWidth="1"/>
    <col min="12036" max="12036" width="36.33203125" customWidth="1"/>
    <col min="12037" max="12037" width="32.44140625" customWidth="1"/>
    <col min="12038" max="12038" width="35.6640625" customWidth="1"/>
    <col min="12039" max="12039" width="44.88671875" customWidth="1"/>
    <col min="12040" max="12040" width="25.44140625" customWidth="1"/>
    <col min="12041" max="12041" width="27.6640625" customWidth="1"/>
    <col min="12042" max="12042" width="28.6640625" customWidth="1"/>
    <col min="12043" max="12043" width="30.109375" customWidth="1"/>
    <col min="12044" max="12044" width="22.88671875" customWidth="1"/>
    <col min="12045" max="12045" width="35.6640625" customWidth="1"/>
    <col min="12046" max="12046" width="40.6640625" customWidth="1"/>
    <col min="12047" max="12047" width="42.6640625" customWidth="1"/>
    <col min="12048" max="12048" width="43.6640625" customWidth="1"/>
    <col min="12049" max="12049" width="24.5546875" customWidth="1"/>
    <col min="12050" max="12059" width="8.88671875" customWidth="1"/>
    <col min="12266" max="12266" width="5" customWidth="1"/>
    <col min="12267" max="12267" width="31.6640625" customWidth="1"/>
    <col min="12268" max="12268" width="14.33203125" customWidth="1"/>
    <col min="12269" max="12270" width="13.6640625" customWidth="1"/>
    <col min="12271" max="12271" width="6.88671875" customWidth="1"/>
    <col min="12272" max="12272" width="41.33203125" customWidth="1"/>
    <col min="12273" max="12273" width="39.44140625" customWidth="1"/>
    <col min="12274" max="12274" width="36.5546875" customWidth="1"/>
    <col min="12275" max="12275" width="40.109375" customWidth="1"/>
    <col min="12276" max="12276" width="36.33203125" customWidth="1"/>
    <col min="12277" max="12277" width="39.5546875" customWidth="1"/>
    <col min="12278" max="12278" width="48.6640625" customWidth="1"/>
    <col min="12279" max="12279" width="29.33203125" customWidth="1"/>
    <col min="12280" max="12280" width="31.5546875" customWidth="1"/>
    <col min="12281" max="12281" width="32.5546875" customWidth="1"/>
    <col min="12282" max="12282" width="34" customWidth="1"/>
    <col min="12283" max="12283" width="26.6640625" customWidth="1"/>
    <col min="12284" max="12284" width="39.5546875" customWidth="1"/>
    <col min="12285" max="12285" width="44.5546875" customWidth="1"/>
    <col min="12286" max="12286" width="46.5546875" customWidth="1"/>
    <col min="12287" max="12287" width="47.5546875" customWidth="1"/>
    <col min="12288" max="12288" width="28.44140625" customWidth="1"/>
    <col min="12289" max="12289" width="37.44140625" customWidth="1"/>
    <col min="12290" max="12290" width="35.5546875" customWidth="1"/>
    <col min="12291" max="12291" width="32.6640625" customWidth="1"/>
    <col min="12292" max="12292" width="36.33203125" customWidth="1"/>
    <col min="12293" max="12293" width="32.44140625" customWidth="1"/>
    <col min="12294" max="12294" width="35.6640625" customWidth="1"/>
    <col min="12295" max="12295" width="44.88671875" customWidth="1"/>
    <col min="12296" max="12296" width="25.44140625" customWidth="1"/>
    <col min="12297" max="12297" width="27.6640625" customWidth="1"/>
    <col min="12298" max="12298" width="28.6640625" customWidth="1"/>
    <col min="12299" max="12299" width="30.109375" customWidth="1"/>
    <col min="12300" max="12300" width="22.88671875" customWidth="1"/>
    <col min="12301" max="12301" width="35.6640625" customWidth="1"/>
    <col min="12302" max="12302" width="40.6640625" customWidth="1"/>
    <col min="12303" max="12303" width="42.6640625" customWidth="1"/>
    <col min="12304" max="12304" width="43.6640625" customWidth="1"/>
    <col min="12305" max="12305" width="24.5546875" customWidth="1"/>
    <col min="12306" max="12315" width="8.88671875" customWidth="1"/>
    <col min="12522" max="12522" width="5" customWidth="1"/>
    <col min="12523" max="12523" width="31.6640625" customWidth="1"/>
    <col min="12524" max="12524" width="14.33203125" customWidth="1"/>
    <col min="12525" max="12526" width="13.6640625" customWidth="1"/>
    <col min="12527" max="12527" width="6.88671875" customWidth="1"/>
    <col min="12528" max="12528" width="41.33203125" customWidth="1"/>
    <col min="12529" max="12529" width="39.44140625" customWidth="1"/>
    <col min="12530" max="12530" width="36.5546875" customWidth="1"/>
    <col min="12531" max="12531" width="40.109375" customWidth="1"/>
    <col min="12532" max="12532" width="36.33203125" customWidth="1"/>
    <col min="12533" max="12533" width="39.5546875" customWidth="1"/>
    <col min="12534" max="12534" width="48.6640625" customWidth="1"/>
    <col min="12535" max="12535" width="29.33203125" customWidth="1"/>
    <col min="12536" max="12536" width="31.5546875" customWidth="1"/>
    <col min="12537" max="12537" width="32.5546875" customWidth="1"/>
    <col min="12538" max="12538" width="34" customWidth="1"/>
    <col min="12539" max="12539" width="26.6640625" customWidth="1"/>
    <col min="12540" max="12540" width="39.5546875" customWidth="1"/>
    <col min="12541" max="12541" width="44.5546875" customWidth="1"/>
    <col min="12542" max="12542" width="46.5546875" customWidth="1"/>
    <col min="12543" max="12543" width="47.5546875" customWidth="1"/>
    <col min="12544" max="12544" width="28.44140625" customWidth="1"/>
    <col min="12545" max="12545" width="37.44140625" customWidth="1"/>
    <col min="12546" max="12546" width="35.5546875" customWidth="1"/>
    <col min="12547" max="12547" width="32.6640625" customWidth="1"/>
    <col min="12548" max="12548" width="36.33203125" customWidth="1"/>
    <col min="12549" max="12549" width="32.44140625" customWidth="1"/>
    <col min="12550" max="12550" width="35.6640625" customWidth="1"/>
    <col min="12551" max="12551" width="44.88671875" customWidth="1"/>
    <col min="12552" max="12552" width="25.44140625" customWidth="1"/>
    <col min="12553" max="12553" width="27.6640625" customWidth="1"/>
    <col min="12554" max="12554" width="28.6640625" customWidth="1"/>
    <col min="12555" max="12555" width="30.109375" customWidth="1"/>
    <col min="12556" max="12556" width="22.88671875" customWidth="1"/>
    <col min="12557" max="12557" width="35.6640625" customWidth="1"/>
    <col min="12558" max="12558" width="40.6640625" customWidth="1"/>
    <col min="12559" max="12559" width="42.6640625" customWidth="1"/>
    <col min="12560" max="12560" width="43.6640625" customWidth="1"/>
    <col min="12561" max="12561" width="24.5546875" customWidth="1"/>
    <col min="12562" max="12571" width="8.88671875" customWidth="1"/>
    <col min="12778" max="12778" width="5" customWidth="1"/>
    <col min="12779" max="12779" width="31.6640625" customWidth="1"/>
    <col min="12780" max="12780" width="14.33203125" customWidth="1"/>
    <col min="12781" max="12782" width="13.6640625" customWidth="1"/>
    <col min="12783" max="12783" width="6.88671875" customWidth="1"/>
    <col min="12784" max="12784" width="41.33203125" customWidth="1"/>
    <col min="12785" max="12785" width="39.44140625" customWidth="1"/>
    <col min="12786" max="12786" width="36.5546875" customWidth="1"/>
    <col min="12787" max="12787" width="40.109375" customWidth="1"/>
    <col min="12788" max="12788" width="36.33203125" customWidth="1"/>
    <col min="12789" max="12789" width="39.5546875" customWidth="1"/>
    <col min="12790" max="12790" width="48.6640625" customWidth="1"/>
    <col min="12791" max="12791" width="29.33203125" customWidth="1"/>
    <col min="12792" max="12792" width="31.5546875" customWidth="1"/>
    <col min="12793" max="12793" width="32.5546875" customWidth="1"/>
    <col min="12794" max="12794" width="34" customWidth="1"/>
    <col min="12795" max="12795" width="26.6640625" customWidth="1"/>
    <col min="12796" max="12796" width="39.5546875" customWidth="1"/>
    <col min="12797" max="12797" width="44.5546875" customWidth="1"/>
    <col min="12798" max="12798" width="46.5546875" customWidth="1"/>
    <col min="12799" max="12799" width="47.5546875" customWidth="1"/>
    <col min="12800" max="12800" width="28.44140625" customWidth="1"/>
    <col min="12801" max="12801" width="37.44140625" customWidth="1"/>
    <col min="12802" max="12802" width="35.5546875" customWidth="1"/>
    <col min="12803" max="12803" width="32.6640625" customWidth="1"/>
    <col min="12804" max="12804" width="36.33203125" customWidth="1"/>
    <col min="12805" max="12805" width="32.44140625" customWidth="1"/>
    <col min="12806" max="12806" width="35.6640625" customWidth="1"/>
    <col min="12807" max="12807" width="44.88671875" customWidth="1"/>
    <col min="12808" max="12808" width="25.44140625" customWidth="1"/>
    <col min="12809" max="12809" width="27.6640625" customWidth="1"/>
    <col min="12810" max="12810" width="28.6640625" customWidth="1"/>
    <col min="12811" max="12811" width="30.109375" customWidth="1"/>
    <col min="12812" max="12812" width="22.88671875" customWidth="1"/>
    <col min="12813" max="12813" width="35.6640625" customWidth="1"/>
    <col min="12814" max="12814" width="40.6640625" customWidth="1"/>
    <col min="12815" max="12815" width="42.6640625" customWidth="1"/>
    <col min="12816" max="12816" width="43.6640625" customWidth="1"/>
    <col min="12817" max="12817" width="24.5546875" customWidth="1"/>
    <col min="12818" max="12827" width="8.88671875" customWidth="1"/>
    <col min="13034" max="13034" width="5" customWidth="1"/>
    <col min="13035" max="13035" width="31.6640625" customWidth="1"/>
    <col min="13036" max="13036" width="14.33203125" customWidth="1"/>
    <col min="13037" max="13038" width="13.6640625" customWidth="1"/>
    <col min="13039" max="13039" width="6.88671875" customWidth="1"/>
    <col min="13040" max="13040" width="41.33203125" customWidth="1"/>
    <col min="13041" max="13041" width="39.44140625" customWidth="1"/>
    <col min="13042" max="13042" width="36.5546875" customWidth="1"/>
    <col min="13043" max="13043" width="40.109375" customWidth="1"/>
    <col min="13044" max="13044" width="36.33203125" customWidth="1"/>
    <col min="13045" max="13045" width="39.5546875" customWidth="1"/>
    <col min="13046" max="13046" width="48.6640625" customWidth="1"/>
    <col min="13047" max="13047" width="29.33203125" customWidth="1"/>
    <col min="13048" max="13048" width="31.5546875" customWidth="1"/>
    <col min="13049" max="13049" width="32.5546875" customWidth="1"/>
    <col min="13050" max="13050" width="34" customWidth="1"/>
    <col min="13051" max="13051" width="26.6640625" customWidth="1"/>
    <col min="13052" max="13052" width="39.5546875" customWidth="1"/>
    <col min="13053" max="13053" width="44.5546875" customWidth="1"/>
    <col min="13054" max="13054" width="46.5546875" customWidth="1"/>
    <col min="13055" max="13055" width="47.5546875" customWidth="1"/>
    <col min="13056" max="13056" width="28.44140625" customWidth="1"/>
    <col min="13057" max="13057" width="37.44140625" customWidth="1"/>
    <col min="13058" max="13058" width="35.5546875" customWidth="1"/>
    <col min="13059" max="13059" width="32.6640625" customWidth="1"/>
    <col min="13060" max="13060" width="36.33203125" customWidth="1"/>
    <col min="13061" max="13061" width="32.44140625" customWidth="1"/>
    <col min="13062" max="13062" width="35.6640625" customWidth="1"/>
    <col min="13063" max="13063" width="44.88671875" customWidth="1"/>
    <col min="13064" max="13064" width="25.44140625" customWidth="1"/>
    <col min="13065" max="13065" width="27.6640625" customWidth="1"/>
    <col min="13066" max="13066" width="28.6640625" customWidth="1"/>
    <col min="13067" max="13067" width="30.109375" customWidth="1"/>
    <col min="13068" max="13068" width="22.88671875" customWidth="1"/>
    <col min="13069" max="13069" width="35.6640625" customWidth="1"/>
    <col min="13070" max="13070" width="40.6640625" customWidth="1"/>
    <col min="13071" max="13071" width="42.6640625" customWidth="1"/>
    <col min="13072" max="13072" width="43.6640625" customWidth="1"/>
    <col min="13073" max="13073" width="24.5546875" customWidth="1"/>
    <col min="13074" max="13083" width="8.88671875" customWidth="1"/>
    <col min="13290" max="13290" width="5" customWidth="1"/>
    <col min="13291" max="13291" width="31.6640625" customWidth="1"/>
    <col min="13292" max="13292" width="14.33203125" customWidth="1"/>
    <col min="13293" max="13294" width="13.6640625" customWidth="1"/>
    <col min="13295" max="13295" width="6.88671875" customWidth="1"/>
    <col min="13296" max="13296" width="41.33203125" customWidth="1"/>
    <col min="13297" max="13297" width="39.44140625" customWidth="1"/>
    <col min="13298" max="13298" width="36.5546875" customWidth="1"/>
    <col min="13299" max="13299" width="40.109375" customWidth="1"/>
    <col min="13300" max="13300" width="36.33203125" customWidth="1"/>
    <col min="13301" max="13301" width="39.5546875" customWidth="1"/>
    <col min="13302" max="13302" width="48.6640625" customWidth="1"/>
    <col min="13303" max="13303" width="29.33203125" customWidth="1"/>
    <col min="13304" max="13304" width="31.5546875" customWidth="1"/>
    <col min="13305" max="13305" width="32.5546875" customWidth="1"/>
    <col min="13306" max="13306" width="34" customWidth="1"/>
    <col min="13307" max="13307" width="26.6640625" customWidth="1"/>
    <col min="13308" max="13308" width="39.5546875" customWidth="1"/>
    <col min="13309" max="13309" width="44.5546875" customWidth="1"/>
    <col min="13310" max="13310" width="46.5546875" customWidth="1"/>
    <col min="13311" max="13311" width="47.5546875" customWidth="1"/>
    <col min="13312" max="13312" width="28.44140625" customWidth="1"/>
    <col min="13313" max="13313" width="37.44140625" customWidth="1"/>
    <col min="13314" max="13314" width="35.5546875" customWidth="1"/>
    <col min="13315" max="13315" width="32.6640625" customWidth="1"/>
    <col min="13316" max="13316" width="36.33203125" customWidth="1"/>
    <col min="13317" max="13317" width="32.44140625" customWidth="1"/>
    <col min="13318" max="13318" width="35.6640625" customWidth="1"/>
    <col min="13319" max="13319" width="44.88671875" customWidth="1"/>
    <col min="13320" max="13320" width="25.44140625" customWidth="1"/>
    <col min="13321" max="13321" width="27.6640625" customWidth="1"/>
    <col min="13322" max="13322" width="28.6640625" customWidth="1"/>
    <col min="13323" max="13323" width="30.109375" customWidth="1"/>
    <col min="13324" max="13324" width="22.88671875" customWidth="1"/>
    <col min="13325" max="13325" width="35.6640625" customWidth="1"/>
    <col min="13326" max="13326" width="40.6640625" customWidth="1"/>
    <col min="13327" max="13327" width="42.6640625" customWidth="1"/>
    <col min="13328" max="13328" width="43.6640625" customWidth="1"/>
    <col min="13329" max="13329" width="24.5546875" customWidth="1"/>
    <col min="13330" max="13339" width="8.88671875" customWidth="1"/>
    <col min="13546" max="13546" width="5" customWidth="1"/>
    <col min="13547" max="13547" width="31.6640625" customWidth="1"/>
    <col min="13548" max="13548" width="14.33203125" customWidth="1"/>
    <col min="13549" max="13550" width="13.6640625" customWidth="1"/>
    <col min="13551" max="13551" width="6.88671875" customWidth="1"/>
    <col min="13552" max="13552" width="41.33203125" customWidth="1"/>
    <col min="13553" max="13553" width="39.44140625" customWidth="1"/>
    <col min="13554" max="13554" width="36.5546875" customWidth="1"/>
    <col min="13555" max="13555" width="40.109375" customWidth="1"/>
    <col min="13556" max="13556" width="36.33203125" customWidth="1"/>
    <col min="13557" max="13557" width="39.5546875" customWidth="1"/>
    <col min="13558" max="13558" width="48.6640625" customWidth="1"/>
    <col min="13559" max="13559" width="29.33203125" customWidth="1"/>
    <col min="13560" max="13560" width="31.5546875" customWidth="1"/>
    <col min="13561" max="13561" width="32.5546875" customWidth="1"/>
    <col min="13562" max="13562" width="34" customWidth="1"/>
    <col min="13563" max="13563" width="26.6640625" customWidth="1"/>
    <col min="13564" max="13564" width="39.5546875" customWidth="1"/>
    <col min="13565" max="13565" width="44.5546875" customWidth="1"/>
    <col min="13566" max="13566" width="46.5546875" customWidth="1"/>
    <col min="13567" max="13567" width="47.5546875" customWidth="1"/>
    <col min="13568" max="13568" width="28.44140625" customWidth="1"/>
    <col min="13569" max="13569" width="37.44140625" customWidth="1"/>
    <col min="13570" max="13570" width="35.5546875" customWidth="1"/>
    <col min="13571" max="13571" width="32.6640625" customWidth="1"/>
    <col min="13572" max="13572" width="36.33203125" customWidth="1"/>
    <col min="13573" max="13573" width="32.44140625" customWidth="1"/>
    <col min="13574" max="13574" width="35.6640625" customWidth="1"/>
    <col min="13575" max="13575" width="44.88671875" customWidth="1"/>
    <col min="13576" max="13576" width="25.44140625" customWidth="1"/>
    <col min="13577" max="13577" width="27.6640625" customWidth="1"/>
    <col min="13578" max="13578" width="28.6640625" customWidth="1"/>
    <col min="13579" max="13579" width="30.109375" customWidth="1"/>
    <col min="13580" max="13580" width="22.88671875" customWidth="1"/>
    <col min="13581" max="13581" width="35.6640625" customWidth="1"/>
    <col min="13582" max="13582" width="40.6640625" customWidth="1"/>
    <col min="13583" max="13583" width="42.6640625" customWidth="1"/>
    <col min="13584" max="13584" width="43.6640625" customWidth="1"/>
    <col min="13585" max="13585" width="24.5546875" customWidth="1"/>
    <col min="13586" max="13595" width="8.88671875" customWidth="1"/>
    <col min="13802" max="13802" width="5" customWidth="1"/>
    <col min="13803" max="13803" width="31.6640625" customWidth="1"/>
    <col min="13804" max="13804" width="14.33203125" customWidth="1"/>
    <col min="13805" max="13806" width="13.6640625" customWidth="1"/>
    <col min="13807" max="13807" width="6.88671875" customWidth="1"/>
    <col min="13808" max="13808" width="41.33203125" customWidth="1"/>
    <col min="13809" max="13809" width="39.44140625" customWidth="1"/>
    <col min="13810" max="13810" width="36.5546875" customWidth="1"/>
    <col min="13811" max="13811" width="40.109375" customWidth="1"/>
    <col min="13812" max="13812" width="36.33203125" customWidth="1"/>
    <col min="13813" max="13813" width="39.5546875" customWidth="1"/>
    <col min="13814" max="13814" width="48.6640625" customWidth="1"/>
    <col min="13815" max="13815" width="29.33203125" customWidth="1"/>
    <col min="13816" max="13816" width="31.5546875" customWidth="1"/>
    <col min="13817" max="13817" width="32.5546875" customWidth="1"/>
    <col min="13818" max="13818" width="34" customWidth="1"/>
    <col min="13819" max="13819" width="26.6640625" customWidth="1"/>
    <col min="13820" max="13820" width="39.5546875" customWidth="1"/>
    <col min="13821" max="13821" width="44.5546875" customWidth="1"/>
    <col min="13822" max="13822" width="46.5546875" customWidth="1"/>
    <col min="13823" max="13823" width="47.5546875" customWidth="1"/>
    <col min="13824" max="13824" width="28.44140625" customWidth="1"/>
    <col min="13825" max="13825" width="37.44140625" customWidth="1"/>
    <col min="13826" max="13826" width="35.5546875" customWidth="1"/>
    <col min="13827" max="13827" width="32.6640625" customWidth="1"/>
    <col min="13828" max="13828" width="36.33203125" customWidth="1"/>
    <col min="13829" max="13829" width="32.44140625" customWidth="1"/>
    <col min="13830" max="13830" width="35.6640625" customWidth="1"/>
    <col min="13831" max="13831" width="44.88671875" customWidth="1"/>
    <col min="13832" max="13832" width="25.44140625" customWidth="1"/>
    <col min="13833" max="13833" width="27.6640625" customWidth="1"/>
    <col min="13834" max="13834" width="28.6640625" customWidth="1"/>
    <col min="13835" max="13835" width="30.109375" customWidth="1"/>
    <col min="13836" max="13836" width="22.88671875" customWidth="1"/>
    <col min="13837" max="13837" width="35.6640625" customWidth="1"/>
    <col min="13838" max="13838" width="40.6640625" customWidth="1"/>
    <col min="13839" max="13839" width="42.6640625" customWidth="1"/>
    <col min="13840" max="13840" width="43.6640625" customWidth="1"/>
    <col min="13841" max="13841" width="24.5546875" customWidth="1"/>
    <col min="13842" max="13851" width="8.88671875" customWidth="1"/>
    <col min="14058" max="14058" width="5" customWidth="1"/>
    <col min="14059" max="14059" width="31.6640625" customWidth="1"/>
    <col min="14060" max="14060" width="14.33203125" customWidth="1"/>
    <col min="14061" max="14062" width="13.6640625" customWidth="1"/>
    <col min="14063" max="14063" width="6.88671875" customWidth="1"/>
    <col min="14064" max="14064" width="41.33203125" customWidth="1"/>
    <col min="14065" max="14065" width="39.44140625" customWidth="1"/>
    <col min="14066" max="14066" width="36.5546875" customWidth="1"/>
    <col min="14067" max="14067" width="40.109375" customWidth="1"/>
    <col min="14068" max="14068" width="36.33203125" customWidth="1"/>
    <col min="14069" max="14069" width="39.5546875" customWidth="1"/>
    <col min="14070" max="14070" width="48.6640625" customWidth="1"/>
    <col min="14071" max="14071" width="29.33203125" customWidth="1"/>
    <col min="14072" max="14072" width="31.5546875" customWidth="1"/>
    <col min="14073" max="14073" width="32.5546875" customWidth="1"/>
    <col min="14074" max="14074" width="34" customWidth="1"/>
    <col min="14075" max="14075" width="26.6640625" customWidth="1"/>
    <col min="14076" max="14076" width="39.5546875" customWidth="1"/>
    <col min="14077" max="14077" width="44.5546875" customWidth="1"/>
    <col min="14078" max="14078" width="46.5546875" customWidth="1"/>
    <col min="14079" max="14079" width="47.5546875" customWidth="1"/>
    <col min="14080" max="14080" width="28.44140625" customWidth="1"/>
    <col min="14081" max="14081" width="37.44140625" customWidth="1"/>
    <col min="14082" max="14082" width="35.5546875" customWidth="1"/>
    <col min="14083" max="14083" width="32.6640625" customWidth="1"/>
    <col min="14084" max="14084" width="36.33203125" customWidth="1"/>
    <col min="14085" max="14085" width="32.44140625" customWidth="1"/>
    <col min="14086" max="14086" width="35.6640625" customWidth="1"/>
    <col min="14087" max="14087" width="44.88671875" customWidth="1"/>
    <col min="14088" max="14088" width="25.44140625" customWidth="1"/>
    <col min="14089" max="14089" width="27.6640625" customWidth="1"/>
    <col min="14090" max="14090" width="28.6640625" customWidth="1"/>
    <col min="14091" max="14091" width="30.109375" customWidth="1"/>
    <col min="14092" max="14092" width="22.88671875" customWidth="1"/>
    <col min="14093" max="14093" width="35.6640625" customWidth="1"/>
    <col min="14094" max="14094" width="40.6640625" customWidth="1"/>
    <col min="14095" max="14095" width="42.6640625" customWidth="1"/>
    <col min="14096" max="14096" width="43.6640625" customWidth="1"/>
    <col min="14097" max="14097" width="24.5546875" customWidth="1"/>
    <col min="14098" max="14107" width="8.88671875" customWidth="1"/>
    <col min="14314" max="14314" width="5" customWidth="1"/>
    <col min="14315" max="14315" width="31.6640625" customWidth="1"/>
    <col min="14316" max="14316" width="14.33203125" customWidth="1"/>
    <col min="14317" max="14318" width="13.6640625" customWidth="1"/>
    <col min="14319" max="14319" width="6.88671875" customWidth="1"/>
    <col min="14320" max="14320" width="41.33203125" customWidth="1"/>
    <col min="14321" max="14321" width="39.44140625" customWidth="1"/>
    <col min="14322" max="14322" width="36.5546875" customWidth="1"/>
    <col min="14323" max="14323" width="40.109375" customWidth="1"/>
    <col min="14324" max="14324" width="36.33203125" customWidth="1"/>
    <col min="14325" max="14325" width="39.5546875" customWidth="1"/>
    <col min="14326" max="14326" width="48.6640625" customWidth="1"/>
    <col min="14327" max="14327" width="29.33203125" customWidth="1"/>
    <col min="14328" max="14328" width="31.5546875" customWidth="1"/>
    <col min="14329" max="14329" width="32.5546875" customWidth="1"/>
    <col min="14330" max="14330" width="34" customWidth="1"/>
    <col min="14331" max="14331" width="26.6640625" customWidth="1"/>
    <col min="14332" max="14332" width="39.5546875" customWidth="1"/>
    <col min="14333" max="14333" width="44.5546875" customWidth="1"/>
    <col min="14334" max="14334" width="46.5546875" customWidth="1"/>
    <col min="14335" max="14335" width="47.5546875" customWidth="1"/>
    <col min="14336" max="14336" width="28.44140625" customWidth="1"/>
    <col min="14337" max="14337" width="37.44140625" customWidth="1"/>
    <col min="14338" max="14338" width="35.5546875" customWidth="1"/>
    <col min="14339" max="14339" width="32.6640625" customWidth="1"/>
    <col min="14340" max="14340" width="36.33203125" customWidth="1"/>
    <col min="14341" max="14341" width="32.44140625" customWidth="1"/>
    <col min="14342" max="14342" width="35.6640625" customWidth="1"/>
    <col min="14343" max="14343" width="44.88671875" customWidth="1"/>
    <col min="14344" max="14344" width="25.44140625" customWidth="1"/>
    <col min="14345" max="14345" width="27.6640625" customWidth="1"/>
    <col min="14346" max="14346" width="28.6640625" customWidth="1"/>
    <col min="14347" max="14347" width="30.109375" customWidth="1"/>
    <col min="14348" max="14348" width="22.88671875" customWidth="1"/>
    <col min="14349" max="14349" width="35.6640625" customWidth="1"/>
    <col min="14350" max="14350" width="40.6640625" customWidth="1"/>
    <col min="14351" max="14351" width="42.6640625" customWidth="1"/>
    <col min="14352" max="14352" width="43.6640625" customWidth="1"/>
    <col min="14353" max="14353" width="24.5546875" customWidth="1"/>
    <col min="14354" max="14363" width="8.88671875" customWidth="1"/>
    <col min="14570" max="14570" width="5" customWidth="1"/>
    <col min="14571" max="14571" width="31.6640625" customWidth="1"/>
    <col min="14572" max="14572" width="14.33203125" customWidth="1"/>
    <col min="14573" max="14574" width="13.6640625" customWidth="1"/>
    <col min="14575" max="14575" width="6.88671875" customWidth="1"/>
    <col min="14576" max="14576" width="41.33203125" customWidth="1"/>
    <col min="14577" max="14577" width="39.44140625" customWidth="1"/>
    <col min="14578" max="14578" width="36.5546875" customWidth="1"/>
    <col min="14579" max="14579" width="40.109375" customWidth="1"/>
    <col min="14580" max="14580" width="36.33203125" customWidth="1"/>
    <col min="14581" max="14581" width="39.5546875" customWidth="1"/>
    <col min="14582" max="14582" width="48.6640625" customWidth="1"/>
    <col min="14583" max="14583" width="29.33203125" customWidth="1"/>
    <col min="14584" max="14584" width="31.5546875" customWidth="1"/>
    <col min="14585" max="14585" width="32.5546875" customWidth="1"/>
    <col min="14586" max="14586" width="34" customWidth="1"/>
    <col min="14587" max="14587" width="26.6640625" customWidth="1"/>
    <col min="14588" max="14588" width="39.5546875" customWidth="1"/>
    <col min="14589" max="14589" width="44.5546875" customWidth="1"/>
    <col min="14590" max="14590" width="46.5546875" customWidth="1"/>
    <col min="14591" max="14591" width="47.5546875" customWidth="1"/>
    <col min="14592" max="14592" width="28.44140625" customWidth="1"/>
    <col min="14593" max="14593" width="37.44140625" customWidth="1"/>
    <col min="14594" max="14594" width="35.5546875" customWidth="1"/>
    <col min="14595" max="14595" width="32.6640625" customWidth="1"/>
    <col min="14596" max="14596" width="36.33203125" customWidth="1"/>
    <col min="14597" max="14597" width="32.44140625" customWidth="1"/>
    <col min="14598" max="14598" width="35.6640625" customWidth="1"/>
    <col min="14599" max="14599" width="44.88671875" customWidth="1"/>
    <col min="14600" max="14600" width="25.44140625" customWidth="1"/>
    <col min="14601" max="14601" width="27.6640625" customWidth="1"/>
    <col min="14602" max="14602" width="28.6640625" customWidth="1"/>
    <col min="14603" max="14603" width="30.109375" customWidth="1"/>
    <col min="14604" max="14604" width="22.88671875" customWidth="1"/>
    <col min="14605" max="14605" width="35.6640625" customWidth="1"/>
    <col min="14606" max="14606" width="40.6640625" customWidth="1"/>
    <col min="14607" max="14607" width="42.6640625" customWidth="1"/>
    <col min="14608" max="14608" width="43.6640625" customWidth="1"/>
    <col min="14609" max="14609" width="24.5546875" customWidth="1"/>
    <col min="14610" max="14619" width="8.88671875" customWidth="1"/>
    <col min="14826" max="14826" width="5" customWidth="1"/>
    <col min="14827" max="14827" width="31.6640625" customWidth="1"/>
    <col min="14828" max="14828" width="14.33203125" customWidth="1"/>
    <col min="14829" max="14830" width="13.6640625" customWidth="1"/>
    <col min="14831" max="14831" width="6.88671875" customWidth="1"/>
    <col min="14832" max="14832" width="41.33203125" customWidth="1"/>
    <col min="14833" max="14833" width="39.44140625" customWidth="1"/>
    <col min="14834" max="14834" width="36.5546875" customWidth="1"/>
    <col min="14835" max="14835" width="40.109375" customWidth="1"/>
    <col min="14836" max="14836" width="36.33203125" customWidth="1"/>
    <col min="14837" max="14837" width="39.5546875" customWidth="1"/>
    <col min="14838" max="14838" width="48.6640625" customWidth="1"/>
    <col min="14839" max="14839" width="29.33203125" customWidth="1"/>
    <col min="14840" max="14840" width="31.5546875" customWidth="1"/>
    <col min="14841" max="14841" width="32.5546875" customWidth="1"/>
    <col min="14842" max="14842" width="34" customWidth="1"/>
    <col min="14843" max="14843" width="26.6640625" customWidth="1"/>
    <col min="14844" max="14844" width="39.5546875" customWidth="1"/>
    <col min="14845" max="14845" width="44.5546875" customWidth="1"/>
    <col min="14846" max="14846" width="46.5546875" customWidth="1"/>
    <col min="14847" max="14847" width="47.5546875" customWidth="1"/>
    <col min="14848" max="14848" width="28.44140625" customWidth="1"/>
    <col min="14849" max="14849" width="37.44140625" customWidth="1"/>
    <col min="14850" max="14850" width="35.5546875" customWidth="1"/>
    <col min="14851" max="14851" width="32.6640625" customWidth="1"/>
    <col min="14852" max="14852" width="36.33203125" customWidth="1"/>
    <col min="14853" max="14853" width="32.44140625" customWidth="1"/>
    <col min="14854" max="14854" width="35.6640625" customWidth="1"/>
    <col min="14855" max="14855" width="44.88671875" customWidth="1"/>
    <col min="14856" max="14856" width="25.44140625" customWidth="1"/>
    <col min="14857" max="14857" width="27.6640625" customWidth="1"/>
    <col min="14858" max="14858" width="28.6640625" customWidth="1"/>
    <col min="14859" max="14859" width="30.109375" customWidth="1"/>
    <col min="14860" max="14860" width="22.88671875" customWidth="1"/>
    <col min="14861" max="14861" width="35.6640625" customWidth="1"/>
    <col min="14862" max="14862" width="40.6640625" customWidth="1"/>
    <col min="14863" max="14863" width="42.6640625" customWidth="1"/>
    <col min="14864" max="14864" width="43.6640625" customWidth="1"/>
    <col min="14865" max="14865" width="24.5546875" customWidth="1"/>
    <col min="14866" max="14875" width="8.88671875" customWidth="1"/>
    <col min="15082" max="15082" width="5" customWidth="1"/>
    <col min="15083" max="15083" width="31.6640625" customWidth="1"/>
    <col min="15084" max="15084" width="14.33203125" customWidth="1"/>
    <col min="15085" max="15086" width="13.6640625" customWidth="1"/>
    <col min="15087" max="15087" width="6.88671875" customWidth="1"/>
    <col min="15088" max="15088" width="41.33203125" customWidth="1"/>
    <col min="15089" max="15089" width="39.44140625" customWidth="1"/>
    <col min="15090" max="15090" width="36.5546875" customWidth="1"/>
    <col min="15091" max="15091" width="40.109375" customWidth="1"/>
    <col min="15092" max="15092" width="36.33203125" customWidth="1"/>
    <col min="15093" max="15093" width="39.5546875" customWidth="1"/>
    <col min="15094" max="15094" width="48.6640625" customWidth="1"/>
    <col min="15095" max="15095" width="29.33203125" customWidth="1"/>
    <col min="15096" max="15096" width="31.5546875" customWidth="1"/>
    <col min="15097" max="15097" width="32.5546875" customWidth="1"/>
    <col min="15098" max="15098" width="34" customWidth="1"/>
    <col min="15099" max="15099" width="26.6640625" customWidth="1"/>
    <col min="15100" max="15100" width="39.5546875" customWidth="1"/>
    <col min="15101" max="15101" width="44.5546875" customWidth="1"/>
    <col min="15102" max="15102" width="46.5546875" customWidth="1"/>
    <col min="15103" max="15103" width="47.5546875" customWidth="1"/>
    <col min="15104" max="15104" width="28.44140625" customWidth="1"/>
    <col min="15105" max="15105" width="37.44140625" customWidth="1"/>
    <col min="15106" max="15106" width="35.5546875" customWidth="1"/>
    <col min="15107" max="15107" width="32.6640625" customWidth="1"/>
    <col min="15108" max="15108" width="36.33203125" customWidth="1"/>
    <col min="15109" max="15109" width="32.44140625" customWidth="1"/>
    <col min="15110" max="15110" width="35.6640625" customWidth="1"/>
    <col min="15111" max="15111" width="44.88671875" customWidth="1"/>
    <col min="15112" max="15112" width="25.44140625" customWidth="1"/>
    <col min="15113" max="15113" width="27.6640625" customWidth="1"/>
    <col min="15114" max="15114" width="28.6640625" customWidth="1"/>
    <col min="15115" max="15115" width="30.109375" customWidth="1"/>
    <col min="15116" max="15116" width="22.88671875" customWidth="1"/>
    <col min="15117" max="15117" width="35.6640625" customWidth="1"/>
    <col min="15118" max="15118" width="40.6640625" customWidth="1"/>
    <col min="15119" max="15119" width="42.6640625" customWidth="1"/>
    <col min="15120" max="15120" width="43.6640625" customWidth="1"/>
    <col min="15121" max="15121" width="24.5546875" customWidth="1"/>
    <col min="15122" max="15131" width="8.88671875" customWidth="1"/>
    <col min="15338" max="15338" width="5" customWidth="1"/>
    <col min="15339" max="15339" width="31.6640625" customWidth="1"/>
    <col min="15340" max="15340" width="14.33203125" customWidth="1"/>
    <col min="15341" max="15342" width="13.6640625" customWidth="1"/>
    <col min="15343" max="15343" width="6.88671875" customWidth="1"/>
    <col min="15344" max="15344" width="41.33203125" customWidth="1"/>
    <col min="15345" max="15345" width="39.44140625" customWidth="1"/>
    <col min="15346" max="15346" width="36.5546875" customWidth="1"/>
    <col min="15347" max="15347" width="40.109375" customWidth="1"/>
    <col min="15348" max="15348" width="36.33203125" customWidth="1"/>
    <col min="15349" max="15349" width="39.5546875" customWidth="1"/>
    <col min="15350" max="15350" width="48.6640625" customWidth="1"/>
    <col min="15351" max="15351" width="29.33203125" customWidth="1"/>
    <col min="15352" max="15352" width="31.5546875" customWidth="1"/>
    <col min="15353" max="15353" width="32.5546875" customWidth="1"/>
    <col min="15354" max="15354" width="34" customWidth="1"/>
    <col min="15355" max="15355" width="26.6640625" customWidth="1"/>
    <col min="15356" max="15356" width="39.5546875" customWidth="1"/>
    <col min="15357" max="15357" width="44.5546875" customWidth="1"/>
    <col min="15358" max="15358" width="46.5546875" customWidth="1"/>
    <col min="15359" max="15359" width="47.5546875" customWidth="1"/>
    <col min="15360" max="15360" width="28.44140625" customWidth="1"/>
    <col min="15361" max="15361" width="37.44140625" customWidth="1"/>
    <col min="15362" max="15362" width="35.5546875" customWidth="1"/>
    <col min="15363" max="15363" width="32.6640625" customWidth="1"/>
    <col min="15364" max="15364" width="36.33203125" customWidth="1"/>
    <col min="15365" max="15365" width="32.44140625" customWidth="1"/>
    <col min="15366" max="15366" width="35.6640625" customWidth="1"/>
    <col min="15367" max="15367" width="44.88671875" customWidth="1"/>
    <col min="15368" max="15368" width="25.44140625" customWidth="1"/>
    <col min="15369" max="15369" width="27.6640625" customWidth="1"/>
    <col min="15370" max="15370" width="28.6640625" customWidth="1"/>
    <col min="15371" max="15371" width="30.109375" customWidth="1"/>
    <col min="15372" max="15372" width="22.88671875" customWidth="1"/>
    <col min="15373" max="15373" width="35.6640625" customWidth="1"/>
    <col min="15374" max="15374" width="40.6640625" customWidth="1"/>
    <col min="15375" max="15375" width="42.6640625" customWidth="1"/>
    <col min="15376" max="15376" width="43.6640625" customWidth="1"/>
    <col min="15377" max="15377" width="24.5546875" customWidth="1"/>
    <col min="15378" max="15387" width="8.88671875" customWidth="1"/>
    <col min="15594" max="15594" width="5" customWidth="1"/>
    <col min="15595" max="15595" width="31.6640625" customWidth="1"/>
    <col min="15596" max="15596" width="14.33203125" customWidth="1"/>
    <col min="15597" max="15598" width="13.6640625" customWidth="1"/>
    <col min="15599" max="15599" width="6.88671875" customWidth="1"/>
    <col min="15600" max="15600" width="41.33203125" customWidth="1"/>
    <col min="15601" max="15601" width="39.44140625" customWidth="1"/>
    <col min="15602" max="15602" width="36.5546875" customWidth="1"/>
    <col min="15603" max="15603" width="40.109375" customWidth="1"/>
    <col min="15604" max="15604" width="36.33203125" customWidth="1"/>
    <col min="15605" max="15605" width="39.5546875" customWidth="1"/>
    <col min="15606" max="15606" width="48.6640625" customWidth="1"/>
    <col min="15607" max="15607" width="29.33203125" customWidth="1"/>
    <col min="15608" max="15608" width="31.5546875" customWidth="1"/>
    <col min="15609" max="15609" width="32.5546875" customWidth="1"/>
    <col min="15610" max="15610" width="34" customWidth="1"/>
    <col min="15611" max="15611" width="26.6640625" customWidth="1"/>
    <col min="15612" max="15612" width="39.5546875" customWidth="1"/>
    <col min="15613" max="15613" width="44.5546875" customWidth="1"/>
    <col min="15614" max="15614" width="46.5546875" customWidth="1"/>
    <col min="15615" max="15615" width="47.5546875" customWidth="1"/>
    <col min="15616" max="15616" width="28.44140625" customWidth="1"/>
    <col min="15617" max="15617" width="37.44140625" customWidth="1"/>
    <col min="15618" max="15618" width="35.5546875" customWidth="1"/>
    <col min="15619" max="15619" width="32.6640625" customWidth="1"/>
    <col min="15620" max="15620" width="36.33203125" customWidth="1"/>
    <col min="15621" max="15621" width="32.44140625" customWidth="1"/>
    <col min="15622" max="15622" width="35.6640625" customWidth="1"/>
    <col min="15623" max="15623" width="44.88671875" customWidth="1"/>
    <col min="15624" max="15624" width="25.44140625" customWidth="1"/>
    <col min="15625" max="15625" width="27.6640625" customWidth="1"/>
    <col min="15626" max="15626" width="28.6640625" customWidth="1"/>
    <col min="15627" max="15627" width="30.109375" customWidth="1"/>
    <col min="15628" max="15628" width="22.88671875" customWidth="1"/>
    <col min="15629" max="15629" width="35.6640625" customWidth="1"/>
    <col min="15630" max="15630" width="40.6640625" customWidth="1"/>
    <col min="15631" max="15631" width="42.6640625" customWidth="1"/>
    <col min="15632" max="15632" width="43.6640625" customWidth="1"/>
    <col min="15633" max="15633" width="24.5546875" customWidth="1"/>
    <col min="15634" max="15643" width="8.88671875" customWidth="1"/>
    <col min="15850" max="15850" width="5" customWidth="1"/>
    <col min="15851" max="15851" width="31.6640625" customWidth="1"/>
    <col min="15852" max="15852" width="14.33203125" customWidth="1"/>
    <col min="15853" max="15854" width="13.6640625" customWidth="1"/>
    <col min="15855" max="15855" width="6.88671875" customWidth="1"/>
    <col min="15856" max="15856" width="41.33203125" customWidth="1"/>
    <col min="15857" max="15857" width="39.44140625" customWidth="1"/>
    <col min="15858" max="15858" width="36.5546875" customWidth="1"/>
    <col min="15859" max="15859" width="40.109375" customWidth="1"/>
    <col min="15860" max="15860" width="36.33203125" customWidth="1"/>
    <col min="15861" max="15861" width="39.5546875" customWidth="1"/>
    <col min="15862" max="15862" width="48.6640625" customWidth="1"/>
    <col min="15863" max="15863" width="29.33203125" customWidth="1"/>
    <col min="15864" max="15864" width="31.5546875" customWidth="1"/>
    <col min="15865" max="15865" width="32.5546875" customWidth="1"/>
    <col min="15866" max="15866" width="34" customWidth="1"/>
    <col min="15867" max="15867" width="26.6640625" customWidth="1"/>
    <col min="15868" max="15868" width="39.5546875" customWidth="1"/>
    <col min="15869" max="15869" width="44.5546875" customWidth="1"/>
    <col min="15870" max="15870" width="46.5546875" customWidth="1"/>
    <col min="15871" max="15871" width="47.5546875" customWidth="1"/>
    <col min="15872" max="15872" width="28.44140625" customWidth="1"/>
    <col min="15873" max="15873" width="37.44140625" customWidth="1"/>
    <col min="15874" max="15874" width="35.5546875" customWidth="1"/>
    <col min="15875" max="15875" width="32.6640625" customWidth="1"/>
    <col min="15876" max="15876" width="36.33203125" customWidth="1"/>
    <col min="15877" max="15877" width="32.44140625" customWidth="1"/>
    <col min="15878" max="15878" width="35.6640625" customWidth="1"/>
    <col min="15879" max="15879" width="44.88671875" customWidth="1"/>
    <col min="15880" max="15880" width="25.44140625" customWidth="1"/>
    <col min="15881" max="15881" width="27.6640625" customWidth="1"/>
    <col min="15882" max="15882" width="28.6640625" customWidth="1"/>
    <col min="15883" max="15883" width="30.109375" customWidth="1"/>
    <col min="15884" max="15884" width="22.88671875" customWidth="1"/>
    <col min="15885" max="15885" width="35.6640625" customWidth="1"/>
    <col min="15886" max="15886" width="40.6640625" customWidth="1"/>
    <col min="15887" max="15887" width="42.6640625" customWidth="1"/>
    <col min="15888" max="15888" width="43.6640625" customWidth="1"/>
    <col min="15889" max="15889" width="24.5546875" customWidth="1"/>
    <col min="15890" max="15899" width="8.88671875" customWidth="1"/>
    <col min="16106" max="16106" width="5" customWidth="1"/>
    <col min="16107" max="16107" width="31.6640625" customWidth="1"/>
    <col min="16108" max="16108" width="14.33203125" customWidth="1"/>
    <col min="16109" max="16110" width="13.6640625" customWidth="1"/>
    <col min="16111" max="16111" width="6.88671875" customWidth="1"/>
    <col min="16112" max="16112" width="41.33203125" customWidth="1"/>
    <col min="16113" max="16113" width="39.44140625" customWidth="1"/>
    <col min="16114" max="16114" width="36.5546875" customWidth="1"/>
    <col min="16115" max="16115" width="40.109375" customWidth="1"/>
    <col min="16116" max="16116" width="36.33203125" customWidth="1"/>
    <col min="16117" max="16117" width="39.5546875" customWidth="1"/>
    <col min="16118" max="16118" width="48.6640625" customWidth="1"/>
    <col min="16119" max="16119" width="29.33203125" customWidth="1"/>
    <col min="16120" max="16120" width="31.5546875" customWidth="1"/>
    <col min="16121" max="16121" width="32.5546875" customWidth="1"/>
    <col min="16122" max="16122" width="34" customWidth="1"/>
    <col min="16123" max="16123" width="26.6640625" customWidth="1"/>
    <col min="16124" max="16124" width="39.5546875" customWidth="1"/>
    <col min="16125" max="16125" width="44.5546875" customWidth="1"/>
    <col min="16126" max="16126" width="46.5546875" customWidth="1"/>
    <col min="16127" max="16127" width="47.5546875" customWidth="1"/>
    <col min="16128" max="16128" width="28.44140625" customWidth="1"/>
    <col min="16129" max="16129" width="37.44140625" customWidth="1"/>
    <col min="16130" max="16130" width="35.5546875" customWidth="1"/>
    <col min="16131" max="16131" width="32.6640625" customWidth="1"/>
    <col min="16132" max="16132" width="36.33203125" customWidth="1"/>
    <col min="16133" max="16133" width="32.44140625" customWidth="1"/>
    <col min="16134" max="16134" width="35.6640625" customWidth="1"/>
    <col min="16135" max="16135" width="44.88671875" customWidth="1"/>
    <col min="16136" max="16136" width="25.44140625" customWidth="1"/>
    <col min="16137" max="16137" width="27.6640625" customWidth="1"/>
    <col min="16138" max="16138" width="28.6640625" customWidth="1"/>
    <col min="16139" max="16139" width="30.109375" customWidth="1"/>
    <col min="16140" max="16140" width="22.88671875" customWidth="1"/>
    <col min="16141" max="16141" width="35.6640625" customWidth="1"/>
    <col min="16142" max="16142" width="40.6640625" customWidth="1"/>
    <col min="16143" max="16143" width="42.6640625" customWidth="1"/>
    <col min="16144" max="16144" width="43.6640625" customWidth="1"/>
    <col min="16145" max="16145" width="24.5546875" customWidth="1"/>
    <col min="16146" max="16155" width="8.88671875" customWidth="1"/>
  </cols>
  <sheetData>
    <row r="1" spans="1:50" ht="22.8">
      <c r="A1" s="257" t="s">
        <v>1974</v>
      </c>
      <c r="B1" s="267"/>
      <c r="C1" s="267"/>
      <c r="D1" s="267"/>
      <c r="E1" s="267"/>
      <c r="F1" s="267"/>
      <c r="G1" s="267"/>
      <c r="H1" s="267"/>
      <c r="I1" s="267"/>
      <c r="J1" s="267"/>
      <c r="K1" s="267"/>
      <c r="L1" s="267"/>
      <c r="M1" s="267"/>
      <c r="N1" s="267"/>
      <c r="O1" s="267"/>
      <c r="P1" s="267"/>
      <c r="Q1" s="267"/>
      <c r="R1" s="267"/>
      <c r="S1" s="267"/>
      <c r="T1" s="267"/>
      <c r="U1" s="267"/>
      <c r="V1" s="267"/>
      <c r="W1" s="267"/>
      <c r="X1" s="267"/>
      <c r="Y1" s="267"/>
      <c r="Z1" s="267"/>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row>
    <row r="2" spans="1:50">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row>
    <row r="3" spans="1:50" ht="15.6">
      <c r="A3" s="271" t="s">
        <v>808</v>
      </c>
      <c r="B3" s="271"/>
      <c r="C3" s="271"/>
      <c r="D3" s="271"/>
      <c r="E3" s="271"/>
      <c r="F3" s="271"/>
      <c r="G3" s="271"/>
      <c r="H3" s="271"/>
      <c r="I3" s="267"/>
      <c r="J3" s="267"/>
      <c r="K3" s="267"/>
      <c r="L3" s="267"/>
      <c r="M3" s="267"/>
      <c r="N3" s="267"/>
      <c r="O3" s="267"/>
      <c r="P3" s="267"/>
      <c r="Q3" s="267"/>
      <c r="R3" s="267"/>
      <c r="S3" s="267"/>
      <c r="T3" s="267"/>
      <c r="U3" s="267"/>
      <c r="V3" s="267"/>
      <c r="W3" s="267"/>
      <c r="X3" s="267"/>
      <c r="Y3" s="267"/>
      <c r="Z3" s="267"/>
    </row>
    <row r="4" spans="1:50">
      <c r="A4" s="268"/>
      <c r="B4" s="268" t="s">
        <v>809</v>
      </c>
      <c r="C4" s="267" t="s">
        <v>810</v>
      </c>
      <c r="D4" s="267"/>
      <c r="E4" s="267"/>
      <c r="F4" s="267"/>
      <c r="G4" s="267"/>
      <c r="H4" s="267"/>
      <c r="I4" s="267"/>
      <c r="J4" s="267"/>
      <c r="K4" s="267"/>
      <c r="L4" s="267"/>
      <c r="M4" s="267"/>
      <c r="N4" s="267"/>
      <c r="O4" s="267"/>
      <c r="P4" s="267"/>
      <c r="Q4" s="267"/>
      <c r="R4" s="267"/>
      <c r="S4" s="267"/>
      <c r="T4" s="267"/>
      <c r="U4" s="267"/>
      <c r="V4" s="267"/>
      <c r="W4" s="267"/>
      <c r="X4" s="267"/>
      <c r="Y4" s="267"/>
      <c r="Z4" s="267"/>
    </row>
    <row r="5" spans="1:50">
      <c r="A5" s="268"/>
      <c r="B5" s="268" t="s">
        <v>811</v>
      </c>
      <c r="C5" s="267" t="s">
        <v>812</v>
      </c>
      <c r="D5" s="267"/>
      <c r="E5" s="267"/>
      <c r="F5" s="267"/>
      <c r="G5" s="267"/>
      <c r="H5" s="267"/>
      <c r="I5" s="267"/>
      <c r="J5" s="267"/>
      <c r="K5" s="267"/>
      <c r="L5" s="267"/>
      <c r="M5" s="267"/>
      <c r="N5" s="267"/>
      <c r="O5" s="267"/>
      <c r="P5" s="267"/>
      <c r="Q5" s="267"/>
      <c r="R5" s="267"/>
      <c r="S5" s="267"/>
      <c r="T5" s="267"/>
      <c r="U5" s="267"/>
      <c r="V5" s="267"/>
      <c r="W5" s="267"/>
      <c r="X5" s="267"/>
      <c r="Y5" s="267"/>
      <c r="Z5" s="267"/>
    </row>
    <row r="6" spans="1:50">
      <c r="A6" s="268"/>
      <c r="B6" s="268" t="s">
        <v>813</v>
      </c>
      <c r="C6" s="267" t="s">
        <v>1975</v>
      </c>
      <c r="D6" s="267"/>
      <c r="E6" s="267"/>
      <c r="F6" s="267"/>
      <c r="G6" s="267"/>
      <c r="H6" s="267"/>
      <c r="I6" s="267"/>
      <c r="J6" s="267"/>
      <c r="K6" s="267"/>
      <c r="L6" s="267"/>
      <c r="M6" s="267"/>
      <c r="N6" s="267"/>
      <c r="O6" s="267"/>
      <c r="P6" s="267"/>
      <c r="Q6" s="267"/>
      <c r="R6" s="267"/>
      <c r="S6" s="267"/>
      <c r="T6" s="267"/>
      <c r="U6" s="267"/>
      <c r="V6" s="267"/>
      <c r="W6" s="267"/>
      <c r="X6" s="267"/>
      <c r="Y6" s="267"/>
      <c r="Z6" s="267"/>
    </row>
    <row r="7" spans="1:50">
      <c r="A7" s="268"/>
      <c r="B7" s="268" t="s">
        <v>814</v>
      </c>
      <c r="C7" s="267" t="s">
        <v>21</v>
      </c>
      <c r="D7" s="267"/>
      <c r="E7" s="267"/>
      <c r="F7" s="267"/>
      <c r="G7" s="267"/>
      <c r="H7" s="267"/>
      <c r="I7" s="267"/>
      <c r="J7" s="267"/>
      <c r="K7" s="267"/>
      <c r="L7" s="267"/>
      <c r="M7" s="267"/>
      <c r="N7" s="267"/>
      <c r="O7" s="267"/>
      <c r="P7" s="267"/>
      <c r="Q7" s="267"/>
      <c r="R7" s="267"/>
      <c r="S7" s="267"/>
      <c r="T7" s="267"/>
      <c r="U7" s="267"/>
      <c r="V7" s="267"/>
      <c r="W7" s="267"/>
      <c r="X7" s="267"/>
      <c r="Y7" s="267"/>
      <c r="Z7" s="267"/>
    </row>
    <row r="8" spans="1:50">
      <c r="A8" s="267"/>
      <c r="B8" s="267"/>
      <c r="C8" s="267"/>
      <c r="D8" s="267"/>
      <c r="E8" s="267"/>
      <c r="F8" s="267"/>
      <c r="G8" s="267"/>
      <c r="H8" s="267"/>
      <c r="I8" s="267"/>
      <c r="J8" s="267"/>
      <c r="K8" s="267"/>
      <c r="L8" s="267"/>
      <c r="M8" s="267"/>
      <c r="N8" s="267"/>
      <c r="O8" s="267"/>
      <c r="P8" s="267"/>
      <c r="Q8" s="267"/>
      <c r="R8" s="267"/>
      <c r="S8" s="267"/>
      <c r="T8" s="267"/>
      <c r="U8" s="267"/>
      <c r="V8" s="267"/>
      <c r="W8" s="267"/>
      <c r="X8" s="267"/>
      <c r="Y8" s="267"/>
      <c r="Z8" s="267"/>
    </row>
    <row r="9" spans="1:50" ht="15.6">
      <c r="A9" s="271" t="s">
        <v>821</v>
      </c>
      <c r="B9" s="271"/>
      <c r="C9" s="271"/>
      <c r="D9" s="271"/>
      <c r="E9" s="271"/>
      <c r="F9" s="271"/>
      <c r="G9" s="271"/>
      <c r="H9" s="271"/>
      <c r="I9" s="271"/>
      <c r="J9" s="271"/>
      <c r="K9" s="271"/>
      <c r="L9" s="271"/>
      <c r="M9" s="271"/>
      <c r="N9" s="271"/>
      <c r="O9" s="271"/>
      <c r="P9" s="271"/>
      <c r="Q9" s="271"/>
      <c r="R9" s="271"/>
      <c r="S9" s="271"/>
      <c r="T9" s="271"/>
      <c r="U9" s="271"/>
      <c r="V9" s="271"/>
      <c r="W9" s="271"/>
      <c r="X9" s="271"/>
      <c r="Y9" s="271"/>
      <c r="Z9" s="271"/>
    </row>
    <row r="10" spans="1:50">
      <c r="A10" s="266" t="s">
        <v>822</v>
      </c>
      <c r="B10" s="266" t="s">
        <v>822</v>
      </c>
      <c r="C10" s="266" t="s">
        <v>869</v>
      </c>
      <c r="D10" s="266" t="s">
        <v>826</v>
      </c>
      <c r="E10" s="266" t="s">
        <v>825</v>
      </c>
      <c r="F10" s="266" t="s">
        <v>827</v>
      </c>
      <c r="G10" s="266" t="s">
        <v>894</v>
      </c>
      <c r="H10" s="266" t="s">
        <v>895</v>
      </c>
      <c r="I10" s="266" t="s">
        <v>1269</v>
      </c>
      <c r="J10" s="266" t="s">
        <v>896</v>
      </c>
      <c r="K10" s="266" t="s">
        <v>897</v>
      </c>
      <c r="L10" s="266" t="s">
        <v>898</v>
      </c>
      <c r="M10" s="266" t="s">
        <v>899</v>
      </c>
      <c r="N10" s="266" t="s">
        <v>900</v>
      </c>
      <c r="O10" s="266" t="s">
        <v>901</v>
      </c>
      <c r="P10" s="266" t="s">
        <v>951</v>
      </c>
      <c r="Q10" s="266" t="s">
        <v>952</v>
      </c>
      <c r="R10" s="266" t="s">
        <v>1172</v>
      </c>
      <c r="S10" s="266" t="s">
        <v>953</v>
      </c>
      <c r="T10" s="266" t="s">
        <v>1403</v>
      </c>
      <c r="U10" s="266" t="s">
        <v>1404</v>
      </c>
      <c r="V10" s="266" t="s">
        <v>1958</v>
      </c>
      <c r="W10" s="266" t="s">
        <v>1959</v>
      </c>
      <c r="X10" s="266" t="s">
        <v>1960</v>
      </c>
      <c r="Y10" s="266" t="s">
        <v>1961</v>
      </c>
      <c r="Z10" s="266" t="s">
        <v>1962</v>
      </c>
    </row>
    <row r="11" spans="1:50">
      <c r="A11" s="268" t="s">
        <v>812</v>
      </c>
      <c r="B11" s="268"/>
      <c r="C11" s="152"/>
      <c r="D11" s="14"/>
      <c r="E11" s="45">
        <v>4594330067</v>
      </c>
      <c r="F11" s="14">
        <v>100</v>
      </c>
      <c r="G11" s="14">
        <v>9.73</v>
      </c>
      <c r="H11" s="14">
        <v>-2.23</v>
      </c>
      <c r="I11" s="14">
        <v>0.05</v>
      </c>
      <c r="J11" s="14">
        <v>-17</v>
      </c>
      <c r="K11" s="14">
        <v>-3.71</v>
      </c>
      <c r="L11" s="14">
        <v>-0.42</v>
      </c>
      <c r="M11" s="14">
        <v>-0.98</v>
      </c>
      <c r="N11" s="14">
        <v>-2.42</v>
      </c>
      <c r="O11" s="14">
        <v>-10.82</v>
      </c>
      <c r="P11" s="14">
        <v>-4.34</v>
      </c>
      <c r="Q11" s="14">
        <v>2.42</v>
      </c>
      <c r="R11" s="14">
        <v>3.81</v>
      </c>
      <c r="S11" s="14">
        <v>-7.55</v>
      </c>
      <c r="T11" s="14">
        <v>-2.98</v>
      </c>
      <c r="U11" s="14">
        <v>-2.36</v>
      </c>
      <c r="V11" s="14">
        <v>-3.72</v>
      </c>
      <c r="W11" s="14">
        <v>-1.62</v>
      </c>
      <c r="X11" s="14">
        <v>-1.49</v>
      </c>
      <c r="Y11" s="14">
        <v>-3.63</v>
      </c>
      <c r="Z11" s="14">
        <v>-54.69</v>
      </c>
    </row>
    <row r="12" spans="1:50">
      <c r="A12" s="268"/>
      <c r="B12" s="268" t="s">
        <v>1368</v>
      </c>
      <c r="C12" s="152" t="s">
        <v>1292</v>
      </c>
      <c r="D12" s="14">
        <v>3000000</v>
      </c>
      <c r="E12" s="45">
        <v>20530184</v>
      </c>
      <c r="F12" s="14">
        <v>0.45</v>
      </c>
      <c r="G12" s="14">
        <v>13.16</v>
      </c>
      <c r="H12" s="14">
        <v>-1.2</v>
      </c>
      <c r="I12" s="14">
        <v>0.33</v>
      </c>
      <c r="J12" s="14">
        <v>-33.72</v>
      </c>
      <c r="K12" s="14">
        <v>-5.21</v>
      </c>
      <c r="L12" s="14">
        <v>-0.3</v>
      </c>
      <c r="M12" s="14">
        <v>-0.54</v>
      </c>
      <c r="N12" s="14">
        <v>-2.64</v>
      </c>
      <c r="O12" s="14">
        <v>-20.399999999999999</v>
      </c>
      <c r="P12" s="14">
        <v>-4.04</v>
      </c>
      <c r="Q12" s="14">
        <v>2.64</v>
      </c>
      <c r="R12" s="14">
        <v>4.13</v>
      </c>
      <c r="S12" s="14">
        <v>-10.119999999999999</v>
      </c>
      <c r="T12" s="14">
        <v>-3.34</v>
      </c>
      <c r="U12" s="14">
        <v>-2.98</v>
      </c>
      <c r="V12" s="14">
        <v>-5.74</v>
      </c>
      <c r="W12" s="14">
        <v>-0.39</v>
      </c>
      <c r="X12" s="14">
        <v>-0.75</v>
      </c>
      <c r="Y12" s="14">
        <v>-3.96</v>
      </c>
      <c r="Z12" s="14">
        <v>-100</v>
      </c>
    </row>
    <row r="13" spans="1:50">
      <c r="A13" s="268"/>
      <c r="B13" s="268" t="s">
        <v>522</v>
      </c>
      <c r="C13" s="152" t="s">
        <v>523</v>
      </c>
      <c r="D13" s="14">
        <v>5000000</v>
      </c>
      <c r="E13" s="45">
        <v>39155199</v>
      </c>
      <c r="F13" s="14">
        <v>0.85</v>
      </c>
      <c r="G13" s="14">
        <v>5.92</v>
      </c>
      <c r="H13" s="14">
        <v>-1.02</v>
      </c>
      <c r="I13" s="14">
        <v>7.0000000000000007E-2</v>
      </c>
      <c r="J13" s="14">
        <v>-8.35</v>
      </c>
      <c r="K13" s="14">
        <v>-2.14</v>
      </c>
      <c r="L13" s="14">
        <v>-0.08</v>
      </c>
      <c r="M13" s="14">
        <v>-0.6</v>
      </c>
      <c r="N13" s="14">
        <v>-1.1399999999999999</v>
      </c>
      <c r="O13" s="14">
        <v>-5.25</v>
      </c>
      <c r="P13" s="14">
        <v>-2.72</v>
      </c>
      <c r="Q13" s="14">
        <v>1.1399999999999999</v>
      </c>
      <c r="R13" s="14">
        <v>1.83</v>
      </c>
      <c r="S13" s="14">
        <v>-4.76</v>
      </c>
      <c r="T13" s="14">
        <v>-1.36</v>
      </c>
      <c r="U13" s="14">
        <v>-0.89</v>
      </c>
      <c r="V13" s="14">
        <v>-2.0499999999999998</v>
      </c>
      <c r="W13" s="14">
        <v>-0.92</v>
      </c>
      <c r="X13" s="14">
        <v>-1.25</v>
      </c>
      <c r="Y13" s="14">
        <v>-1.7</v>
      </c>
      <c r="Z13" s="14">
        <v>-55.9</v>
      </c>
    </row>
    <row r="14" spans="1:50">
      <c r="A14" s="268"/>
      <c r="B14" s="268" t="s">
        <v>1963</v>
      </c>
      <c r="C14" s="152" t="s">
        <v>1920</v>
      </c>
      <c r="D14" s="14">
        <v>3400000</v>
      </c>
      <c r="E14" s="45">
        <v>24692511</v>
      </c>
      <c r="F14" s="14">
        <v>0.54</v>
      </c>
      <c r="G14" s="14">
        <v>16.96</v>
      </c>
      <c r="H14" s="14">
        <v>-3.21</v>
      </c>
      <c r="I14" s="14">
        <v>0.08</v>
      </c>
      <c r="J14" s="14">
        <v>-26.03</v>
      </c>
      <c r="K14" s="14">
        <v>-6.63</v>
      </c>
      <c r="L14" s="14">
        <v>-0.41</v>
      </c>
      <c r="M14" s="14">
        <v>-1.65</v>
      </c>
      <c r="N14" s="14">
        <v>-3.72</v>
      </c>
      <c r="O14" s="14">
        <v>-16.09</v>
      </c>
      <c r="P14" s="14">
        <v>-7.83</v>
      </c>
      <c r="Q14" s="14">
        <v>3.72</v>
      </c>
      <c r="R14" s="14">
        <v>5.82</v>
      </c>
      <c r="S14" s="14">
        <v>-13.99</v>
      </c>
      <c r="T14" s="14">
        <v>-4.46</v>
      </c>
      <c r="U14" s="14">
        <v>-3.27</v>
      </c>
      <c r="V14" s="14">
        <v>-6.79</v>
      </c>
      <c r="W14" s="14">
        <v>-4.25</v>
      </c>
      <c r="X14" s="14">
        <v>-3.56</v>
      </c>
      <c r="Y14" s="14">
        <v>-5.58</v>
      </c>
      <c r="Z14" s="14">
        <v>-100</v>
      </c>
    </row>
    <row r="15" spans="1:50">
      <c r="A15" s="268"/>
      <c r="B15" s="268" t="s">
        <v>1369</v>
      </c>
      <c r="C15" s="152" t="s">
        <v>1370</v>
      </c>
      <c r="D15" s="14">
        <v>2000000</v>
      </c>
      <c r="E15" s="45">
        <v>16908323</v>
      </c>
      <c r="F15" s="14">
        <v>0.37</v>
      </c>
      <c r="G15" s="14">
        <v>0.68</v>
      </c>
      <c r="H15" s="14">
        <v>-0.04</v>
      </c>
      <c r="I15" s="14">
        <v>0.93</v>
      </c>
      <c r="J15" s="14">
        <v>-0.31</v>
      </c>
      <c r="K15" s="14">
        <v>0.93</v>
      </c>
      <c r="L15" s="14">
        <v>0.53</v>
      </c>
      <c r="M15" s="14">
        <v>3.33</v>
      </c>
      <c r="N15" s="14">
        <v>-0.3</v>
      </c>
      <c r="O15" s="14">
        <v>-9.59</v>
      </c>
      <c r="P15" s="14">
        <v>-3.83</v>
      </c>
      <c r="Q15" s="14">
        <v>0.3</v>
      </c>
      <c r="R15" s="14">
        <v>6.39</v>
      </c>
      <c r="S15" s="14">
        <v>-7.6</v>
      </c>
      <c r="T15" s="14">
        <v>-0.04</v>
      </c>
      <c r="U15" s="14">
        <v>1.68</v>
      </c>
      <c r="V15" s="14">
        <v>1.97</v>
      </c>
      <c r="W15" s="14">
        <v>-1.29</v>
      </c>
      <c r="X15" s="14">
        <v>-7.01</v>
      </c>
      <c r="Y15" s="14">
        <v>-0.44</v>
      </c>
      <c r="Z15" s="14">
        <v>-6.82</v>
      </c>
    </row>
    <row r="16" spans="1:50">
      <c r="A16" s="268"/>
      <c r="B16" s="268" t="s">
        <v>26</v>
      </c>
      <c r="C16" s="152" t="s">
        <v>875</v>
      </c>
      <c r="D16" s="14">
        <v>177200</v>
      </c>
      <c r="E16" s="45">
        <v>12749540</v>
      </c>
      <c r="F16" s="14">
        <v>0.28000000000000003</v>
      </c>
      <c r="G16" s="14">
        <v>58.05</v>
      </c>
      <c r="H16" s="14">
        <v>-25.28</v>
      </c>
      <c r="I16" s="14">
        <v>-2.15</v>
      </c>
      <c r="J16" s="14">
        <v>-38.450000000000003</v>
      </c>
      <c r="K16" s="14">
        <v>-9.32</v>
      </c>
      <c r="L16" s="14">
        <v>-4.26</v>
      </c>
      <c r="M16" s="14">
        <v>-10.5</v>
      </c>
      <c r="N16" s="14">
        <v>-9.02</v>
      </c>
      <c r="O16" s="14">
        <v>-11.77</v>
      </c>
      <c r="P16" s="14">
        <v>-9.0500000000000007</v>
      </c>
      <c r="Q16" s="14">
        <v>9.02</v>
      </c>
      <c r="R16" s="14">
        <v>-4.4000000000000004</v>
      </c>
      <c r="S16" s="14">
        <v>-8.92</v>
      </c>
      <c r="T16" s="14">
        <v>-10.66</v>
      </c>
      <c r="U16" s="14">
        <v>-11.94</v>
      </c>
      <c r="V16" s="14">
        <v>-9.31</v>
      </c>
      <c r="W16" s="14">
        <v>0.72</v>
      </c>
      <c r="X16" s="14">
        <v>1.9</v>
      </c>
      <c r="Y16" s="14">
        <v>-13.54</v>
      </c>
      <c r="Z16" s="14">
        <v>69.150000000000006</v>
      </c>
    </row>
    <row r="17" spans="1:26">
      <c r="A17" s="268"/>
      <c r="B17" s="268" t="s">
        <v>1065</v>
      </c>
      <c r="C17" s="152" t="s">
        <v>1083</v>
      </c>
      <c r="D17" s="14">
        <v>127000</v>
      </c>
      <c r="E17" s="45">
        <v>25019000</v>
      </c>
      <c r="F17" s="14">
        <v>0.54</v>
      </c>
      <c r="G17" s="14">
        <v>39.44</v>
      </c>
      <c r="H17" s="14">
        <v>-26.47</v>
      </c>
      <c r="I17" s="14">
        <v>-2.2000000000000002</v>
      </c>
      <c r="J17" s="14">
        <v>-25.59</v>
      </c>
      <c r="K17" s="14">
        <v>-6.35</v>
      </c>
      <c r="L17" s="14">
        <v>-5.0999999999999996</v>
      </c>
      <c r="M17" s="14">
        <v>-10.6</v>
      </c>
      <c r="N17" s="14">
        <v>-8.48</v>
      </c>
      <c r="O17" s="14">
        <v>-6.86</v>
      </c>
      <c r="P17" s="14">
        <v>-6.44</v>
      </c>
      <c r="Q17" s="14">
        <v>8.48</v>
      </c>
      <c r="R17" s="14">
        <v>-5.91</v>
      </c>
      <c r="S17" s="14">
        <v>-3.78</v>
      </c>
      <c r="T17" s="14">
        <v>-10.1</v>
      </c>
      <c r="U17" s="14">
        <v>-12.72</v>
      </c>
      <c r="V17" s="14">
        <v>-4.37</v>
      </c>
      <c r="W17" s="14">
        <v>-6.32</v>
      </c>
      <c r="X17" s="14">
        <v>1.72</v>
      </c>
      <c r="Y17" s="14">
        <v>-12.72</v>
      </c>
      <c r="Z17" s="14">
        <v>156.13</v>
      </c>
    </row>
    <row r="18" spans="1:26">
      <c r="A18" s="268"/>
      <c r="B18" s="268" t="s">
        <v>828</v>
      </c>
      <c r="C18" s="152" t="s">
        <v>49</v>
      </c>
      <c r="D18" s="14">
        <v>8000000</v>
      </c>
      <c r="E18" s="45">
        <v>63079367</v>
      </c>
      <c r="F18" s="14">
        <v>1.37</v>
      </c>
      <c r="G18" s="14">
        <v>2.81</v>
      </c>
      <c r="H18" s="14">
        <v>-0.38</v>
      </c>
      <c r="I18" s="14">
        <v>0.12</v>
      </c>
      <c r="J18" s="14">
        <v>-5</v>
      </c>
      <c r="K18" s="14">
        <v>-1.1399999999999999</v>
      </c>
      <c r="L18" s="14">
        <v>0.14000000000000001</v>
      </c>
      <c r="M18" s="14">
        <v>-0.14000000000000001</v>
      </c>
      <c r="N18" s="14">
        <v>-0.41</v>
      </c>
      <c r="O18" s="14">
        <v>-3.65</v>
      </c>
      <c r="P18" s="14">
        <v>-1.05</v>
      </c>
      <c r="Q18" s="14">
        <v>0.41</v>
      </c>
      <c r="R18" s="14">
        <v>0.76</v>
      </c>
      <c r="S18" s="14">
        <v>-1.82</v>
      </c>
      <c r="T18" s="14">
        <v>-0.5</v>
      </c>
      <c r="U18" s="14">
        <v>-0.19</v>
      </c>
      <c r="V18" s="14">
        <v>-1.1100000000000001</v>
      </c>
      <c r="W18" s="14">
        <v>0.2</v>
      </c>
      <c r="X18" s="14">
        <v>-0.66</v>
      </c>
      <c r="Y18" s="14">
        <v>-0.61</v>
      </c>
      <c r="Z18" s="14">
        <v>-14.71</v>
      </c>
    </row>
    <row r="19" spans="1:26">
      <c r="A19" s="268"/>
      <c r="B19" s="268" t="s">
        <v>1917</v>
      </c>
      <c r="C19" s="152" t="s">
        <v>1964</v>
      </c>
      <c r="D19" s="14">
        <v>50000</v>
      </c>
      <c r="E19" s="45">
        <v>3272500</v>
      </c>
      <c r="F19" s="14">
        <v>7.0000000000000007E-2</v>
      </c>
      <c r="G19" s="14">
        <v>59.25</v>
      </c>
      <c r="H19" s="14">
        <v>-29.76</v>
      </c>
      <c r="I19" s="14">
        <v>-3.98</v>
      </c>
      <c r="J19" s="14">
        <v>-60.07</v>
      </c>
      <c r="K19" s="14">
        <v>-15.82</v>
      </c>
      <c r="L19" s="14">
        <v>-5.66</v>
      </c>
      <c r="M19" s="14">
        <v>-9.83</v>
      </c>
      <c r="N19" s="14">
        <v>-9.24</v>
      </c>
      <c r="O19" s="14">
        <v>-21.19</v>
      </c>
      <c r="P19" s="14">
        <v>-10.46</v>
      </c>
      <c r="Q19" s="14">
        <v>9.24</v>
      </c>
      <c r="R19" s="14">
        <v>0.56000000000000005</v>
      </c>
      <c r="S19" s="14">
        <v>-10.26</v>
      </c>
      <c r="T19" s="14">
        <v>-11.13</v>
      </c>
      <c r="U19" s="14">
        <v>-12.27</v>
      </c>
      <c r="V19" s="14">
        <v>-10.28</v>
      </c>
      <c r="W19" s="14">
        <v>-2.42</v>
      </c>
      <c r="X19" s="14">
        <v>-0.83</v>
      </c>
      <c r="Y19" s="14">
        <v>-13.86</v>
      </c>
      <c r="Z19" s="14">
        <v>89.35</v>
      </c>
    </row>
    <row r="20" spans="1:26">
      <c r="A20" s="268"/>
      <c r="B20" s="268" t="s">
        <v>1199</v>
      </c>
      <c r="C20" s="152" t="s">
        <v>1200</v>
      </c>
      <c r="D20" s="14">
        <v>3200000</v>
      </c>
      <c r="E20" s="45">
        <v>31969880</v>
      </c>
      <c r="F20" s="14">
        <v>0.7</v>
      </c>
      <c r="G20" s="14">
        <v>3.32</v>
      </c>
      <c r="H20" s="14">
        <v>-1.68</v>
      </c>
      <c r="I20" s="14">
        <v>1.43</v>
      </c>
      <c r="J20" s="14">
        <v>-7.01</v>
      </c>
      <c r="K20" s="14">
        <v>-2.97</v>
      </c>
      <c r="L20" s="14">
        <v>2.27</v>
      </c>
      <c r="M20" s="14">
        <v>8.01</v>
      </c>
      <c r="N20" s="14">
        <v>-2.15</v>
      </c>
      <c r="O20" s="14">
        <v>-22.88</v>
      </c>
      <c r="P20" s="14">
        <v>-9.42</v>
      </c>
      <c r="Q20" s="14">
        <v>2.1800000000000002</v>
      </c>
      <c r="R20" s="14">
        <v>15.9</v>
      </c>
      <c r="S20" s="14">
        <v>-18.75</v>
      </c>
      <c r="T20" s="14">
        <v>-1.59</v>
      </c>
      <c r="U20" s="14">
        <v>2.67</v>
      </c>
      <c r="V20" s="14">
        <v>-2.2799999999999998</v>
      </c>
      <c r="W20" s="14">
        <v>-1.1000000000000001</v>
      </c>
      <c r="X20" s="14">
        <v>-16.29</v>
      </c>
      <c r="Y20" s="14">
        <v>-3.21</v>
      </c>
      <c r="Z20" s="14">
        <v>10.86</v>
      </c>
    </row>
    <row r="21" spans="1:26">
      <c r="A21" s="268"/>
      <c r="B21" s="268" t="s">
        <v>1144</v>
      </c>
      <c r="C21" s="152" t="s">
        <v>1145</v>
      </c>
      <c r="D21" s="14">
        <v>3800000</v>
      </c>
      <c r="E21" s="45">
        <v>26646363</v>
      </c>
      <c r="F21" s="14">
        <v>0.57999999999999996</v>
      </c>
      <c r="G21" s="14">
        <v>12.26</v>
      </c>
      <c r="H21" s="14">
        <v>-1.32</v>
      </c>
      <c r="I21" s="14">
        <v>0.12</v>
      </c>
      <c r="J21" s="14">
        <v>-24.88</v>
      </c>
      <c r="K21" s="14">
        <v>-3.14</v>
      </c>
      <c r="L21" s="14">
        <v>-0.72</v>
      </c>
      <c r="M21" s="14">
        <v>-0.56000000000000005</v>
      </c>
      <c r="N21" s="14">
        <v>-2.84</v>
      </c>
      <c r="O21" s="14">
        <v>-14.81</v>
      </c>
      <c r="P21" s="14">
        <v>-5.95</v>
      </c>
      <c r="Q21" s="14">
        <v>2.84</v>
      </c>
      <c r="R21" s="14">
        <v>5.39</v>
      </c>
      <c r="S21" s="14">
        <v>-13.43</v>
      </c>
      <c r="T21" s="14">
        <v>-3.5</v>
      </c>
      <c r="U21" s="14">
        <v>-3.08</v>
      </c>
      <c r="V21" s="14">
        <v>-3.04</v>
      </c>
      <c r="W21" s="14">
        <v>-2.06</v>
      </c>
      <c r="X21" s="14">
        <v>-1.94</v>
      </c>
      <c r="Y21" s="14">
        <v>-4.26</v>
      </c>
      <c r="Z21" s="14">
        <v>-100</v>
      </c>
    </row>
    <row r="22" spans="1:26">
      <c r="A22" s="268"/>
      <c r="B22" s="268" t="s">
        <v>1270</v>
      </c>
      <c r="C22" s="152" t="s">
        <v>1202</v>
      </c>
      <c r="D22" s="14">
        <v>12600000</v>
      </c>
      <c r="E22" s="45">
        <v>97053559</v>
      </c>
      <c r="F22" s="14">
        <v>2.11</v>
      </c>
      <c r="G22" s="14">
        <v>13.78</v>
      </c>
      <c r="H22" s="14">
        <v>-2.5</v>
      </c>
      <c r="I22" s="14">
        <v>0.27</v>
      </c>
      <c r="J22" s="14">
        <v>-20.95</v>
      </c>
      <c r="K22" s="14">
        <v>-5.03</v>
      </c>
      <c r="L22" s="14">
        <v>-7.0000000000000007E-2</v>
      </c>
      <c r="M22" s="14">
        <v>-0.79</v>
      </c>
      <c r="N22" s="14">
        <v>-3.12</v>
      </c>
      <c r="O22" s="14">
        <v>-14.78</v>
      </c>
      <c r="P22" s="14">
        <v>-7.09</v>
      </c>
      <c r="Q22" s="14">
        <v>3.12</v>
      </c>
      <c r="R22" s="14">
        <v>6.28</v>
      </c>
      <c r="S22" s="14">
        <v>-12.85</v>
      </c>
      <c r="T22" s="14">
        <v>-3.7</v>
      </c>
      <c r="U22" s="14">
        <v>-2.41</v>
      </c>
      <c r="V22" s="14">
        <v>-5.09</v>
      </c>
      <c r="W22" s="14">
        <v>-3.52</v>
      </c>
      <c r="X22" s="14">
        <v>-4.29</v>
      </c>
      <c r="Y22" s="14">
        <v>-4.67</v>
      </c>
      <c r="Z22" s="14">
        <v>-100</v>
      </c>
    </row>
    <row r="23" spans="1:26">
      <c r="A23" s="268"/>
      <c r="B23" s="268" t="s">
        <v>1371</v>
      </c>
      <c r="C23" s="152" t="s">
        <v>1294</v>
      </c>
      <c r="D23" s="14">
        <v>10000000</v>
      </c>
      <c r="E23" s="45">
        <v>77372339</v>
      </c>
      <c r="F23" s="14">
        <v>1.68</v>
      </c>
      <c r="G23" s="14">
        <v>3.67</v>
      </c>
      <c r="H23" s="14">
        <v>-0.47</v>
      </c>
      <c r="I23" s="14">
        <v>0.27</v>
      </c>
      <c r="J23" s="14">
        <v>-3.62</v>
      </c>
      <c r="K23" s="14">
        <v>-0.88</v>
      </c>
      <c r="L23" s="14">
        <v>0.23</v>
      </c>
      <c r="M23" s="14">
        <v>0.08</v>
      </c>
      <c r="N23" s="14">
        <v>-0.61</v>
      </c>
      <c r="O23" s="14">
        <v>-4.03</v>
      </c>
      <c r="P23" s="14">
        <v>-2.21</v>
      </c>
      <c r="Q23" s="14">
        <v>0.61</v>
      </c>
      <c r="R23" s="14">
        <v>2.4</v>
      </c>
      <c r="S23" s="14">
        <v>-4.0199999999999996</v>
      </c>
      <c r="T23" s="14">
        <v>-0.7</v>
      </c>
      <c r="U23" s="14">
        <v>-0.1</v>
      </c>
      <c r="V23" s="14">
        <v>-0.62</v>
      </c>
      <c r="W23" s="14">
        <v>-0.14000000000000001</v>
      </c>
      <c r="X23" s="14">
        <v>-1.91</v>
      </c>
      <c r="Y23" s="14">
        <v>-0.92</v>
      </c>
      <c r="Z23" s="14">
        <v>-27.92</v>
      </c>
    </row>
    <row r="24" spans="1:26">
      <c r="A24" s="268"/>
      <c r="B24" s="268" t="s">
        <v>1372</v>
      </c>
      <c r="C24" s="152" t="s">
        <v>1296</v>
      </c>
      <c r="D24" s="14">
        <v>5375000</v>
      </c>
      <c r="E24" s="45">
        <v>37681112</v>
      </c>
      <c r="F24" s="14">
        <v>0.82</v>
      </c>
      <c r="G24" s="14">
        <v>27.93</v>
      </c>
      <c r="H24" s="14">
        <v>-2.97</v>
      </c>
      <c r="I24" s="14">
        <v>0.19</v>
      </c>
      <c r="J24" s="14">
        <v>-72.66</v>
      </c>
      <c r="K24" s="14">
        <v>-12.06</v>
      </c>
      <c r="L24" s="14">
        <v>-1.29</v>
      </c>
      <c r="M24" s="14">
        <v>-2.5099999999999998</v>
      </c>
      <c r="N24" s="14">
        <v>-5.64</v>
      </c>
      <c r="O24" s="14">
        <v>-39.6</v>
      </c>
      <c r="P24" s="14">
        <v>-7.15</v>
      </c>
      <c r="Q24" s="14">
        <v>5.64</v>
      </c>
      <c r="R24" s="14">
        <v>5.49</v>
      </c>
      <c r="S24" s="14">
        <v>-18.37</v>
      </c>
      <c r="T24" s="14">
        <v>-7.22</v>
      </c>
      <c r="U24" s="14">
        <v>-7.21</v>
      </c>
      <c r="V24" s="14">
        <v>-13.57</v>
      </c>
      <c r="W24" s="14">
        <v>-1.72</v>
      </c>
      <c r="X24" s="14">
        <v>1.38</v>
      </c>
      <c r="Y24" s="14">
        <v>-8.4499999999999993</v>
      </c>
      <c r="Z24" s="14">
        <v>-100</v>
      </c>
    </row>
    <row r="25" spans="1:26">
      <c r="A25" s="268"/>
      <c r="B25" s="268" t="s">
        <v>1976</v>
      </c>
      <c r="C25" s="152" t="s">
        <v>1923</v>
      </c>
      <c r="D25" s="14">
        <v>5300000</v>
      </c>
      <c r="E25" s="45">
        <v>41290267</v>
      </c>
      <c r="F25" s="14">
        <v>0.9</v>
      </c>
      <c r="G25" s="14">
        <v>1.53</v>
      </c>
      <c r="H25" s="14">
        <v>-0.06</v>
      </c>
      <c r="I25" s="14">
        <v>0.67</v>
      </c>
      <c r="J25" s="14">
        <v>-5.5</v>
      </c>
      <c r="K25" s="14">
        <v>0.04</v>
      </c>
      <c r="L25" s="14">
        <v>0.32</v>
      </c>
      <c r="M25" s="14">
        <v>0.96</v>
      </c>
      <c r="N25" s="14">
        <v>-0.83</v>
      </c>
      <c r="O25" s="14">
        <v>-5.4</v>
      </c>
      <c r="P25" s="14">
        <v>-2.73</v>
      </c>
      <c r="Q25" s="14">
        <v>0.83</v>
      </c>
      <c r="R25" s="14">
        <v>5.7</v>
      </c>
      <c r="S25" s="14">
        <v>-5.23</v>
      </c>
      <c r="T25" s="14">
        <v>-0.95</v>
      </c>
      <c r="U25" s="14">
        <v>0.18</v>
      </c>
      <c r="V25" s="14">
        <v>0.73</v>
      </c>
      <c r="W25" s="14">
        <v>-0.95</v>
      </c>
      <c r="X25" s="14">
        <v>-3.39</v>
      </c>
      <c r="Y25" s="14">
        <v>-1.24</v>
      </c>
      <c r="Z25" s="14">
        <v>-24.18</v>
      </c>
    </row>
    <row r="26" spans="1:26">
      <c r="A26" s="268"/>
      <c r="B26" s="268" t="s">
        <v>1166</v>
      </c>
      <c r="C26" s="152" t="s">
        <v>1147</v>
      </c>
      <c r="D26" s="14">
        <v>3000000</v>
      </c>
      <c r="E26" s="45">
        <v>18573732</v>
      </c>
      <c r="F26" s="14">
        <v>0.4</v>
      </c>
      <c r="G26" s="14">
        <v>19.149999999999999</v>
      </c>
      <c r="H26" s="14">
        <v>-2.1</v>
      </c>
      <c r="I26" s="14">
        <v>7.0000000000000007E-2</v>
      </c>
      <c r="J26" s="14">
        <v>-48.39</v>
      </c>
      <c r="K26" s="14">
        <v>-8.27</v>
      </c>
      <c r="L26" s="14">
        <v>-0.95</v>
      </c>
      <c r="M26" s="14">
        <v>-1.98</v>
      </c>
      <c r="N26" s="14">
        <v>-3.74</v>
      </c>
      <c r="O26" s="14">
        <v>-25.68</v>
      </c>
      <c r="P26" s="14">
        <v>-4.75</v>
      </c>
      <c r="Q26" s="14">
        <v>3.74</v>
      </c>
      <c r="R26" s="14">
        <v>3.07</v>
      </c>
      <c r="S26" s="14">
        <v>-11.95</v>
      </c>
      <c r="T26" s="14">
        <v>-4.8</v>
      </c>
      <c r="U26" s="14">
        <v>-4.8499999999999996</v>
      </c>
      <c r="V26" s="14">
        <v>-9.18</v>
      </c>
      <c r="W26" s="14">
        <v>-0.88</v>
      </c>
      <c r="X26" s="14">
        <v>1.33</v>
      </c>
      <c r="Y26" s="14">
        <v>-5.61</v>
      </c>
      <c r="Z26" s="14">
        <v>-100</v>
      </c>
    </row>
    <row r="27" spans="1:26">
      <c r="A27" s="268"/>
      <c r="B27" s="268" t="s">
        <v>1965</v>
      </c>
      <c r="C27" s="152" t="s">
        <v>1925</v>
      </c>
      <c r="D27" s="14">
        <v>5000000</v>
      </c>
      <c r="E27" s="45">
        <v>40770928</v>
      </c>
      <c r="F27" s="14">
        <v>0.89</v>
      </c>
      <c r="G27" s="14">
        <v>-1.93</v>
      </c>
      <c r="H27" s="14">
        <v>0.54</v>
      </c>
      <c r="I27" s="14">
        <v>0.6</v>
      </c>
      <c r="J27" s="14">
        <v>-9.17</v>
      </c>
      <c r="K27" s="14">
        <v>-0.19</v>
      </c>
      <c r="L27" s="14">
        <v>0.43</v>
      </c>
      <c r="M27" s="14">
        <v>0.63</v>
      </c>
      <c r="N27" s="14">
        <v>-2.23</v>
      </c>
      <c r="O27" s="14">
        <v>-9.02</v>
      </c>
      <c r="P27" s="14">
        <v>-4.42</v>
      </c>
      <c r="Q27" s="14">
        <v>2.23</v>
      </c>
      <c r="R27" s="14">
        <v>5.56</v>
      </c>
      <c r="S27" s="14">
        <v>-9.1300000000000008</v>
      </c>
      <c r="T27" s="14">
        <v>-2.99</v>
      </c>
      <c r="U27" s="14">
        <v>-1.59</v>
      </c>
      <c r="V27" s="14">
        <v>0.31</v>
      </c>
      <c r="W27" s="14">
        <v>0.16</v>
      </c>
      <c r="X27" s="14">
        <v>-2.69</v>
      </c>
      <c r="Y27" s="14">
        <v>-3.35</v>
      </c>
      <c r="Z27" s="14">
        <v>-84.65</v>
      </c>
    </row>
    <row r="28" spans="1:26">
      <c r="A28" s="268"/>
      <c r="B28" s="268" t="s">
        <v>1203</v>
      </c>
      <c r="C28" s="152" t="s">
        <v>1204</v>
      </c>
      <c r="D28" s="14">
        <v>4200000</v>
      </c>
      <c r="E28" s="45">
        <v>32505137</v>
      </c>
      <c r="F28" s="14">
        <v>0.71</v>
      </c>
      <c r="G28" s="14">
        <v>2.5</v>
      </c>
      <c r="H28" s="14">
        <v>-0.46</v>
      </c>
      <c r="I28" s="14">
        <v>-0.02</v>
      </c>
      <c r="J28" s="14">
        <v>-4.32</v>
      </c>
      <c r="K28" s="14">
        <v>-0.77</v>
      </c>
      <c r="L28" s="14">
        <v>-0.01</v>
      </c>
      <c r="M28" s="14">
        <v>-0.22</v>
      </c>
      <c r="N28" s="14">
        <v>-0.49</v>
      </c>
      <c r="O28" s="14">
        <v>-2.8</v>
      </c>
      <c r="P28" s="14">
        <v>-1.18</v>
      </c>
      <c r="Q28" s="14">
        <v>0.49</v>
      </c>
      <c r="R28" s="14">
        <v>0.51</v>
      </c>
      <c r="S28" s="14">
        <v>-2</v>
      </c>
      <c r="T28" s="14">
        <v>-0.6</v>
      </c>
      <c r="U28" s="14">
        <v>-0.41</v>
      </c>
      <c r="V28" s="14">
        <v>-0.73</v>
      </c>
      <c r="W28" s="14">
        <v>-0.27</v>
      </c>
      <c r="X28" s="14">
        <v>-0.44</v>
      </c>
      <c r="Y28" s="14">
        <v>-0.74</v>
      </c>
      <c r="Z28" s="14">
        <v>-24.11</v>
      </c>
    </row>
    <row r="29" spans="1:26">
      <c r="A29" s="268"/>
      <c r="B29" s="268" t="s">
        <v>50</v>
      </c>
      <c r="C29" s="152" t="s">
        <v>51</v>
      </c>
      <c r="D29" s="14">
        <v>6000000</v>
      </c>
      <c r="E29" s="45">
        <v>47527420</v>
      </c>
      <c r="F29" s="14">
        <v>1.03</v>
      </c>
      <c r="G29" s="14">
        <v>2.52</v>
      </c>
      <c r="H29" s="14">
        <v>-0.48</v>
      </c>
      <c r="I29" s="14">
        <v>-0.01</v>
      </c>
      <c r="J29" s="14">
        <v>-4.51</v>
      </c>
      <c r="K29" s="14">
        <v>-0.75</v>
      </c>
      <c r="L29" s="14">
        <v>0</v>
      </c>
      <c r="M29" s="14">
        <v>-0.22</v>
      </c>
      <c r="N29" s="14">
        <v>-0.51</v>
      </c>
      <c r="O29" s="14">
        <v>-2.85</v>
      </c>
      <c r="P29" s="14">
        <v>-1.18</v>
      </c>
      <c r="Q29" s="14">
        <v>0.51</v>
      </c>
      <c r="R29" s="14">
        <v>0.57999999999999996</v>
      </c>
      <c r="S29" s="14">
        <v>-2.02</v>
      </c>
      <c r="T29" s="14">
        <v>-0.62</v>
      </c>
      <c r="U29" s="14">
        <v>-0.44</v>
      </c>
      <c r="V29" s="14">
        <v>-0.71</v>
      </c>
      <c r="W29" s="14">
        <v>-0.37</v>
      </c>
      <c r="X29" s="14">
        <v>-0.43</v>
      </c>
      <c r="Y29" s="14">
        <v>-0.77</v>
      </c>
      <c r="Z29" s="14">
        <v>-24.88</v>
      </c>
    </row>
    <row r="30" spans="1:26">
      <c r="A30" s="268"/>
      <c r="B30" s="268" t="s">
        <v>50</v>
      </c>
      <c r="C30" s="152" t="s">
        <v>51</v>
      </c>
      <c r="D30" s="14">
        <v>4000000</v>
      </c>
      <c r="E30" s="45">
        <v>31684947</v>
      </c>
      <c r="F30" s="14">
        <v>0.69</v>
      </c>
      <c r="G30" s="14">
        <v>2.52</v>
      </c>
      <c r="H30" s="14">
        <v>-0.48</v>
      </c>
      <c r="I30" s="14">
        <v>-0.01</v>
      </c>
      <c r="J30" s="14">
        <v>-4.51</v>
      </c>
      <c r="K30" s="14">
        <v>-0.75</v>
      </c>
      <c r="L30" s="14">
        <v>0</v>
      </c>
      <c r="M30" s="14">
        <v>-0.22</v>
      </c>
      <c r="N30" s="14">
        <v>-0.51</v>
      </c>
      <c r="O30" s="14">
        <v>-2.85</v>
      </c>
      <c r="P30" s="14">
        <v>-1.18</v>
      </c>
      <c r="Q30" s="14">
        <v>0.51</v>
      </c>
      <c r="R30" s="14">
        <v>0.57999999999999996</v>
      </c>
      <c r="S30" s="14">
        <v>-2.02</v>
      </c>
      <c r="T30" s="14">
        <v>-0.62</v>
      </c>
      <c r="U30" s="14">
        <v>-0.44</v>
      </c>
      <c r="V30" s="14">
        <v>-0.71</v>
      </c>
      <c r="W30" s="14">
        <v>-0.37</v>
      </c>
      <c r="X30" s="14">
        <v>-0.43</v>
      </c>
      <c r="Y30" s="14">
        <v>-0.77</v>
      </c>
      <c r="Z30" s="14">
        <v>-24.88</v>
      </c>
    </row>
    <row r="31" spans="1:26">
      <c r="A31" s="268"/>
      <c r="B31" s="268" t="s">
        <v>829</v>
      </c>
      <c r="C31" s="152" t="s">
        <v>53</v>
      </c>
      <c r="D31" s="14">
        <v>6000000</v>
      </c>
      <c r="E31" s="45">
        <v>48554380</v>
      </c>
      <c r="F31" s="14">
        <v>1.06</v>
      </c>
      <c r="G31" s="14">
        <v>4.72</v>
      </c>
      <c r="H31" s="14">
        <v>-0.84</v>
      </c>
      <c r="I31" s="14">
        <v>0.02</v>
      </c>
      <c r="J31" s="14">
        <v>-6.99</v>
      </c>
      <c r="K31" s="14">
        <v>-1.67</v>
      </c>
      <c r="L31" s="14">
        <v>-7.0000000000000007E-2</v>
      </c>
      <c r="M31" s="14">
        <v>-0.49</v>
      </c>
      <c r="N31" s="14">
        <v>-0.93</v>
      </c>
      <c r="O31" s="14">
        <v>-4.4400000000000004</v>
      </c>
      <c r="P31" s="14">
        <v>-2.15</v>
      </c>
      <c r="Q31" s="14">
        <v>0.93</v>
      </c>
      <c r="R31" s="14">
        <v>1.31</v>
      </c>
      <c r="S31" s="14">
        <v>-3.7</v>
      </c>
      <c r="T31" s="14">
        <v>-1.1200000000000001</v>
      </c>
      <c r="U31" s="14">
        <v>-0.77</v>
      </c>
      <c r="V31" s="14">
        <v>-1.61</v>
      </c>
      <c r="W31" s="14">
        <v>-0.72</v>
      </c>
      <c r="X31" s="14">
        <v>-0.87</v>
      </c>
      <c r="Y31" s="14">
        <v>-1.4</v>
      </c>
      <c r="Z31" s="14">
        <v>-43.22</v>
      </c>
    </row>
    <row r="32" spans="1:26">
      <c r="A32" s="268"/>
      <c r="B32" s="268" t="s">
        <v>1104</v>
      </c>
      <c r="C32" s="152" t="s">
        <v>1105</v>
      </c>
      <c r="D32" s="14">
        <v>2200000</v>
      </c>
      <c r="E32" s="45">
        <v>17448072</v>
      </c>
      <c r="F32" s="14">
        <v>0.38</v>
      </c>
      <c r="G32" s="14">
        <v>11.53</v>
      </c>
      <c r="H32" s="14">
        <v>-2.2000000000000002</v>
      </c>
      <c r="I32" s="14">
        <v>-0.09</v>
      </c>
      <c r="J32" s="14">
        <v>-18.11</v>
      </c>
      <c r="K32" s="14">
        <v>-4.68</v>
      </c>
      <c r="L32" s="14">
        <v>-0.44</v>
      </c>
      <c r="M32" s="14">
        <v>-1.59</v>
      </c>
      <c r="N32" s="14">
        <v>-2.4500000000000002</v>
      </c>
      <c r="O32" s="14">
        <v>-9.8699999999999992</v>
      </c>
      <c r="P32" s="14">
        <v>-4.82</v>
      </c>
      <c r="Q32" s="14">
        <v>2.4500000000000002</v>
      </c>
      <c r="R32" s="14">
        <v>2.67</v>
      </c>
      <c r="S32" s="14">
        <v>-8.2899999999999991</v>
      </c>
      <c r="T32" s="14">
        <v>-2.98</v>
      </c>
      <c r="U32" s="14">
        <v>-2.39</v>
      </c>
      <c r="V32" s="14">
        <v>-4.79</v>
      </c>
      <c r="W32" s="14">
        <v>-2.48</v>
      </c>
      <c r="X32" s="14">
        <v>-1.42</v>
      </c>
      <c r="Y32" s="14">
        <v>-3.67</v>
      </c>
      <c r="Z32" s="14">
        <v>-100</v>
      </c>
    </row>
    <row r="33" spans="1:26">
      <c r="A33" s="268"/>
      <c r="B33" s="268" t="s">
        <v>54</v>
      </c>
      <c r="C33" s="152" t="s">
        <v>55</v>
      </c>
      <c r="D33" s="14">
        <v>5000000</v>
      </c>
      <c r="E33" s="45">
        <v>8682464</v>
      </c>
      <c r="F33" s="14">
        <v>0.19</v>
      </c>
      <c r="G33" s="14"/>
      <c r="H33" s="14"/>
      <c r="I33" s="14"/>
      <c r="J33" s="14"/>
      <c r="K33" s="14"/>
      <c r="L33" s="14"/>
      <c r="M33" s="14"/>
      <c r="N33" s="14"/>
      <c r="O33" s="14"/>
      <c r="P33" s="14"/>
      <c r="Q33" s="14"/>
      <c r="R33" s="14"/>
      <c r="S33" s="14"/>
      <c r="T33" s="14"/>
      <c r="U33" s="14"/>
      <c r="V33" s="14"/>
      <c r="W33" s="14"/>
      <c r="X33" s="14"/>
      <c r="Y33" s="14"/>
      <c r="Z33" s="14"/>
    </row>
    <row r="34" spans="1:26">
      <c r="A34" s="268"/>
      <c r="B34" s="268" t="s">
        <v>1088</v>
      </c>
      <c r="C34" s="152" t="s">
        <v>1068</v>
      </c>
      <c r="D34" s="14">
        <v>6000000</v>
      </c>
      <c r="E34" s="45">
        <v>46410742</v>
      </c>
      <c r="F34" s="14">
        <v>1.01</v>
      </c>
      <c r="G34" s="14">
        <v>10.79</v>
      </c>
      <c r="H34" s="14">
        <v>-1.8</v>
      </c>
      <c r="I34" s="14">
        <v>0.27</v>
      </c>
      <c r="J34" s="14">
        <v>-20.96</v>
      </c>
      <c r="K34" s="14">
        <v>-5.34</v>
      </c>
      <c r="L34" s="14">
        <v>0.17</v>
      </c>
      <c r="M34" s="14">
        <v>-0.89</v>
      </c>
      <c r="N34" s="14">
        <v>-2.0299999999999998</v>
      </c>
      <c r="O34" s="14">
        <v>-13.61</v>
      </c>
      <c r="P34" s="14">
        <v>-3.45</v>
      </c>
      <c r="Q34" s="14">
        <v>2.0299999999999998</v>
      </c>
      <c r="R34" s="14">
        <v>2.79</v>
      </c>
      <c r="S34" s="14">
        <v>-5.96</v>
      </c>
      <c r="T34" s="14">
        <v>-2.48</v>
      </c>
      <c r="U34" s="14">
        <v>-1.69</v>
      </c>
      <c r="V34" s="14">
        <v>-5.74</v>
      </c>
      <c r="W34" s="14">
        <v>-0.89</v>
      </c>
      <c r="X34" s="14">
        <v>-1.64</v>
      </c>
      <c r="Y34" s="14">
        <v>-3.04</v>
      </c>
      <c r="Z34" s="14">
        <v>-74.040000000000006</v>
      </c>
    </row>
    <row r="35" spans="1:26">
      <c r="A35" s="268"/>
      <c r="B35" s="268" t="s">
        <v>1088</v>
      </c>
      <c r="C35" s="152" t="s">
        <v>1068</v>
      </c>
      <c r="D35" s="14">
        <v>5000000</v>
      </c>
      <c r="E35" s="45">
        <v>38675618</v>
      </c>
      <c r="F35" s="14">
        <v>0.84</v>
      </c>
      <c r="G35" s="14">
        <v>10.79</v>
      </c>
      <c r="H35" s="14">
        <v>-1.8</v>
      </c>
      <c r="I35" s="14">
        <v>0.27</v>
      </c>
      <c r="J35" s="14">
        <v>-20.96</v>
      </c>
      <c r="K35" s="14">
        <v>-5.34</v>
      </c>
      <c r="L35" s="14">
        <v>0.17</v>
      </c>
      <c r="M35" s="14">
        <v>-0.89</v>
      </c>
      <c r="N35" s="14">
        <v>-2.0299999999999998</v>
      </c>
      <c r="O35" s="14">
        <v>-13.61</v>
      </c>
      <c r="P35" s="14">
        <v>-3.45</v>
      </c>
      <c r="Q35" s="14">
        <v>2.0299999999999998</v>
      </c>
      <c r="R35" s="14">
        <v>2.79</v>
      </c>
      <c r="S35" s="14">
        <v>-5.96</v>
      </c>
      <c r="T35" s="14">
        <v>-2.48</v>
      </c>
      <c r="U35" s="14">
        <v>-1.69</v>
      </c>
      <c r="V35" s="14">
        <v>-5.74</v>
      </c>
      <c r="W35" s="14">
        <v>-0.89</v>
      </c>
      <c r="X35" s="14">
        <v>-1.64</v>
      </c>
      <c r="Y35" s="14">
        <v>-3.04</v>
      </c>
      <c r="Z35" s="14">
        <v>-74.040000000000006</v>
      </c>
    </row>
    <row r="36" spans="1:26">
      <c r="A36" s="268"/>
      <c r="B36" s="268" t="s">
        <v>1373</v>
      </c>
      <c r="C36" s="152" t="s">
        <v>1298</v>
      </c>
      <c r="D36" s="14">
        <v>3350000</v>
      </c>
      <c r="E36" s="45">
        <v>25769375</v>
      </c>
      <c r="F36" s="14">
        <v>0.56000000000000005</v>
      </c>
      <c r="G36" s="14">
        <v>5.97</v>
      </c>
      <c r="H36" s="14">
        <v>-0.78</v>
      </c>
      <c r="I36" s="14">
        <v>0.51</v>
      </c>
      <c r="J36" s="14">
        <v>-11.71</v>
      </c>
      <c r="K36" s="14">
        <v>-2.5099999999999998</v>
      </c>
      <c r="L36" s="14">
        <v>0.6</v>
      </c>
      <c r="M36" s="14">
        <v>0.47</v>
      </c>
      <c r="N36" s="14">
        <v>-1.17</v>
      </c>
      <c r="O36" s="14">
        <v>-10.72</v>
      </c>
      <c r="P36" s="14">
        <v>-2.86</v>
      </c>
      <c r="Q36" s="14">
        <v>1.17</v>
      </c>
      <c r="R36" s="14">
        <v>3.94</v>
      </c>
      <c r="S36" s="14">
        <v>-5.4</v>
      </c>
      <c r="T36" s="14">
        <v>-1.37</v>
      </c>
      <c r="U36" s="14">
        <v>-0.38</v>
      </c>
      <c r="V36" s="14">
        <v>-2.66</v>
      </c>
      <c r="W36" s="14">
        <v>-0.38</v>
      </c>
      <c r="X36" s="14">
        <v>-3.08</v>
      </c>
      <c r="Y36" s="14">
        <v>-1.75</v>
      </c>
      <c r="Z36" s="14">
        <v>-34.99</v>
      </c>
    </row>
    <row r="37" spans="1:26">
      <c r="A37" s="268"/>
      <c r="B37" s="268" t="s">
        <v>1299</v>
      </c>
      <c r="C37" s="152" t="s">
        <v>1300</v>
      </c>
      <c r="D37" s="14">
        <v>2970000</v>
      </c>
      <c r="E37" s="45">
        <v>20257581</v>
      </c>
      <c r="F37" s="14">
        <v>0.44</v>
      </c>
      <c r="G37" s="14">
        <v>21.15</v>
      </c>
      <c r="H37" s="14">
        <v>-4.08</v>
      </c>
      <c r="I37" s="14">
        <v>0.02</v>
      </c>
      <c r="J37" s="14">
        <v>-33.33</v>
      </c>
      <c r="K37" s="14">
        <v>-8.4499999999999993</v>
      </c>
      <c r="L37" s="14">
        <v>-0.61</v>
      </c>
      <c r="M37" s="14">
        <v>-2.1800000000000002</v>
      </c>
      <c r="N37" s="14">
        <v>-4.72</v>
      </c>
      <c r="O37" s="14">
        <v>-20</v>
      </c>
      <c r="P37" s="14">
        <v>-9.6300000000000008</v>
      </c>
      <c r="Q37" s="14">
        <v>4.72</v>
      </c>
      <c r="R37" s="14">
        <v>6.91</v>
      </c>
      <c r="S37" s="14">
        <v>-17.18</v>
      </c>
      <c r="T37" s="14">
        <v>-5.68</v>
      </c>
      <c r="U37" s="14">
        <v>-4.3</v>
      </c>
      <c r="V37" s="14">
        <v>-8.75</v>
      </c>
      <c r="W37" s="14">
        <v>-5.6</v>
      </c>
      <c r="X37" s="14">
        <v>-4.1100000000000003</v>
      </c>
      <c r="Y37" s="14">
        <v>-7.08</v>
      </c>
      <c r="Z37" s="14">
        <v>-100</v>
      </c>
    </row>
    <row r="38" spans="1:26">
      <c r="A38" s="268"/>
      <c r="B38" s="268" t="s">
        <v>1054</v>
      </c>
      <c r="C38" s="152" t="s">
        <v>1055</v>
      </c>
      <c r="D38" s="14">
        <v>110000</v>
      </c>
      <c r="E38" s="45">
        <v>3041500</v>
      </c>
      <c r="F38" s="14">
        <v>7.0000000000000007E-2</v>
      </c>
      <c r="G38" s="14">
        <v>46.06</v>
      </c>
      <c r="H38" s="14">
        <v>-22.54</v>
      </c>
      <c r="I38" s="14">
        <v>-1.63</v>
      </c>
      <c r="J38" s="14">
        <v>-36.5</v>
      </c>
      <c r="K38" s="14">
        <v>-11.33</v>
      </c>
      <c r="L38" s="14">
        <v>-3.31</v>
      </c>
      <c r="M38" s="14">
        <v>-6.86</v>
      </c>
      <c r="N38" s="14">
        <v>-7.46</v>
      </c>
      <c r="O38" s="14">
        <v>-14.71</v>
      </c>
      <c r="P38" s="14">
        <v>-7.92</v>
      </c>
      <c r="Q38" s="14">
        <v>7.46</v>
      </c>
      <c r="R38" s="14">
        <v>-0.53</v>
      </c>
      <c r="S38" s="14">
        <v>-7.52</v>
      </c>
      <c r="T38" s="14">
        <v>-8.9700000000000006</v>
      </c>
      <c r="U38" s="14">
        <v>-9.67</v>
      </c>
      <c r="V38" s="14">
        <v>-9.2100000000000009</v>
      </c>
      <c r="W38" s="14">
        <v>1.9</v>
      </c>
      <c r="X38" s="14">
        <v>7.0000000000000007E-2</v>
      </c>
      <c r="Y38" s="14">
        <v>-11.2</v>
      </c>
      <c r="Z38" s="14">
        <v>81.88</v>
      </c>
    </row>
    <row r="39" spans="1:26">
      <c r="A39" s="268"/>
      <c r="B39" s="268" t="s">
        <v>957</v>
      </c>
      <c r="C39" s="152" t="s">
        <v>971</v>
      </c>
      <c r="D39" s="14">
        <v>290000</v>
      </c>
      <c r="E39" s="45">
        <v>10773500</v>
      </c>
      <c r="F39" s="14">
        <v>0.23</v>
      </c>
      <c r="G39" s="14">
        <v>63.55</v>
      </c>
      <c r="H39" s="14">
        <v>-20.12</v>
      </c>
      <c r="I39" s="14">
        <v>-2.71</v>
      </c>
      <c r="J39" s="14">
        <v>-43.36</v>
      </c>
      <c r="K39" s="14">
        <v>-10.45</v>
      </c>
      <c r="L39" s="14">
        <v>-4.1500000000000004</v>
      </c>
      <c r="M39" s="14">
        <v>-10.84</v>
      </c>
      <c r="N39" s="14">
        <v>-7.81</v>
      </c>
      <c r="O39" s="14">
        <v>-8.9600000000000009</v>
      </c>
      <c r="P39" s="14">
        <v>-8.77</v>
      </c>
      <c r="Q39" s="14">
        <v>7.81</v>
      </c>
      <c r="R39" s="14">
        <v>1.51</v>
      </c>
      <c r="S39" s="14">
        <v>-7.21</v>
      </c>
      <c r="T39" s="14">
        <v>-9.24</v>
      </c>
      <c r="U39" s="14">
        <v>-10.86</v>
      </c>
      <c r="V39" s="14">
        <v>-7.51</v>
      </c>
      <c r="W39" s="14">
        <v>-1.77</v>
      </c>
      <c r="X39" s="14">
        <v>2.33</v>
      </c>
      <c r="Y39" s="14">
        <v>-11.71</v>
      </c>
      <c r="Z39" s="14">
        <v>72.72</v>
      </c>
    </row>
    <row r="40" spans="1:26">
      <c r="A40" s="268"/>
      <c r="B40" s="268" t="s">
        <v>28</v>
      </c>
      <c r="C40" s="152" t="s">
        <v>876</v>
      </c>
      <c r="D40" s="14">
        <v>125000</v>
      </c>
      <c r="E40" s="45">
        <v>7806250</v>
      </c>
      <c r="F40" s="14">
        <v>0.17</v>
      </c>
      <c r="G40" s="14">
        <v>42.73</v>
      </c>
      <c r="H40" s="14">
        <v>-19.93</v>
      </c>
      <c r="I40" s="14">
        <v>-1.93</v>
      </c>
      <c r="J40" s="14">
        <v>-19.09</v>
      </c>
      <c r="K40" s="14">
        <v>-10.38</v>
      </c>
      <c r="L40" s="14">
        <v>-3.27</v>
      </c>
      <c r="M40" s="14">
        <v>-7.01</v>
      </c>
      <c r="N40" s="14">
        <v>-7.86</v>
      </c>
      <c r="O40" s="14">
        <v>-5.26</v>
      </c>
      <c r="P40" s="14">
        <v>-6.34</v>
      </c>
      <c r="Q40" s="14">
        <v>7.86</v>
      </c>
      <c r="R40" s="14">
        <v>4.8</v>
      </c>
      <c r="S40" s="14">
        <v>-3.98</v>
      </c>
      <c r="T40" s="14">
        <v>-9.7100000000000009</v>
      </c>
      <c r="U40" s="14">
        <v>-9.9700000000000006</v>
      </c>
      <c r="V40" s="14">
        <v>-7.72</v>
      </c>
      <c r="W40" s="14">
        <v>3.97</v>
      </c>
      <c r="X40" s="14">
        <v>0.85</v>
      </c>
      <c r="Y40" s="14">
        <v>-11.8</v>
      </c>
      <c r="Z40" s="14">
        <v>148.41999999999999</v>
      </c>
    </row>
    <row r="41" spans="1:26">
      <c r="A41" s="268"/>
      <c r="B41" s="268" t="s">
        <v>1285</v>
      </c>
      <c r="C41" s="152" t="s">
        <v>1374</v>
      </c>
      <c r="D41" s="14">
        <v>3500000</v>
      </c>
      <c r="E41" s="45">
        <v>6090000</v>
      </c>
      <c r="F41" s="14">
        <v>0.13</v>
      </c>
      <c r="G41" s="14">
        <v>52.33</v>
      </c>
      <c r="H41" s="14">
        <v>-21.44</v>
      </c>
      <c r="I41" s="14">
        <v>-2.9</v>
      </c>
      <c r="J41" s="14">
        <v>-47.16</v>
      </c>
      <c r="K41" s="14">
        <v>-14.32</v>
      </c>
      <c r="L41" s="14">
        <v>-3.95</v>
      </c>
      <c r="M41" s="14">
        <v>-13.78</v>
      </c>
      <c r="N41" s="14">
        <v>-9.19</v>
      </c>
      <c r="O41" s="14">
        <v>-12.44</v>
      </c>
      <c r="P41" s="14">
        <v>-9.6300000000000008</v>
      </c>
      <c r="Q41" s="14">
        <v>9.19</v>
      </c>
      <c r="R41" s="14">
        <v>-1.73</v>
      </c>
      <c r="S41" s="14">
        <v>-9.9</v>
      </c>
      <c r="T41" s="14">
        <v>-11.17</v>
      </c>
      <c r="U41" s="14">
        <v>-12.28</v>
      </c>
      <c r="V41" s="14">
        <v>-11.58</v>
      </c>
      <c r="W41" s="14">
        <v>-3.3</v>
      </c>
      <c r="X41" s="14">
        <v>1.91</v>
      </c>
      <c r="Y41" s="14">
        <v>-13.78</v>
      </c>
      <c r="Z41" s="14">
        <v>66.7</v>
      </c>
    </row>
    <row r="42" spans="1:26">
      <c r="A42" s="268"/>
      <c r="B42" s="268" t="s">
        <v>961</v>
      </c>
      <c r="C42" s="152" t="s">
        <v>962</v>
      </c>
      <c r="D42" s="14">
        <v>4000000</v>
      </c>
      <c r="E42" s="45">
        <v>31104066</v>
      </c>
      <c r="F42" s="14">
        <v>0.68</v>
      </c>
      <c r="G42" s="14">
        <v>3.59</v>
      </c>
      <c r="H42" s="14">
        <v>-0.66</v>
      </c>
      <c r="I42" s="14">
        <v>-0.02</v>
      </c>
      <c r="J42" s="14">
        <v>-5.83</v>
      </c>
      <c r="K42" s="14">
        <v>-1.26</v>
      </c>
      <c r="L42" s="14">
        <v>-0.06</v>
      </c>
      <c r="M42" s="14">
        <v>-0.38</v>
      </c>
      <c r="N42" s="14">
        <v>-0.71</v>
      </c>
      <c r="O42" s="14">
        <v>-3.54</v>
      </c>
      <c r="P42" s="14">
        <v>-1.62</v>
      </c>
      <c r="Q42" s="14">
        <v>0.71</v>
      </c>
      <c r="R42" s="14">
        <v>0.77</v>
      </c>
      <c r="S42" s="14">
        <v>-2.78</v>
      </c>
      <c r="T42" s="14">
        <v>-0.86</v>
      </c>
      <c r="U42" s="14">
        <v>-0.61</v>
      </c>
      <c r="V42" s="14">
        <v>-1.22</v>
      </c>
      <c r="W42" s="14">
        <v>-0.49</v>
      </c>
      <c r="X42" s="14">
        <v>-0.57999999999999996</v>
      </c>
      <c r="Y42" s="14">
        <v>-1.06</v>
      </c>
      <c r="Z42" s="14">
        <v>-34.840000000000003</v>
      </c>
    </row>
    <row r="43" spans="1:26">
      <c r="A43" s="268"/>
      <c r="B43" s="268" t="s">
        <v>830</v>
      </c>
      <c r="C43" s="152" t="s">
        <v>57</v>
      </c>
      <c r="D43" s="14">
        <v>6000000</v>
      </c>
      <c r="E43" s="45">
        <v>48096225</v>
      </c>
      <c r="F43" s="14">
        <v>1.05</v>
      </c>
      <c r="G43" s="14">
        <v>2.58</v>
      </c>
      <c r="H43" s="14">
        <v>-0.5</v>
      </c>
      <c r="I43" s="14">
        <v>-0.03</v>
      </c>
      <c r="J43" s="14">
        <v>-4.66</v>
      </c>
      <c r="K43" s="14">
        <v>-0.8</v>
      </c>
      <c r="L43" s="14">
        <v>-0.02</v>
      </c>
      <c r="M43" s="14">
        <v>-0.24</v>
      </c>
      <c r="N43" s="14">
        <v>-0.53</v>
      </c>
      <c r="O43" s="14">
        <v>-2.95</v>
      </c>
      <c r="P43" s="14">
        <v>-1.19</v>
      </c>
      <c r="Q43" s="14">
        <v>0.53</v>
      </c>
      <c r="R43" s="14">
        <v>0.51</v>
      </c>
      <c r="S43" s="14">
        <v>-2.0299999999999998</v>
      </c>
      <c r="T43" s="14">
        <v>-0.64</v>
      </c>
      <c r="U43" s="14">
        <v>-0.46</v>
      </c>
      <c r="V43" s="14">
        <v>-0.77</v>
      </c>
      <c r="W43" s="14">
        <v>-0.36</v>
      </c>
      <c r="X43" s="14">
        <v>-0.4</v>
      </c>
      <c r="Y43" s="14">
        <v>-0.79</v>
      </c>
      <c r="Z43" s="14">
        <v>-26.04</v>
      </c>
    </row>
    <row r="44" spans="1:26">
      <c r="A44" s="268"/>
      <c r="B44" s="268" t="s">
        <v>1271</v>
      </c>
      <c r="C44" s="152" t="s">
        <v>1206</v>
      </c>
      <c r="D44" s="14">
        <v>2500000</v>
      </c>
      <c r="E44" s="45">
        <v>19410666</v>
      </c>
      <c r="F44" s="14">
        <v>0.42</v>
      </c>
      <c r="G44" s="14">
        <v>5.62</v>
      </c>
      <c r="H44" s="14">
        <v>-1.5</v>
      </c>
      <c r="I44" s="14">
        <v>0.86</v>
      </c>
      <c r="J44" s="14">
        <v>-4.0999999999999996</v>
      </c>
      <c r="K44" s="14">
        <v>-0.95</v>
      </c>
      <c r="L44" s="14">
        <v>0.93</v>
      </c>
      <c r="M44" s="14">
        <v>3.97</v>
      </c>
      <c r="N44" s="14">
        <v>-2.42</v>
      </c>
      <c r="O44" s="14">
        <v>-14.74</v>
      </c>
      <c r="P44" s="14">
        <v>-8.6199999999999992</v>
      </c>
      <c r="Q44" s="14">
        <v>2.4300000000000002</v>
      </c>
      <c r="R44" s="14">
        <v>11.23</v>
      </c>
      <c r="S44" s="14">
        <v>-16</v>
      </c>
      <c r="T44" s="14">
        <v>-2.4</v>
      </c>
      <c r="U44" s="14">
        <v>0.22</v>
      </c>
      <c r="V44" s="14">
        <v>-0.36</v>
      </c>
      <c r="W44" s="14">
        <v>-3.85</v>
      </c>
      <c r="X44" s="14">
        <v>-11.11</v>
      </c>
      <c r="Y44" s="14">
        <v>-3.63</v>
      </c>
      <c r="Z44" s="14">
        <v>-80.53</v>
      </c>
    </row>
    <row r="45" spans="1:26">
      <c r="A45" s="268"/>
      <c r="B45" s="268" t="s">
        <v>938</v>
      </c>
      <c r="C45" s="152" t="s">
        <v>933</v>
      </c>
      <c r="D45" s="14">
        <v>6000000</v>
      </c>
      <c r="E45" s="45">
        <v>43552790</v>
      </c>
      <c r="F45" s="14">
        <v>0.95</v>
      </c>
      <c r="G45" s="14">
        <v>25.27</v>
      </c>
      <c r="H45" s="14">
        <v>-4.8499999999999996</v>
      </c>
      <c r="I45" s="14">
        <v>-0.06</v>
      </c>
      <c r="J45" s="14">
        <v>-39.67</v>
      </c>
      <c r="K45" s="14">
        <v>-10.28</v>
      </c>
      <c r="L45" s="14">
        <v>-0.87</v>
      </c>
      <c r="M45" s="14">
        <v>-3.03</v>
      </c>
      <c r="N45" s="14">
        <v>-5.49</v>
      </c>
      <c r="O45" s="14">
        <v>-22.64</v>
      </c>
      <c r="P45" s="14">
        <v>-10.9</v>
      </c>
      <c r="Q45" s="14">
        <v>5.49</v>
      </c>
      <c r="R45" s="14">
        <v>7.26</v>
      </c>
      <c r="S45" s="14">
        <v>-19.39</v>
      </c>
      <c r="T45" s="14">
        <v>-6.64</v>
      </c>
      <c r="U45" s="14">
        <v>-5.21</v>
      </c>
      <c r="V45" s="14">
        <v>-10.69</v>
      </c>
      <c r="W45" s="14">
        <v>-6.45</v>
      </c>
      <c r="X45" s="14">
        <v>-3.89</v>
      </c>
      <c r="Y45" s="14">
        <v>-8.24</v>
      </c>
      <c r="Z45" s="14">
        <v>-100</v>
      </c>
    </row>
    <row r="46" spans="1:26">
      <c r="A46" s="268"/>
      <c r="B46" s="268" t="s">
        <v>831</v>
      </c>
      <c r="C46" s="152" t="s">
        <v>877</v>
      </c>
      <c r="D46" s="14">
        <v>4000000</v>
      </c>
      <c r="E46" s="45">
        <v>31517568</v>
      </c>
      <c r="F46" s="14">
        <v>0.69</v>
      </c>
      <c r="G46" s="14">
        <v>6.69</v>
      </c>
      <c r="H46" s="14">
        <v>-0.93</v>
      </c>
      <c r="I46" s="14">
        <v>0.44</v>
      </c>
      <c r="J46" s="14">
        <v>-12.57</v>
      </c>
      <c r="K46" s="14">
        <v>-2.94</v>
      </c>
      <c r="L46" s="14">
        <v>0.48</v>
      </c>
      <c r="M46" s="14">
        <v>0.11</v>
      </c>
      <c r="N46" s="14">
        <v>-1.22</v>
      </c>
      <c r="O46" s="14">
        <v>-10.43</v>
      </c>
      <c r="P46" s="14">
        <v>-2.78</v>
      </c>
      <c r="Q46" s="14">
        <v>1.22</v>
      </c>
      <c r="R46" s="14">
        <v>3.4</v>
      </c>
      <c r="S46" s="14">
        <v>-5.16</v>
      </c>
      <c r="T46" s="14">
        <v>-1.44</v>
      </c>
      <c r="U46" s="14">
        <v>-0.56000000000000005</v>
      </c>
      <c r="V46" s="14">
        <v>-3.09</v>
      </c>
      <c r="W46" s="14">
        <v>-0.33</v>
      </c>
      <c r="X46" s="14">
        <v>-2.5099999999999998</v>
      </c>
      <c r="Y46" s="14">
        <v>-1.82</v>
      </c>
      <c r="Z46" s="14">
        <v>-40.130000000000003</v>
      </c>
    </row>
    <row r="47" spans="1:26">
      <c r="A47" s="268"/>
      <c r="B47" s="268" t="s">
        <v>832</v>
      </c>
      <c r="C47" s="152" t="s">
        <v>59</v>
      </c>
      <c r="D47" s="14">
        <v>1500000</v>
      </c>
      <c r="E47" s="45">
        <v>12212758</v>
      </c>
      <c r="F47" s="14">
        <v>0.27</v>
      </c>
      <c r="G47" s="14">
        <v>3.35</v>
      </c>
      <c r="H47" s="14">
        <v>-0.47</v>
      </c>
      <c r="I47" s="14">
        <v>0.13</v>
      </c>
      <c r="J47" s="14">
        <v>-6.04</v>
      </c>
      <c r="K47" s="14">
        <v>-1.41</v>
      </c>
      <c r="L47" s="14">
        <v>0.14000000000000001</v>
      </c>
      <c r="M47" s="14">
        <v>-0.2</v>
      </c>
      <c r="N47" s="14">
        <v>-0.51</v>
      </c>
      <c r="O47" s="14">
        <v>-4.28</v>
      </c>
      <c r="P47" s="14">
        <v>-1.2</v>
      </c>
      <c r="Q47" s="14">
        <v>0.51</v>
      </c>
      <c r="R47" s="14">
        <v>0.89</v>
      </c>
      <c r="S47" s="14">
        <v>-2.09</v>
      </c>
      <c r="T47" s="14">
        <v>-0.62</v>
      </c>
      <c r="U47" s="14">
        <v>-0.28000000000000003</v>
      </c>
      <c r="V47" s="14">
        <v>-1.42</v>
      </c>
      <c r="W47" s="14">
        <v>0.13</v>
      </c>
      <c r="X47" s="14">
        <v>-0.71</v>
      </c>
      <c r="Y47" s="14">
        <v>-0.76</v>
      </c>
      <c r="Z47" s="14">
        <v>-18.55</v>
      </c>
    </row>
    <row r="48" spans="1:26">
      <c r="A48" s="268"/>
      <c r="B48" s="268" t="s">
        <v>833</v>
      </c>
      <c r="C48" s="152" t="s">
        <v>61</v>
      </c>
      <c r="D48" s="14">
        <v>1500000</v>
      </c>
      <c r="E48" s="45">
        <v>11793149</v>
      </c>
      <c r="F48" s="14">
        <v>0.26</v>
      </c>
      <c r="G48" s="14">
        <v>2.75</v>
      </c>
      <c r="H48" s="14">
        <v>-0.42</v>
      </c>
      <c r="I48" s="14">
        <v>0.06</v>
      </c>
      <c r="J48" s="14">
        <v>-3.72</v>
      </c>
      <c r="K48" s="14">
        <v>-0.82</v>
      </c>
      <c r="L48" s="14">
        <v>0.04</v>
      </c>
      <c r="M48" s="14">
        <v>-0.18</v>
      </c>
      <c r="N48" s="14">
        <v>-0.47</v>
      </c>
      <c r="O48" s="14">
        <v>-2.72</v>
      </c>
      <c r="P48" s="14">
        <v>-1.39</v>
      </c>
      <c r="Q48" s="14">
        <v>0.47</v>
      </c>
      <c r="R48" s="14">
        <v>0.92</v>
      </c>
      <c r="S48" s="14">
        <v>-2.41</v>
      </c>
      <c r="T48" s="14">
        <v>-0.55000000000000004</v>
      </c>
      <c r="U48" s="14">
        <v>-0.26</v>
      </c>
      <c r="V48" s="14">
        <v>-0.69</v>
      </c>
      <c r="W48" s="14">
        <v>-0.11</v>
      </c>
      <c r="X48" s="14">
        <v>-0.8</v>
      </c>
      <c r="Y48" s="14">
        <v>-0.7</v>
      </c>
      <c r="Z48" s="14">
        <v>-22.49</v>
      </c>
    </row>
    <row r="49" spans="1:26">
      <c r="A49" s="268"/>
      <c r="B49" s="268" t="s">
        <v>972</v>
      </c>
      <c r="C49" s="152" t="s">
        <v>964</v>
      </c>
      <c r="D49" s="14">
        <v>3000000</v>
      </c>
      <c r="E49" s="45">
        <v>23514231</v>
      </c>
      <c r="F49" s="14">
        <v>0.51</v>
      </c>
      <c r="G49" s="14">
        <v>2.89</v>
      </c>
      <c r="H49" s="14">
        <v>-0.52</v>
      </c>
      <c r="I49" s="14">
        <v>-0.01</v>
      </c>
      <c r="J49" s="14">
        <v>-4.6900000000000004</v>
      </c>
      <c r="K49" s="14">
        <v>-0.96</v>
      </c>
      <c r="L49" s="14">
        <v>-0.02</v>
      </c>
      <c r="M49" s="14">
        <v>-0.27</v>
      </c>
      <c r="N49" s="14">
        <v>-0.55000000000000004</v>
      </c>
      <c r="O49" s="14">
        <v>-2.96</v>
      </c>
      <c r="P49" s="14">
        <v>-1.35</v>
      </c>
      <c r="Q49" s="14">
        <v>0.55000000000000004</v>
      </c>
      <c r="R49" s="14">
        <v>0.64</v>
      </c>
      <c r="S49" s="14">
        <v>-2.31</v>
      </c>
      <c r="T49" s="14">
        <v>-0.67</v>
      </c>
      <c r="U49" s="14">
        <v>-0.44</v>
      </c>
      <c r="V49" s="14">
        <v>-0.89</v>
      </c>
      <c r="W49" s="14">
        <v>-0.28000000000000003</v>
      </c>
      <c r="X49" s="14">
        <v>-0.55000000000000004</v>
      </c>
      <c r="Y49" s="14">
        <v>-0.83</v>
      </c>
      <c r="Z49" s="14">
        <v>-27.22</v>
      </c>
    </row>
    <row r="50" spans="1:26">
      <c r="A50" s="268"/>
      <c r="B50" s="268" t="s">
        <v>834</v>
      </c>
      <c r="C50" s="152" t="s">
        <v>63</v>
      </c>
      <c r="D50" s="14">
        <v>5000000</v>
      </c>
      <c r="E50" s="45">
        <v>39794040</v>
      </c>
      <c r="F50" s="14">
        <v>0.87</v>
      </c>
      <c r="G50" s="14">
        <v>2.4500000000000002</v>
      </c>
      <c r="H50" s="14">
        <v>-0.45</v>
      </c>
      <c r="I50" s="14">
        <v>-0.02</v>
      </c>
      <c r="J50" s="14">
        <v>-4.1900000000000004</v>
      </c>
      <c r="K50" s="14">
        <v>-0.75</v>
      </c>
      <c r="L50" s="14">
        <v>0</v>
      </c>
      <c r="M50" s="14">
        <v>-0.22</v>
      </c>
      <c r="N50" s="14">
        <v>-0.48</v>
      </c>
      <c r="O50" s="14">
        <v>-2.73</v>
      </c>
      <c r="P50" s="14">
        <v>-1.1599999999999999</v>
      </c>
      <c r="Q50" s="14">
        <v>0.48</v>
      </c>
      <c r="R50" s="14">
        <v>0.51</v>
      </c>
      <c r="S50" s="14">
        <v>-1.97</v>
      </c>
      <c r="T50" s="14">
        <v>-0.57999999999999996</v>
      </c>
      <c r="U50" s="14">
        <v>-0.38</v>
      </c>
      <c r="V50" s="14">
        <v>-0.7</v>
      </c>
      <c r="W50" s="14">
        <v>-0.24</v>
      </c>
      <c r="X50" s="14">
        <v>-0.45</v>
      </c>
      <c r="Y50" s="14">
        <v>-0.71</v>
      </c>
      <c r="Z50" s="14">
        <v>-23.32</v>
      </c>
    </row>
    <row r="51" spans="1:26">
      <c r="A51" s="268"/>
      <c r="B51" s="268" t="s">
        <v>835</v>
      </c>
      <c r="C51" s="152" t="s">
        <v>65</v>
      </c>
      <c r="D51" s="14">
        <v>6500000</v>
      </c>
      <c r="E51" s="45">
        <v>51402314</v>
      </c>
      <c r="F51" s="14">
        <v>1.1200000000000001</v>
      </c>
      <c r="G51" s="14">
        <v>9.61</v>
      </c>
      <c r="H51" s="14">
        <v>-1.47</v>
      </c>
      <c r="I51" s="14">
        <v>0.45</v>
      </c>
      <c r="J51" s="14">
        <v>-15.97</v>
      </c>
      <c r="K51" s="14">
        <v>-3.76</v>
      </c>
      <c r="L51" s="14">
        <v>-0.68</v>
      </c>
      <c r="M51" s="14">
        <v>-0.49</v>
      </c>
      <c r="N51" s="14">
        <v>-0.95</v>
      </c>
      <c r="O51" s="14">
        <v>-10.98</v>
      </c>
      <c r="P51" s="14">
        <v>-3.52</v>
      </c>
      <c r="Q51" s="14">
        <v>0.96</v>
      </c>
      <c r="R51" s="14">
        <v>2.73</v>
      </c>
      <c r="S51" s="14">
        <v>-7.13</v>
      </c>
      <c r="T51" s="14">
        <v>-1.1000000000000001</v>
      </c>
      <c r="U51" s="14">
        <v>-0.22</v>
      </c>
      <c r="V51" s="14">
        <v>-2.79</v>
      </c>
      <c r="W51" s="14">
        <v>-2.25</v>
      </c>
      <c r="X51" s="14">
        <v>-1.91</v>
      </c>
      <c r="Y51" s="14">
        <v>-1.43</v>
      </c>
      <c r="Z51" s="14">
        <v>-80.06</v>
      </c>
    </row>
    <row r="52" spans="1:26">
      <c r="A52" s="268"/>
      <c r="B52" s="268" t="s">
        <v>965</v>
      </c>
      <c r="C52" s="152" t="s">
        <v>966</v>
      </c>
      <c r="D52" s="14">
        <v>5000000</v>
      </c>
      <c r="E52" s="45">
        <v>39096640</v>
      </c>
      <c r="F52" s="14">
        <v>0.85</v>
      </c>
      <c r="G52" s="14">
        <v>0.69</v>
      </c>
      <c r="H52" s="14">
        <v>-0.16</v>
      </c>
      <c r="I52" s="14">
        <v>-0.01</v>
      </c>
      <c r="J52" s="14">
        <v>-2.19</v>
      </c>
      <c r="K52" s="14">
        <v>0.06</v>
      </c>
      <c r="L52" s="14">
        <v>0.08</v>
      </c>
      <c r="M52" s="14">
        <v>0.03</v>
      </c>
      <c r="N52" s="14">
        <v>-0.16</v>
      </c>
      <c r="O52" s="14">
        <v>-1.52</v>
      </c>
      <c r="P52" s="14">
        <v>-0.41</v>
      </c>
      <c r="Q52" s="14">
        <v>0.16</v>
      </c>
      <c r="R52" s="14">
        <v>0.12</v>
      </c>
      <c r="S52" s="14">
        <v>-0.68</v>
      </c>
      <c r="T52" s="14">
        <v>-0.2</v>
      </c>
      <c r="U52" s="14">
        <v>-0.12</v>
      </c>
      <c r="V52" s="14">
        <v>0.1</v>
      </c>
      <c r="W52" s="14">
        <v>-0.05</v>
      </c>
      <c r="X52" s="14">
        <v>-0.15</v>
      </c>
      <c r="Y52" s="14">
        <v>-0.24</v>
      </c>
      <c r="Z52" s="14">
        <v>-7.77</v>
      </c>
    </row>
    <row r="53" spans="1:26">
      <c r="A53" s="268"/>
      <c r="B53" s="268" t="s">
        <v>30</v>
      </c>
      <c r="C53" s="152" t="s">
        <v>878</v>
      </c>
      <c r="D53" s="14">
        <v>55000</v>
      </c>
      <c r="E53" s="45">
        <v>4554000</v>
      </c>
      <c r="F53" s="14">
        <v>0.1</v>
      </c>
      <c r="G53" s="14">
        <v>40.090000000000003</v>
      </c>
      <c r="H53" s="14">
        <v>-23.75</v>
      </c>
      <c r="I53" s="14">
        <v>-1.1599999999999999</v>
      </c>
      <c r="J53" s="14">
        <v>-20.46</v>
      </c>
      <c r="K53" s="14">
        <v>-10.27</v>
      </c>
      <c r="L53" s="14">
        <v>-2.56</v>
      </c>
      <c r="M53" s="14">
        <v>-8</v>
      </c>
      <c r="N53" s="14">
        <v>-7.32</v>
      </c>
      <c r="O53" s="14">
        <v>-11.6</v>
      </c>
      <c r="P53" s="14">
        <v>-7.32</v>
      </c>
      <c r="Q53" s="14">
        <v>7.32</v>
      </c>
      <c r="R53" s="14">
        <v>4.47</v>
      </c>
      <c r="S53" s="14">
        <v>-6.1</v>
      </c>
      <c r="T53" s="14">
        <v>-8.8000000000000007</v>
      </c>
      <c r="U53" s="14">
        <v>-9.4600000000000009</v>
      </c>
      <c r="V53" s="14">
        <v>-9.7799999999999994</v>
      </c>
      <c r="W53" s="14">
        <v>5.19</v>
      </c>
      <c r="X53" s="14">
        <v>0.13</v>
      </c>
      <c r="Y53" s="14">
        <v>-10.98</v>
      </c>
      <c r="Z53" s="14">
        <v>95.2</v>
      </c>
    </row>
    <row r="54" spans="1:26">
      <c r="A54" s="268"/>
      <c r="B54" s="268" t="s">
        <v>836</v>
      </c>
      <c r="C54" s="152" t="s">
        <v>67</v>
      </c>
      <c r="D54" s="14">
        <v>2500000</v>
      </c>
      <c r="E54" s="45">
        <v>21058267</v>
      </c>
      <c r="F54" s="14">
        <v>0.46</v>
      </c>
      <c r="G54" s="14">
        <v>2.2000000000000002</v>
      </c>
      <c r="H54" s="14">
        <v>-0.11</v>
      </c>
      <c r="I54" s="14">
        <v>0.37</v>
      </c>
      <c r="J54" s="14">
        <v>-2.4700000000000002</v>
      </c>
      <c r="K54" s="14">
        <v>-0.48</v>
      </c>
      <c r="L54" s="14">
        <v>0.45</v>
      </c>
      <c r="M54" s="14">
        <v>0.46</v>
      </c>
      <c r="N54" s="14">
        <v>-0.25</v>
      </c>
      <c r="O54" s="14">
        <v>-4.08</v>
      </c>
      <c r="P54" s="14">
        <v>-1.39</v>
      </c>
      <c r="Q54" s="14">
        <v>0.25</v>
      </c>
      <c r="R54" s="14">
        <v>2.21</v>
      </c>
      <c r="S54" s="14">
        <v>-2.64</v>
      </c>
      <c r="T54" s="14">
        <v>-0.26</v>
      </c>
      <c r="U54" s="14">
        <v>0.35</v>
      </c>
      <c r="V54" s="14">
        <v>-0.28000000000000003</v>
      </c>
      <c r="W54" s="14">
        <v>0.54</v>
      </c>
      <c r="X54" s="14">
        <v>-1.89</v>
      </c>
      <c r="Y54" s="14">
        <v>-0.37</v>
      </c>
      <c r="Z54" s="14">
        <v>-3.51</v>
      </c>
    </row>
    <row r="55" spans="1:26">
      <c r="A55" s="268"/>
      <c r="B55" s="268" t="s">
        <v>68</v>
      </c>
      <c r="C55" s="152" t="s">
        <v>69</v>
      </c>
      <c r="D55" s="14">
        <v>10000000</v>
      </c>
      <c r="E55" s="45">
        <v>88865450</v>
      </c>
      <c r="F55" s="14">
        <v>1.93</v>
      </c>
      <c r="G55" s="14">
        <v>5.08</v>
      </c>
      <c r="H55" s="14">
        <v>-0.74</v>
      </c>
      <c r="I55" s="14">
        <v>0.76</v>
      </c>
      <c r="J55" s="14">
        <v>-11.07</v>
      </c>
      <c r="K55" s="14">
        <v>-2.0299999999999998</v>
      </c>
      <c r="L55" s="14">
        <v>0.94</v>
      </c>
      <c r="M55" s="14">
        <v>1.92</v>
      </c>
      <c r="N55" s="14">
        <v>-1.41</v>
      </c>
      <c r="O55" s="14">
        <v>-13.82</v>
      </c>
      <c r="P55" s="14">
        <v>-3.95</v>
      </c>
      <c r="Q55" s="14">
        <v>1.41</v>
      </c>
      <c r="R55" s="14">
        <v>5.99</v>
      </c>
      <c r="S55" s="14">
        <v>-7.39</v>
      </c>
      <c r="T55" s="14">
        <v>-1.54</v>
      </c>
      <c r="U55" s="14">
        <v>-0.02</v>
      </c>
      <c r="V55" s="14">
        <v>-2.11</v>
      </c>
      <c r="W55" s="14">
        <v>-0.71</v>
      </c>
      <c r="X55" s="14">
        <v>-5.62</v>
      </c>
      <c r="Y55" s="14">
        <v>-2.12</v>
      </c>
      <c r="Z55" s="14">
        <v>-31.03</v>
      </c>
    </row>
    <row r="56" spans="1:26">
      <c r="A56" s="268"/>
      <c r="B56" s="268" t="s">
        <v>70</v>
      </c>
      <c r="C56" s="152" t="s">
        <v>71</v>
      </c>
      <c r="D56" s="14">
        <v>3000000</v>
      </c>
      <c r="E56" s="45">
        <v>25557608</v>
      </c>
      <c r="F56" s="14">
        <v>0.56000000000000005</v>
      </c>
      <c r="G56" s="14">
        <v>-0.97</v>
      </c>
      <c r="H56" s="14">
        <v>-0.44</v>
      </c>
      <c r="I56" s="14">
        <v>1.1000000000000001</v>
      </c>
      <c r="J56" s="14">
        <v>-28</v>
      </c>
      <c r="K56" s="14">
        <v>-4.63</v>
      </c>
      <c r="L56" s="14">
        <v>0.38</v>
      </c>
      <c r="M56" s="14">
        <v>3.72</v>
      </c>
      <c r="N56" s="14">
        <v>-4.49</v>
      </c>
      <c r="O56" s="14">
        <v>-21.19</v>
      </c>
      <c r="P56" s="14">
        <v>-7.5</v>
      </c>
      <c r="Q56" s="14">
        <v>4.49</v>
      </c>
      <c r="R56" s="14">
        <v>14.48</v>
      </c>
      <c r="S56" s="14">
        <v>-16.11</v>
      </c>
      <c r="T56" s="14">
        <v>-5.7</v>
      </c>
      <c r="U56" s="14">
        <v>-3.3</v>
      </c>
      <c r="V56" s="14">
        <v>-5.14</v>
      </c>
      <c r="W56" s="14">
        <v>-6.98</v>
      </c>
      <c r="X56" s="14">
        <v>-4.41</v>
      </c>
      <c r="Y56" s="14">
        <v>-6.73</v>
      </c>
      <c r="Z56" s="14">
        <v>-100</v>
      </c>
    </row>
    <row r="57" spans="1:26">
      <c r="A57" s="268"/>
      <c r="B57" s="268" t="s">
        <v>1375</v>
      </c>
      <c r="C57" s="152" t="s">
        <v>1149</v>
      </c>
      <c r="D57" s="14">
        <v>1300000</v>
      </c>
      <c r="E57" s="45">
        <v>9696692</v>
      </c>
      <c r="F57" s="14">
        <v>0.21</v>
      </c>
      <c r="G57" s="14">
        <v>12.54</v>
      </c>
      <c r="H57" s="14">
        <v>-2.35</v>
      </c>
      <c r="I57" s="14">
        <v>0.32</v>
      </c>
      <c r="J57" s="14">
        <v>-19.760000000000002</v>
      </c>
      <c r="K57" s="14">
        <v>-4.46</v>
      </c>
      <c r="L57" s="14">
        <v>0.04</v>
      </c>
      <c r="M57" s="14">
        <v>-0.23</v>
      </c>
      <c r="N57" s="14">
        <v>-3.08</v>
      </c>
      <c r="O57" s="14">
        <v>-14.88</v>
      </c>
      <c r="P57" s="14">
        <v>-7.2</v>
      </c>
      <c r="Q57" s="14">
        <v>3.08</v>
      </c>
      <c r="R57" s="14">
        <v>6.64</v>
      </c>
      <c r="S57" s="14">
        <v>-12.98</v>
      </c>
      <c r="T57" s="14">
        <v>-3.62</v>
      </c>
      <c r="U57" s="14">
        <v>-2.23</v>
      </c>
      <c r="V57" s="14">
        <v>-4.45</v>
      </c>
      <c r="W57" s="14">
        <v>-3.53</v>
      </c>
      <c r="X57" s="14">
        <v>-5.17</v>
      </c>
      <c r="Y57" s="14">
        <v>-4.62</v>
      </c>
      <c r="Z57" s="14">
        <v>-100</v>
      </c>
    </row>
    <row r="58" spans="1:26">
      <c r="A58" s="268"/>
      <c r="B58" s="268" t="s">
        <v>1376</v>
      </c>
      <c r="C58" s="152" t="s">
        <v>1151</v>
      </c>
      <c r="D58" s="14">
        <v>800000</v>
      </c>
      <c r="E58" s="45">
        <v>6049995</v>
      </c>
      <c r="F58" s="14">
        <v>0.13</v>
      </c>
      <c r="G58" s="14">
        <v>14.21</v>
      </c>
      <c r="H58" s="14">
        <v>-2.83</v>
      </c>
      <c r="I58" s="14">
        <v>0.34</v>
      </c>
      <c r="J58" s="14">
        <v>-23</v>
      </c>
      <c r="K58" s="14">
        <v>-5.1100000000000003</v>
      </c>
      <c r="L58" s="14">
        <v>0</v>
      </c>
      <c r="M58" s="14">
        <v>0</v>
      </c>
      <c r="N58" s="14">
        <v>-3.76</v>
      </c>
      <c r="O58" s="14">
        <v>-17.59</v>
      </c>
      <c r="P58" s="14">
        <v>-8.65</v>
      </c>
      <c r="Q58" s="14">
        <v>3.76</v>
      </c>
      <c r="R58" s="14">
        <v>7.9</v>
      </c>
      <c r="S58" s="14">
        <v>-15.35</v>
      </c>
      <c r="T58" s="14">
        <v>-4.3899999999999997</v>
      </c>
      <c r="U58" s="14">
        <v>-2.74</v>
      </c>
      <c r="V58" s="14">
        <v>-5.14</v>
      </c>
      <c r="W58" s="14">
        <v>-4.4000000000000004</v>
      </c>
      <c r="X58" s="14">
        <v>-6.55</v>
      </c>
      <c r="Y58" s="14">
        <v>-5.64</v>
      </c>
      <c r="Z58" s="14">
        <v>-100</v>
      </c>
    </row>
    <row r="59" spans="1:26">
      <c r="A59" s="268"/>
      <c r="B59" s="268" t="s">
        <v>1377</v>
      </c>
      <c r="C59" s="152" t="s">
        <v>1302</v>
      </c>
      <c r="D59" s="14">
        <v>2950000</v>
      </c>
      <c r="E59" s="45">
        <v>23135128</v>
      </c>
      <c r="F59" s="14">
        <v>0.5</v>
      </c>
      <c r="G59" s="14">
        <v>-0.3</v>
      </c>
      <c r="H59" s="14">
        <v>-0.02</v>
      </c>
      <c r="I59" s="14">
        <v>-0.01</v>
      </c>
      <c r="J59" s="14">
        <v>-3.89</v>
      </c>
      <c r="K59" s="14">
        <v>0.43</v>
      </c>
      <c r="L59" s="14">
        <v>0.11</v>
      </c>
      <c r="M59" s="14">
        <v>7.0000000000000007E-2</v>
      </c>
      <c r="N59" s="14">
        <v>-0.01</v>
      </c>
      <c r="O59" s="14">
        <v>-0.81</v>
      </c>
      <c r="P59" s="14">
        <v>-0.11</v>
      </c>
      <c r="Q59" s="14">
        <v>-0.01</v>
      </c>
      <c r="R59" s="14">
        <v>-0.41</v>
      </c>
      <c r="S59" s="14">
        <v>-0.36</v>
      </c>
      <c r="T59" s="14">
        <v>-0.02</v>
      </c>
      <c r="U59" s="14">
        <v>-0.09</v>
      </c>
      <c r="V59" s="14">
        <v>0.42</v>
      </c>
      <c r="W59" s="14">
        <v>-0.06</v>
      </c>
      <c r="X59" s="14">
        <v>-0.61</v>
      </c>
      <c r="Y59" s="14">
        <v>-0.02</v>
      </c>
      <c r="Z59" s="14">
        <v>-33.36</v>
      </c>
    </row>
    <row r="60" spans="1:26">
      <c r="A60" s="268"/>
      <c r="B60" s="268" t="s">
        <v>837</v>
      </c>
      <c r="C60" s="152" t="s">
        <v>73</v>
      </c>
      <c r="D60" s="14">
        <v>7100000</v>
      </c>
      <c r="E60" s="45">
        <v>57646381</v>
      </c>
      <c r="F60" s="14">
        <v>1.25</v>
      </c>
      <c r="G60" s="14">
        <v>1.3</v>
      </c>
      <c r="H60" s="14">
        <v>-0.17</v>
      </c>
      <c r="I60" s="14">
        <v>0.04</v>
      </c>
      <c r="J60" s="14">
        <v>-1.84</v>
      </c>
      <c r="K60" s="14">
        <v>-0.24</v>
      </c>
      <c r="L60" s="14">
        <v>0.08</v>
      </c>
      <c r="M60" s="14">
        <v>-0.01</v>
      </c>
      <c r="N60" s="14">
        <v>-0.18</v>
      </c>
      <c r="O60" s="14">
        <v>-1.59</v>
      </c>
      <c r="P60" s="14">
        <v>-0.75</v>
      </c>
      <c r="Q60" s="14">
        <v>0.18</v>
      </c>
      <c r="R60" s="14">
        <v>0.4</v>
      </c>
      <c r="S60" s="14">
        <v>-1.27</v>
      </c>
      <c r="T60" s="14">
        <v>-0.21</v>
      </c>
      <c r="U60" s="14">
        <v>-0.02</v>
      </c>
      <c r="V60" s="14">
        <v>-0.11</v>
      </c>
      <c r="W60" s="14">
        <v>0.21</v>
      </c>
      <c r="X60" s="14">
        <v>-0.5</v>
      </c>
      <c r="Y60" s="14">
        <v>-0.27</v>
      </c>
      <c r="Z60" s="14">
        <v>-8.08</v>
      </c>
    </row>
    <row r="61" spans="1:26">
      <c r="A61" s="268"/>
      <c r="B61" s="268" t="s">
        <v>1167</v>
      </c>
      <c r="C61" s="152" t="s">
        <v>1153</v>
      </c>
      <c r="D61" s="14">
        <v>5500000</v>
      </c>
      <c r="E61" s="45">
        <v>38726863</v>
      </c>
      <c r="F61" s="14">
        <v>0.84</v>
      </c>
      <c r="G61" s="14">
        <v>15.01</v>
      </c>
      <c r="H61" s="14">
        <v>-2.82</v>
      </c>
      <c r="I61" s="14">
        <v>0.05</v>
      </c>
      <c r="J61" s="14">
        <v>-22.7</v>
      </c>
      <c r="K61" s="14">
        <v>-5.88</v>
      </c>
      <c r="L61" s="14">
        <v>-0.4</v>
      </c>
      <c r="M61" s="14">
        <v>-1.62</v>
      </c>
      <c r="N61" s="14">
        <v>-3.19</v>
      </c>
      <c r="O61" s="14">
        <v>-13.58</v>
      </c>
      <c r="P61" s="14">
        <v>-6.7</v>
      </c>
      <c r="Q61" s="14">
        <v>3.19</v>
      </c>
      <c r="R61" s="14">
        <v>4.68</v>
      </c>
      <c r="S61" s="14">
        <v>-11.89</v>
      </c>
      <c r="T61" s="14">
        <v>-3.84</v>
      </c>
      <c r="U61" s="14">
        <v>-2.86</v>
      </c>
      <c r="V61" s="14">
        <v>-5.98</v>
      </c>
      <c r="W61" s="14">
        <v>-3.49</v>
      </c>
      <c r="X61" s="14">
        <v>-2.76</v>
      </c>
      <c r="Y61" s="14">
        <v>-4.79</v>
      </c>
      <c r="Z61" s="14">
        <v>-100</v>
      </c>
    </row>
    <row r="62" spans="1:26">
      <c r="A62" s="268"/>
      <c r="B62" s="268" t="s">
        <v>1069</v>
      </c>
      <c r="C62" s="152" t="s">
        <v>1070</v>
      </c>
      <c r="D62" s="14">
        <v>3800000</v>
      </c>
      <c r="E62" s="45">
        <v>27884580</v>
      </c>
      <c r="F62" s="14">
        <v>0.61</v>
      </c>
      <c r="G62" s="14">
        <v>12.03</v>
      </c>
      <c r="H62" s="14">
        <v>-2.23</v>
      </c>
      <c r="I62" s="14">
        <v>0.04</v>
      </c>
      <c r="J62" s="14">
        <v>-18.03</v>
      </c>
      <c r="K62" s="14">
        <v>-4.68</v>
      </c>
      <c r="L62" s="14">
        <v>-0.32</v>
      </c>
      <c r="M62" s="14">
        <v>-1.35</v>
      </c>
      <c r="N62" s="14">
        <v>-2.5</v>
      </c>
      <c r="O62" s="14">
        <v>-10.67</v>
      </c>
      <c r="P62" s="14">
        <v>-5.32</v>
      </c>
      <c r="Q62" s="14">
        <v>2.5099999999999998</v>
      </c>
      <c r="R62" s="14">
        <v>3.59</v>
      </c>
      <c r="S62" s="14">
        <v>-9.39</v>
      </c>
      <c r="T62" s="14">
        <v>-3.02</v>
      </c>
      <c r="U62" s="14">
        <v>-2.2400000000000002</v>
      </c>
      <c r="V62" s="14">
        <v>-4.72</v>
      </c>
      <c r="W62" s="14">
        <v>-2.63</v>
      </c>
      <c r="X62" s="14">
        <v>-2.12</v>
      </c>
      <c r="Y62" s="14">
        <v>-3.76</v>
      </c>
      <c r="Z62" s="14">
        <v>-100</v>
      </c>
    </row>
    <row r="63" spans="1:26">
      <c r="A63" s="268"/>
      <c r="B63" s="268" t="s">
        <v>1272</v>
      </c>
      <c r="C63" s="152" t="s">
        <v>1208</v>
      </c>
      <c r="D63" s="14">
        <v>7500000</v>
      </c>
      <c r="E63" s="45">
        <v>54507753</v>
      </c>
      <c r="F63" s="14">
        <v>1.19</v>
      </c>
      <c r="G63" s="14">
        <v>8</v>
      </c>
      <c r="H63" s="14">
        <v>-1.45</v>
      </c>
      <c r="I63" s="14">
        <v>0.82</v>
      </c>
      <c r="J63" s="14">
        <v>-24.45</v>
      </c>
      <c r="K63" s="14">
        <v>-3.43</v>
      </c>
      <c r="L63" s="14">
        <v>-0.61</v>
      </c>
      <c r="M63" s="14">
        <v>-0.55000000000000004</v>
      </c>
      <c r="N63" s="14">
        <v>-2.9</v>
      </c>
      <c r="O63" s="14">
        <v>-11.12</v>
      </c>
      <c r="P63" s="14">
        <v>-5.54</v>
      </c>
      <c r="Q63" s="14">
        <v>2.9</v>
      </c>
      <c r="R63" s="14">
        <v>9.34</v>
      </c>
      <c r="S63" s="14">
        <v>-10.14</v>
      </c>
      <c r="T63" s="14">
        <v>-3.58</v>
      </c>
      <c r="U63" s="14">
        <v>-1.93</v>
      </c>
      <c r="V63" s="14">
        <v>-2.2799999999999998</v>
      </c>
      <c r="W63" s="14">
        <v>-4.0199999999999996</v>
      </c>
      <c r="X63" s="14">
        <v>-3.05</v>
      </c>
      <c r="Y63" s="14">
        <v>-4.3499999999999996</v>
      </c>
      <c r="Z63" s="14">
        <v>-100</v>
      </c>
    </row>
    <row r="64" spans="1:26">
      <c r="A64" s="268"/>
      <c r="B64" s="268" t="s">
        <v>838</v>
      </c>
      <c r="C64" s="152"/>
      <c r="D64" s="14">
        <v>200713.05</v>
      </c>
      <c r="E64" s="45">
        <v>1703473</v>
      </c>
      <c r="F64" s="14">
        <v>0.04</v>
      </c>
      <c r="G64" s="14">
        <v>12.83</v>
      </c>
      <c r="H64" s="14">
        <v>-2.94</v>
      </c>
      <c r="I64" s="14">
        <v>1.86</v>
      </c>
      <c r="J64" s="14">
        <v>-19.03</v>
      </c>
      <c r="K64" s="14">
        <v>-6.55</v>
      </c>
      <c r="L64" s="14">
        <v>0.48</v>
      </c>
      <c r="M64" s="14">
        <v>-0.99</v>
      </c>
      <c r="N64" s="14">
        <v>-0.55000000000000004</v>
      </c>
      <c r="O64" s="14">
        <v>-4.63</v>
      </c>
      <c r="P64" s="14">
        <v>-10</v>
      </c>
      <c r="Q64" s="14">
        <v>0.55000000000000004</v>
      </c>
      <c r="R64" s="14">
        <v>10.3</v>
      </c>
      <c r="S64" s="14">
        <v>-4.1399999999999997</v>
      </c>
      <c r="T64" s="14">
        <v>-0.48</v>
      </c>
      <c r="U64" s="14">
        <v>-0.08</v>
      </c>
      <c r="V64" s="14">
        <v>-9.74</v>
      </c>
      <c r="W64" s="14">
        <v>2.23</v>
      </c>
      <c r="X64" s="14">
        <v>-1.64</v>
      </c>
      <c r="Y64" s="14">
        <v>-0.83</v>
      </c>
      <c r="Z64" s="14">
        <v>-5.33</v>
      </c>
    </row>
    <row r="65" spans="1:26">
      <c r="A65" s="268"/>
      <c r="B65" s="268" t="s">
        <v>1966</v>
      </c>
      <c r="C65" s="152" t="s">
        <v>1927</v>
      </c>
      <c r="D65" s="14">
        <v>15000000</v>
      </c>
      <c r="E65" s="45">
        <v>116071946</v>
      </c>
      <c r="F65" s="14">
        <v>2.5299999999999998</v>
      </c>
      <c r="G65" s="14">
        <v>19.28</v>
      </c>
      <c r="H65" s="14">
        <v>-1.42</v>
      </c>
      <c r="I65" s="14">
        <v>-0.36</v>
      </c>
      <c r="J65" s="14">
        <v>-41.05</v>
      </c>
      <c r="K65" s="14">
        <v>-6.83</v>
      </c>
      <c r="L65" s="14">
        <v>-1.39</v>
      </c>
      <c r="M65" s="14">
        <v>-5.05</v>
      </c>
      <c r="N65" s="14">
        <v>-4.28</v>
      </c>
      <c r="O65" s="14">
        <v>-27.43</v>
      </c>
      <c r="P65" s="14">
        <v>-5.37</v>
      </c>
      <c r="Q65" s="14">
        <v>4.28</v>
      </c>
      <c r="R65" s="14">
        <v>6.25</v>
      </c>
      <c r="S65" s="14">
        <v>-10.71</v>
      </c>
      <c r="T65" s="14">
        <v>-5.81</v>
      </c>
      <c r="U65" s="14">
        <v>-6.93</v>
      </c>
      <c r="V65" s="14">
        <v>-5.97</v>
      </c>
      <c r="W65" s="14">
        <v>-4.29</v>
      </c>
      <c r="X65" s="14">
        <v>2.84</v>
      </c>
      <c r="Y65" s="14">
        <v>-6.42</v>
      </c>
      <c r="Z65" s="14">
        <v>-100</v>
      </c>
    </row>
    <row r="66" spans="1:26">
      <c r="A66" s="268"/>
      <c r="B66" s="268" t="s">
        <v>1928</v>
      </c>
      <c r="C66" s="152" t="s">
        <v>1929</v>
      </c>
      <c r="D66" s="14">
        <v>3000000</v>
      </c>
      <c r="E66" s="45">
        <v>22753095</v>
      </c>
      <c r="F66" s="14">
        <v>0.5</v>
      </c>
      <c r="G66" s="14">
        <v>30.87</v>
      </c>
      <c r="H66" s="14">
        <v>-2.2799999999999998</v>
      </c>
      <c r="I66" s="14">
        <v>-0.68</v>
      </c>
      <c r="J66" s="14">
        <v>-66.75</v>
      </c>
      <c r="K66" s="14">
        <v>-11.08</v>
      </c>
      <c r="L66" s="14">
        <v>-2.35</v>
      </c>
      <c r="M66" s="14">
        <v>-8.1199999999999992</v>
      </c>
      <c r="N66" s="14">
        <v>-7</v>
      </c>
      <c r="O66" s="14">
        <v>-44.96</v>
      </c>
      <c r="P66" s="14">
        <v>-8.4600000000000009</v>
      </c>
      <c r="Q66" s="14">
        <v>7.01</v>
      </c>
      <c r="R66" s="14">
        <v>10.54</v>
      </c>
      <c r="S66" s="14">
        <v>-16.829999999999998</v>
      </c>
      <c r="T66" s="14">
        <v>-9.4700000000000006</v>
      </c>
      <c r="U66" s="14">
        <v>-11.44</v>
      </c>
      <c r="V66" s="14">
        <v>-9.85</v>
      </c>
      <c r="W66" s="14">
        <v>-7.98</v>
      </c>
      <c r="X66" s="14">
        <v>4.41</v>
      </c>
      <c r="Y66" s="14">
        <v>-10.51</v>
      </c>
      <c r="Z66" s="14">
        <v>-100</v>
      </c>
    </row>
    <row r="67" spans="1:26">
      <c r="A67" s="268"/>
      <c r="B67" s="268" t="s">
        <v>1106</v>
      </c>
      <c r="C67" s="152" t="s">
        <v>1107</v>
      </c>
      <c r="D67" s="14">
        <v>500000</v>
      </c>
      <c r="E67" s="45">
        <v>3882048</v>
      </c>
      <c r="F67" s="14">
        <v>0.08</v>
      </c>
      <c r="G67" s="14">
        <v>10.6</v>
      </c>
      <c r="H67" s="14">
        <v>-1.98</v>
      </c>
      <c r="I67" s="14">
        <v>-0.02</v>
      </c>
      <c r="J67" s="14">
        <v>-16.079999999999998</v>
      </c>
      <c r="K67" s="14">
        <v>-4.1900000000000004</v>
      </c>
      <c r="L67" s="14">
        <v>-0.34</v>
      </c>
      <c r="M67" s="14">
        <v>-1.31</v>
      </c>
      <c r="N67" s="14">
        <v>-2.19</v>
      </c>
      <c r="O67" s="14">
        <v>-9.11</v>
      </c>
      <c r="P67" s="14">
        <v>-4.55</v>
      </c>
      <c r="Q67" s="14">
        <v>2.19</v>
      </c>
      <c r="R67" s="14">
        <v>2.76</v>
      </c>
      <c r="S67" s="14">
        <v>-7.98</v>
      </c>
      <c r="T67" s="14">
        <v>-2.64</v>
      </c>
      <c r="U67" s="14">
        <v>-2.0099999999999998</v>
      </c>
      <c r="V67" s="14">
        <v>-4.25</v>
      </c>
      <c r="W67" s="14">
        <v>-2.27</v>
      </c>
      <c r="X67" s="14">
        <v>-1.59</v>
      </c>
      <c r="Y67" s="14">
        <v>-3.28</v>
      </c>
      <c r="Z67" s="14">
        <v>-100</v>
      </c>
    </row>
    <row r="68" spans="1:26">
      <c r="A68" s="268"/>
      <c r="B68" s="268" t="s">
        <v>1108</v>
      </c>
      <c r="C68" s="152" t="s">
        <v>1109</v>
      </c>
      <c r="D68" s="14">
        <v>2000000</v>
      </c>
      <c r="E68" s="45">
        <v>15447787</v>
      </c>
      <c r="F68" s="14">
        <v>0.34</v>
      </c>
      <c r="G68" s="14">
        <v>13.38</v>
      </c>
      <c r="H68" s="14">
        <v>-2.52</v>
      </c>
      <c r="I68" s="14">
        <v>-0.01</v>
      </c>
      <c r="J68" s="14">
        <v>-20.27</v>
      </c>
      <c r="K68" s="14">
        <v>-5.32</v>
      </c>
      <c r="L68" s="14">
        <v>-0.43</v>
      </c>
      <c r="M68" s="14">
        <v>-1.6</v>
      </c>
      <c r="N68" s="14">
        <v>-2.81</v>
      </c>
      <c r="O68" s="14">
        <v>-11.67</v>
      </c>
      <c r="P68" s="14">
        <v>-5.78</v>
      </c>
      <c r="Q68" s="14">
        <v>2.81</v>
      </c>
      <c r="R68" s="14">
        <v>3.69</v>
      </c>
      <c r="S68" s="14">
        <v>-10.16</v>
      </c>
      <c r="T68" s="14">
        <v>-3.39</v>
      </c>
      <c r="U68" s="14">
        <v>-2.6</v>
      </c>
      <c r="V68" s="14">
        <v>-5.42</v>
      </c>
      <c r="W68" s="14">
        <v>-3.03</v>
      </c>
      <c r="X68" s="14">
        <v>-2.0499999999999998</v>
      </c>
      <c r="Y68" s="14">
        <v>-4.21</v>
      </c>
      <c r="Z68" s="14">
        <v>-100</v>
      </c>
    </row>
    <row r="69" spans="1:26">
      <c r="A69" s="268"/>
      <c r="B69" s="268" t="s">
        <v>1110</v>
      </c>
      <c r="C69" s="152" t="s">
        <v>1111</v>
      </c>
      <c r="D69" s="14">
        <v>1100000</v>
      </c>
      <c r="E69" s="45">
        <v>9394460</v>
      </c>
      <c r="F69" s="14">
        <v>0.2</v>
      </c>
      <c r="G69" s="14">
        <v>7.84</v>
      </c>
      <c r="H69" s="14">
        <v>-1.48</v>
      </c>
      <c r="I69" s="14">
        <v>-0.03</v>
      </c>
      <c r="J69" s="14">
        <v>-12.42</v>
      </c>
      <c r="K69" s="14">
        <v>-3.05</v>
      </c>
      <c r="L69" s="14">
        <v>-0.24</v>
      </c>
      <c r="M69" s="14">
        <v>-0.96</v>
      </c>
      <c r="N69" s="14">
        <v>-1.62</v>
      </c>
      <c r="O69" s="14">
        <v>-6.98</v>
      </c>
      <c r="P69" s="14">
        <v>-3.39</v>
      </c>
      <c r="Q69" s="14">
        <v>1.62</v>
      </c>
      <c r="R69" s="14">
        <v>1.92</v>
      </c>
      <c r="S69" s="14">
        <v>-5.93</v>
      </c>
      <c r="T69" s="14">
        <v>-1.96</v>
      </c>
      <c r="U69" s="14">
        <v>-1.5</v>
      </c>
      <c r="V69" s="14">
        <v>-3.08</v>
      </c>
      <c r="W69" s="14">
        <v>-1.64</v>
      </c>
      <c r="X69" s="14">
        <v>-1.17</v>
      </c>
      <c r="Y69" s="14">
        <v>-2.4300000000000002</v>
      </c>
      <c r="Z69" s="14">
        <v>-82.84</v>
      </c>
    </row>
    <row r="70" spans="1:26">
      <c r="A70" s="268"/>
      <c r="B70" s="268" t="s">
        <v>1112</v>
      </c>
      <c r="C70" s="152" t="s">
        <v>1113</v>
      </c>
      <c r="D70" s="14">
        <v>3000000</v>
      </c>
      <c r="E70" s="45">
        <v>23146709</v>
      </c>
      <c r="F70" s="14">
        <v>0.5</v>
      </c>
      <c r="G70" s="14">
        <v>4.37</v>
      </c>
      <c r="H70" s="14">
        <v>-0.84</v>
      </c>
      <c r="I70" s="14">
        <v>-0.05</v>
      </c>
      <c r="J70" s="14">
        <v>-7.38</v>
      </c>
      <c r="K70" s="14">
        <v>-1.6</v>
      </c>
      <c r="L70" s="14">
        <v>-0.11</v>
      </c>
      <c r="M70" s="14">
        <v>-0.51</v>
      </c>
      <c r="N70" s="14">
        <v>-0.91</v>
      </c>
      <c r="O70" s="14">
        <v>-4.3</v>
      </c>
      <c r="P70" s="14">
        <v>-1.91</v>
      </c>
      <c r="Q70" s="14">
        <v>0.91</v>
      </c>
      <c r="R70" s="14">
        <v>0.89</v>
      </c>
      <c r="S70" s="14">
        <v>-3.29</v>
      </c>
      <c r="T70" s="14">
        <v>-1.1000000000000001</v>
      </c>
      <c r="U70" s="14">
        <v>-0.85</v>
      </c>
      <c r="V70" s="14">
        <v>-1.61</v>
      </c>
      <c r="W70" s="14">
        <v>-0.79</v>
      </c>
      <c r="X70" s="14">
        <v>-0.59</v>
      </c>
      <c r="Y70" s="14">
        <v>-1.36</v>
      </c>
      <c r="Z70" s="14">
        <v>-45.14</v>
      </c>
    </row>
    <row r="71" spans="1:26">
      <c r="A71" s="268"/>
      <c r="B71" s="268" t="s">
        <v>839</v>
      </c>
      <c r="C71" s="152"/>
      <c r="D71" s="14">
        <v>-5773601.9900000002</v>
      </c>
      <c r="E71" s="45">
        <v>-5773602</v>
      </c>
      <c r="F71" s="14">
        <v>-0.13</v>
      </c>
      <c r="G71" s="14">
        <v>0</v>
      </c>
      <c r="H71" s="14">
        <v>0</v>
      </c>
      <c r="I71" s="14">
        <v>0</v>
      </c>
      <c r="J71" s="14">
        <v>0</v>
      </c>
      <c r="K71" s="14">
        <v>0</v>
      </c>
      <c r="L71" s="14">
        <v>0</v>
      </c>
      <c r="M71" s="14">
        <v>0</v>
      </c>
      <c r="N71" s="14">
        <v>0</v>
      </c>
      <c r="O71" s="14">
        <v>0</v>
      </c>
      <c r="P71" s="14">
        <v>0</v>
      </c>
      <c r="Q71" s="14">
        <v>0</v>
      </c>
      <c r="R71" s="14">
        <v>0</v>
      </c>
      <c r="S71" s="14">
        <v>0</v>
      </c>
      <c r="T71" s="14">
        <v>0</v>
      </c>
      <c r="U71" s="14">
        <v>0</v>
      </c>
      <c r="V71" s="14">
        <v>0</v>
      </c>
      <c r="W71" s="14">
        <v>0</v>
      </c>
      <c r="X71" s="14">
        <v>0</v>
      </c>
      <c r="Y71" s="14">
        <v>0</v>
      </c>
      <c r="Z71" s="14">
        <v>0</v>
      </c>
    </row>
    <row r="72" spans="1:26">
      <c r="A72" s="268"/>
      <c r="B72" s="268" t="s">
        <v>840</v>
      </c>
      <c r="C72" s="152"/>
      <c r="D72" s="14">
        <v>25555183.800000001</v>
      </c>
      <c r="E72" s="45">
        <v>25555184</v>
      </c>
      <c r="F72" s="14">
        <v>0.56000000000000005</v>
      </c>
      <c r="G72" s="14">
        <v>0</v>
      </c>
      <c r="H72" s="14">
        <v>0</v>
      </c>
      <c r="I72" s="14">
        <v>0</v>
      </c>
      <c r="J72" s="14">
        <v>0</v>
      </c>
      <c r="K72" s="14">
        <v>0</v>
      </c>
      <c r="L72" s="14">
        <v>0</v>
      </c>
      <c r="M72" s="14">
        <v>0</v>
      </c>
      <c r="N72" s="14">
        <v>0</v>
      </c>
      <c r="O72" s="14">
        <v>0</v>
      </c>
      <c r="P72" s="14">
        <v>0</v>
      </c>
      <c r="Q72" s="14">
        <v>0</v>
      </c>
      <c r="R72" s="14">
        <v>0</v>
      </c>
      <c r="S72" s="14">
        <v>0</v>
      </c>
      <c r="T72" s="14">
        <v>0</v>
      </c>
      <c r="U72" s="14">
        <v>0</v>
      </c>
      <c r="V72" s="14">
        <v>0</v>
      </c>
      <c r="W72" s="14">
        <v>0</v>
      </c>
      <c r="X72" s="14">
        <v>0</v>
      </c>
      <c r="Y72" s="14">
        <v>0</v>
      </c>
      <c r="Z72" s="14">
        <v>0</v>
      </c>
    </row>
    <row r="73" spans="1:26">
      <c r="A73" s="268"/>
      <c r="B73" s="268" t="s">
        <v>1303</v>
      </c>
      <c r="C73" s="152" t="s">
        <v>1304</v>
      </c>
      <c r="D73" s="14">
        <v>800000</v>
      </c>
      <c r="E73" s="45">
        <v>6246544</v>
      </c>
      <c r="F73" s="14">
        <v>0.14000000000000001</v>
      </c>
      <c r="G73" s="14">
        <v>6.26</v>
      </c>
      <c r="H73" s="14">
        <v>-1.06</v>
      </c>
      <c r="I73" s="14">
        <v>0.1</v>
      </c>
      <c r="J73" s="14">
        <v>-8.6199999999999992</v>
      </c>
      <c r="K73" s="14">
        <v>-2.23</v>
      </c>
      <c r="L73" s="14">
        <v>-0.06</v>
      </c>
      <c r="M73" s="14">
        <v>-0.59</v>
      </c>
      <c r="N73" s="14">
        <v>-1.2</v>
      </c>
      <c r="O73" s="14">
        <v>-5.59</v>
      </c>
      <c r="P73" s="14">
        <v>-2.92</v>
      </c>
      <c r="Q73" s="14">
        <v>1.2</v>
      </c>
      <c r="R73" s="14">
        <v>2.1</v>
      </c>
      <c r="S73" s="14">
        <v>-5.14</v>
      </c>
      <c r="T73" s="14">
        <v>-1.43</v>
      </c>
      <c r="U73" s="14">
        <v>-0.91</v>
      </c>
      <c r="V73" s="14">
        <v>-2.12</v>
      </c>
      <c r="W73" s="14">
        <v>-0.98</v>
      </c>
      <c r="X73" s="14">
        <v>-1.45</v>
      </c>
      <c r="Y73" s="14">
        <v>-1.79</v>
      </c>
      <c r="Z73" s="14">
        <v>-58.88</v>
      </c>
    </row>
    <row r="74" spans="1:26">
      <c r="A74" s="268"/>
      <c r="B74" s="268" t="s">
        <v>1305</v>
      </c>
      <c r="C74" s="152" t="s">
        <v>1306</v>
      </c>
      <c r="D74" s="14">
        <v>2200000</v>
      </c>
      <c r="E74" s="45">
        <v>17277178</v>
      </c>
      <c r="F74" s="14">
        <v>0.38</v>
      </c>
      <c r="G74" s="14">
        <v>3.8</v>
      </c>
      <c r="H74" s="14">
        <v>-0.65</v>
      </c>
      <c r="I74" s="14">
        <v>0.03</v>
      </c>
      <c r="J74" s="14">
        <v>-5.55</v>
      </c>
      <c r="K74" s="14">
        <v>-1.3</v>
      </c>
      <c r="L74" s="14">
        <v>-0.02</v>
      </c>
      <c r="M74" s="14">
        <v>-0.35</v>
      </c>
      <c r="N74" s="14">
        <v>-0.71</v>
      </c>
      <c r="O74" s="14">
        <v>-3.6</v>
      </c>
      <c r="P74" s="14">
        <v>-1.78</v>
      </c>
      <c r="Q74" s="14">
        <v>0.71</v>
      </c>
      <c r="R74" s="14">
        <v>1.07</v>
      </c>
      <c r="S74" s="14">
        <v>-3.09</v>
      </c>
      <c r="T74" s="14">
        <v>-0.85</v>
      </c>
      <c r="U74" s="14">
        <v>-0.53</v>
      </c>
      <c r="V74" s="14">
        <v>-1.21</v>
      </c>
      <c r="W74" s="14">
        <v>-0.43</v>
      </c>
      <c r="X74" s="14">
        <v>-0.82</v>
      </c>
      <c r="Y74" s="14">
        <v>-1.07</v>
      </c>
      <c r="Z74" s="14">
        <v>-34.51</v>
      </c>
    </row>
    <row r="75" spans="1:26">
      <c r="A75" s="268"/>
      <c r="B75" s="268" t="s">
        <v>841</v>
      </c>
      <c r="C75" s="152" t="s">
        <v>75</v>
      </c>
      <c r="D75" s="14">
        <v>1000000</v>
      </c>
      <c r="E75" s="45">
        <v>7748422</v>
      </c>
      <c r="F75" s="14">
        <v>0.17</v>
      </c>
      <c r="G75" s="14">
        <v>8.0500000000000007</v>
      </c>
      <c r="H75" s="14">
        <v>-1.48</v>
      </c>
      <c r="I75" s="14">
        <v>0.01</v>
      </c>
      <c r="J75" s="14">
        <v>-12.07</v>
      </c>
      <c r="K75" s="14">
        <v>-3.1</v>
      </c>
      <c r="L75" s="14">
        <v>-0.22</v>
      </c>
      <c r="M75" s="14">
        <v>-0.94</v>
      </c>
      <c r="N75" s="14">
        <v>-1.63</v>
      </c>
      <c r="O75" s="14">
        <v>-7.03</v>
      </c>
      <c r="P75" s="14">
        <v>-3.53</v>
      </c>
      <c r="Q75" s="14">
        <v>1.63</v>
      </c>
      <c r="R75" s="14">
        <v>2.16</v>
      </c>
      <c r="S75" s="14">
        <v>-6.15</v>
      </c>
      <c r="T75" s="14">
        <v>-1.97</v>
      </c>
      <c r="U75" s="14">
        <v>-1.45</v>
      </c>
      <c r="V75" s="14">
        <v>-3.09</v>
      </c>
      <c r="W75" s="14">
        <v>-1.57</v>
      </c>
      <c r="X75" s="14">
        <v>-1.33</v>
      </c>
      <c r="Y75" s="14">
        <v>-2.4500000000000002</v>
      </c>
      <c r="Z75" s="14">
        <v>-80.569999999999993</v>
      </c>
    </row>
    <row r="76" spans="1:26">
      <c r="A76" s="268"/>
      <c r="B76" s="268" t="s">
        <v>841</v>
      </c>
      <c r="C76" s="152" t="s">
        <v>75</v>
      </c>
      <c r="D76" s="14">
        <v>8600000</v>
      </c>
      <c r="E76" s="45">
        <v>66636428</v>
      </c>
      <c r="F76" s="14">
        <v>1.45</v>
      </c>
      <c r="G76" s="14">
        <v>8.0500000000000007</v>
      </c>
      <c r="H76" s="14">
        <v>-1.48</v>
      </c>
      <c r="I76" s="14">
        <v>0.01</v>
      </c>
      <c r="J76" s="14">
        <v>-12.07</v>
      </c>
      <c r="K76" s="14">
        <v>-3.1</v>
      </c>
      <c r="L76" s="14">
        <v>-0.22</v>
      </c>
      <c r="M76" s="14">
        <v>-0.94</v>
      </c>
      <c r="N76" s="14">
        <v>-1.63</v>
      </c>
      <c r="O76" s="14">
        <v>-7.03</v>
      </c>
      <c r="P76" s="14">
        <v>-3.53</v>
      </c>
      <c r="Q76" s="14">
        <v>1.63</v>
      </c>
      <c r="R76" s="14">
        <v>2.16</v>
      </c>
      <c r="S76" s="14">
        <v>-6.15</v>
      </c>
      <c r="T76" s="14">
        <v>-1.97</v>
      </c>
      <c r="U76" s="14">
        <v>-1.45</v>
      </c>
      <c r="V76" s="14">
        <v>-3.09</v>
      </c>
      <c r="W76" s="14">
        <v>-1.57</v>
      </c>
      <c r="X76" s="14">
        <v>-1.33</v>
      </c>
      <c r="Y76" s="14">
        <v>-2.4500000000000002</v>
      </c>
      <c r="Z76" s="14">
        <v>-80.569999999999993</v>
      </c>
    </row>
    <row r="77" spans="1:26">
      <c r="A77" s="268"/>
      <c r="B77" s="268" t="s">
        <v>1378</v>
      </c>
      <c r="C77" s="152" t="s">
        <v>1308</v>
      </c>
      <c r="D77" s="14">
        <v>1000000</v>
      </c>
      <c r="E77" s="45">
        <v>7064318</v>
      </c>
      <c r="F77" s="14">
        <v>0.15</v>
      </c>
      <c r="G77" s="14">
        <v>11.78</v>
      </c>
      <c r="H77" s="14">
        <v>-1.1299999999999999</v>
      </c>
      <c r="I77" s="14">
        <v>0.22</v>
      </c>
      <c r="J77" s="14">
        <v>-28.93</v>
      </c>
      <c r="K77" s="14">
        <v>-4.7300000000000004</v>
      </c>
      <c r="L77" s="14">
        <v>-0.35</v>
      </c>
      <c r="M77" s="14">
        <v>-0.82</v>
      </c>
      <c r="N77" s="14">
        <v>-2.2400000000000002</v>
      </c>
      <c r="O77" s="14">
        <v>-16.73</v>
      </c>
      <c r="P77" s="14">
        <v>-3.34</v>
      </c>
      <c r="Q77" s="14">
        <v>2.2400000000000002</v>
      </c>
      <c r="R77" s="14">
        <v>2.93</v>
      </c>
      <c r="S77" s="14">
        <v>-8.25</v>
      </c>
      <c r="T77" s="14">
        <v>-2.85</v>
      </c>
      <c r="U77" s="14">
        <v>-2.64</v>
      </c>
      <c r="V77" s="14">
        <v>-5.13</v>
      </c>
      <c r="W77" s="14">
        <v>-0.14000000000000001</v>
      </c>
      <c r="X77" s="14">
        <v>-0.1</v>
      </c>
      <c r="Y77" s="14">
        <v>-3.35</v>
      </c>
      <c r="Z77" s="14">
        <v>-100</v>
      </c>
    </row>
    <row r="78" spans="1:26">
      <c r="A78" s="268"/>
      <c r="B78" s="268" t="s">
        <v>1379</v>
      </c>
      <c r="C78" s="152" t="s">
        <v>1310</v>
      </c>
      <c r="D78" s="14">
        <v>400000</v>
      </c>
      <c r="E78" s="45">
        <v>2822315</v>
      </c>
      <c r="F78" s="14">
        <v>0.06</v>
      </c>
      <c r="G78" s="14">
        <v>13.54</v>
      </c>
      <c r="H78" s="14">
        <v>-1.29</v>
      </c>
      <c r="I78" s="14">
        <v>0.28000000000000003</v>
      </c>
      <c r="J78" s="14">
        <v>-34.270000000000003</v>
      </c>
      <c r="K78" s="14">
        <v>-5.46</v>
      </c>
      <c r="L78" s="14">
        <v>-0.39</v>
      </c>
      <c r="M78" s="14">
        <v>-0.79</v>
      </c>
      <c r="N78" s="14">
        <v>-2.68</v>
      </c>
      <c r="O78" s="14">
        <v>-20.14</v>
      </c>
      <c r="P78" s="14">
        <v>-3.96</v>
      </c>
      <c r="Q78" s="14">
        <v>2.68</v>
      </c>
      <c r="R78" s="14">
        <v>3.73</v>
      </c>
      <c r="S78" s="14">
        <v>-9.8800000000000008</v>
      </c>
      <c r="T78" s="14">
        <v>-3.4</v>
      </c>
      <c r="U78" s="14">
        <v>-3.13</v>
      </c>
      <c r="V78" s="14">
        <v>-5.99</v>
      </c>
      <c r="W78" s="14">
        <v>-0.38</v>
      </c>
      <c r="X78" s="14">
        <v>-0.36</v>
      </c>
      <c r="Y78" s="14">
        <v>-4.0199999999999996</v>
      </c>
      <c r="Z78" s="14">
        <v>-100</v>
      </c>
    </row>
    <row r="79" spans="1:26">
      <c r="A79" s="268"/>
      <c r="B79" s="268" t="s">
        <v>1967</v>
      </c>
      <c r="C79" s="152" t="s">
        <v>1931</v>
      </c>
      <c r="D79" s="14">
        <v>500000</v>
      </c>
      <c r="E79" s="45">
        <v>3501527</v>
      </c>
      <c r="F79" s="14">
        <v>0.08</v>
      </c>
      <c r="G79" s="14">
        <v>14.83</v>
      </c>
      <c r="H79" s="14">
        <v>-1.42</v>
      </c>
      <c r="I79" s="14">
        <v>0.28999999999999998</v>
      </c>
      <c r="J79" s="14">
        <v>-38.51</v>
      </c>
      <c r="K79" s="14">
        <v>-6.02</v>
      </c>
      <c r="L79" s="14">
        <v>-0.44</v>
      </c>
      <c r="M79" s="14">
        <v>-0.82</v>
      </c>
      <c r="N79" s="14">
        <v>-3.02</v>
      </c>
      <c r="O79" s="14">
        <v>-22.58</v>
      </c>
      <c r="P79" s="14">
        <v>-4.38</v>
      </c>
      <c r="Q79" s="14">
        <v>3.02</v>
      </c>
      <c r="R79" s="14">
        <v>4.17</v>
      </c>
      <c r="S79" s="14">
        <v>-10.97</v>
      </c>
      <c r="T79" s="14">
        <v>-3.83</v>
      </c>
      <c r="U79" s="14">
        <v>-3.55</v>
      </c>
      <c r="V79" s="14">
        <v>-6.68</v>
      </c>
      <c r="W79" s="14">
        <v>-0.59</v>
      </c>
      <c r="X79" s="14">
        <v>-0.47</v>
      </c>
      <c r="Y79" s="14">
        <v>-4.53</v>
      </c>
      <c r="Z79" s="14">
        <v>-100</v>
      </c>
    </row>
    <row r="80" spans="1:26">
      <c r="A80" s="268"/>
      <c r="B80" s="268" t="s">
        <v>1380</v>
      </c>
      <c r="C80" s="152" t="s">
        <v>1312</v>
      </c>
      <c r="D80" s="14">
        <v>300000</v>
      </c>
      <c r="E80" s="45">
        <v>2101212</v>
      </c>
      <c r="F80" s="14">
        <v>0.05</v>
      </c>
      <c r="G80" s="14">
        <v>17.25</v>
      </c>
      <c r="H80" s="14">
        <v>-1.67</v>
      </c>
      <c r="I80" s="14">
        <v>0.36</v>
      </c>
      <c r="J80" s="14">
        <v>-45.85</v>
      </c>
      <c r="K80" s="14">
        <v>-7.04</v>
      </c>
      <c r="L80" s="14">
        <v>-0.51</v>
      </c>
      <c r="M80" s="14">
        <v>-0.65</v>
      </c>
      <c r="N80" s="14">
        <v>-3.67</v>
      </c>
      <c r="O80" s="14">
        <v>-27.48</v>
      </c>
      <c r="P80" s="14">
        <v>-5.33</v>
      </c>
      <c r="Q80" s="14">
        <v>3.68</v>
      </c>
      <c r="R80" s="14">
        <v>5.26</v>
      </c>
      <c r="S80" s="14">
        <v>-13.32</v>
      </c>
      <c r="T80" s="14">
        <v>-4.6399999999999997</v>
      </c>
      <c r="U80" s="14">
        <v>-4.25</v>
      </c>
      <c r="V80" s="14">
        <v>-7.86</v>
      </c>
      <c r="W80" s="14">
        <v>-0.92</v>
      </c>
      <c r="X80" s="14">
        <v>-0.91</v>
      </c>
      <c r="Y80" s="14">
        <v>-5.51</v>
      </c>
      <c r="Z80" s="14">
        <v>-100</v>
      </c>
    </row>
    <row r="81" spans="1:26">
      <c r="A81" s="268"/>
      <c r="B81" s="268" t="s">
        <v>842</v>
      </c>
      <c r="C81" s="152" t="s">
        <v>77</v>
      </c>
      <c r="D81" s="14">
        <v>8000000</v>
      </c>
      <c r="E81" s="45">
        <v>67050535</v>
      </c>
      <c r="F81" s="14">
        <v>1.46</v>
      </c>
      <c r="G81" s="14">
        <v>2.62</v>
      </c>
      <c r="H81" s="14">
        <v>-0.25</v>
      </c>
      <c r="I81" s="14">
        <v>0.3</v>
      </c>
      <c r="J81" s="14">
        <v>-1.88</v>
      </c>
      <c r="K81" s="14">
        <v>-0.39</v>
      </c>
      <c r="L81" s="14">
        <v>0.31</v>
      </c>
      <c r="M81" s="14">
        <v>0.28000000000000003</v>
      </c>
      <c r="N81" s="14">
        <v>-0.39</v>
      </c>
      <c r="O81" s="14">
        <v>-3.3</v>
      </c>
      <c r="P81" s="14">
        <v>-1.84</v>
      </c>
      <c r="Q81" s="14">
        <v>0.39</v>
      </c>
      <c r="R81" s="14">
        <v>2.31</v>
      </c>
      <c r="S81" s="14">
        <v>-3.4</v>
      </c>
      <c r="T81" s="14">
        <v>-0.42</v>
      </c>
      <c r="U81" s="14">
        <v>0.16</v>
      </c>
      <c r="V81" s="14">
        <v>-0.09</v>
      </c>
      <c r="W81" s="14">
        <v>0.14000000000000001</v>
      </c>
      <c r="X81" s="14">
        <v>-1.92</v>
      </c>
      <c r="Y81" s="14">
        <v>-0.57999999999999996</v>
      </c>
      <c r="Z81" s="14">
        <v>-16.239999999999998</v>
      </c>
    </row>
    <row r="82" spans="1:26">
      <c r="A82" s="268"/>
      <c r="B82" s="268" t="s">
        <v>32</v>
      </c>
      <c r="C82" s="152" t="s">
        <v>879</v>
      </c>
      <c r="D82" s="14">
        <v>750000</v>
      </c>
      <c r="E82" s="45">
        <v>12090000</v>
      </c>
      <c r="F82" s="14">
        <v>0.26</v>
      </c>
      <c r="G82" s="14">
        <v>34.799999999999997</v>
      </c>
      <c r="H82" s="14">
        <v>-24.2</v>
      </c>
      <c r="I82" s="14">
        <v>-1.1000000000000001</v>
      </c>
      <c r="J82" s="14">
        <v>-19.11</v>
      </c>
      <c r="K82" s="14">
        <v>-9.9</v>
      </c>
      <c r="L82" s="14">
        <v>-2.81</v>
      </c>
      <c r="M82" s="14">
        <v>-6.39</v>
      </c>
      <c r="N82" s="14">
        <v>-6.61</v>
      </c>
      <c r="O82" s="14">
        <v>-11.56</v>
      </c>
      <c r="P82" s="14">
        <v>-6.88</v>
      </c>
      <c r="Q82" s="14">
        <v>6.61</v>
      </c>
      <c r="R82" s="14">
        <v>5.42</v>
      </c>
      <c r="S82" s="14">
        <v>-5.64</v>
      </c>
      <c r="T82" s="14">
        <v>-7.94</v>
      </c>
      <c r="U82" s="14">
        <v>-8.3000000000000007</v>
      </c>
      <c r="V82" s="14">
        <v>-8.57</v>
      </c>
      <c r="W82" s="14">
        <v>4.8899999999999997</v>
      </c>
      <c r="X82" s="14">
        <v>-0.95</v>
      </c>
      <c r="Y82" s="14">
        <v>-9.91</v>
      </c>
      <c r="Z82" s="14">
        <v>98.93</v>
      </c>
    </row>
    <row r="83" spans="1:26">
      <c r="A83" s="268"/>
      <c r="B83" s="268" t="s">
        <v>1195</v>
      </c>
      <c r="C83" s="152" t="s">
        <v>1273</v>
      </c>
      <c r="D83" s="14">
        <v>1052500</v>
      </c>
      <c r="E83" s="45">
        <v>8420000</v>
      </c>
      <c r="F83" s="14">
        <v>0.18</v>
      </c>
      <c r="G83" s="14">
        <v>30.01</v>
      </c>
      <c r="H83" s="14">
        <v>-22.48</v>
      </c>
      <c r="I83" s="14">
        <v>-0.98</v>
      </c>
      <c r="J83" s="14">
        <v>-20.46</v>
      </c>
      <c r="K83" s="14">
        <v>-9</v>
      </c>
      <c r="L83" s="14">
        <v>-2.0499999999999998</v>
      </c>
      <c r="M83" s="14">
        <v>-5.58</v>
      </c>
      <c r="N83" s="14">
        <v>-5.62</v>
      </c>
      <c r="O83" s="14">
        <v>-13.53</v>
      </c>
      <c r="P83" s="14">
        <v>-6.41</v>
      </c>
      <c r="Q83" s="14">
        <v>5.62</v>
      </c>
      <c r="R83" s="14">
        <v>5.16</v>
      </c>
      <c r="S83" s="14">
        <v>-5.77</v>
      </c>
      <c r="T83" s="14">
        <v>-6.61</v>
      </c>
      <c r="U83" s="14">
        <v>-7.13</v>
      </c>
      <c r="V83" s="14">
        <v>-8.26</v>
      </c>
      <c r="W83" s="14">
        <v>5.05</v>
      </c>
      <c r="X83" s="14">
        <v>-0.54</v>
      </c>
      <c r="Y83" s="14">
        <v>-8.42</v>
      </c>
      <c r="Z83" s="14">
        <v>70.099999999999994</v>
      </c>
    </row>
    <row r="84" spans="1:26">
      <c r="A84" s="268"/>
      <c r="B84" s="268" t="s">
        <v>34</v>
      </c>
      <c r="C84" s="152" t="s">
        <v>880</v>
      </c>
      <c r="D84" s="14">
        <v>957000</v>
      </c>
      <c r="E84" s="45">
        <v>11924220</v>
      </c>
      <c r="F84" s="14">
        <v>0.26</v>
      </c>
      <c r="G84" s="14">
        <v>27.79</v>
      </c>
      <c r="H84" s="14">
        <v>-20.62</v>
      </c>
      <c r="I84" s="14">
        <v>-1.64</v>
      </c>
      <c r="J84" s="14">
        <v>-26.39</v>
      </c>
      <c r="K84" s="14">
        <v>-10.15</v>
      </c>
      <c r="L84" s="14">
        <v>-2.3199999999999998</v>
      </c>
      <c r="M84" s="14">
        <v>-3.67</v>
      </c>
      <c r="N84" s="14">
        <v>-5.79</v>
      </c>
      <c r="O84" s="14">
        <v>-12.52</v>
      </c>
      <c r="P84" s="14">
        <v>-6.26</v>
      </c>
      <c r="Q84" s="14">
        <v>5.79</v>
      </c>
      <c r="R84" s="14">
        <v>5.91</v>
      </c>
      <c r="S84" s="14">
        <v>-5.68</v>
      </c>
      <c r="T84" s="14">
        <v>-7.11</v>
      </c>
      <c r="U84" s="14">
        <v>-7.01</v>
      </c>
      <c r="V84" s="14">
        <v>-7.45</v>
      </c>
      <c r="W84" s="14">
        <v>2.7</v>
      </c>
      <c r="X84" s="14">
        <v>-0.62</v>
      </c>
      <c r="Y84" s="14">
        <v>-8.68</v>
      </c>
      <c r="Z84" s="14">
        <v>85.94</v>
      </c>
    </row>
    <row r="85" spans="1:26">
      <c r="A85" s="268"/>
      <c r="B85" s="268" t="s">
        <v>843</v>
      </c>
      <c r="C85" s="152"/>
      <c r="D85" s="14">
        <v>711685.16</v>
      </c>
      <c r="E85" s="45">
        <v>711685</v>
      </c>
      <c r="F85" s="14">
        <v>0.02</v>
      </c>
      <c r="G85" s="14">
        <v>0</v>
      </c>
      <c r="H85" s="14">
        <v>0</v>
      </c>
      <c r="I85" s="14">
        <v>0</v>
      </c>
      <c r="J85" s="14">
        <v>0</v>
      </c>
      <c r="K85" s="14">
        <v>0</v>
      </c>
      <c r="L85" s="14">
        <v>0</v>
      </c>
      <c r="M85" s="14">
        <v>0</v>
      </c>
      <c r="N85" s="14">
        <v>0</v>
      </c>
      <c r="O85" s="14">
        <v>0</v>
      </c>
      <c r="P85" s="14">
        <v>0</v>
      </c>
      <c r="Q85" s="14">
        <v>0</v>
      </c>
      <c r="R85" s="14">
        <v>0</v>
      </c>
      <c r="S85" s="14">
        <v>0</v>
      </c>
      <c r="T85" s="14">
        <v>0</v>
      </c>
      <c r="U85" s="14">
        <v>0</v>
      </c>
      <c r="V85" s="14">
        <v>0</v>
      </c>
      <c r="W85" s="14">
        <v>0</v>
      </c>
      <c r="X85" s="14">
        <v>0</v>
      </c>
      <c r="Y85" s="14">
        <v>0</v>
      </c>
      <c r="Z85" s="14">
        <v>0</v>
      </c>
    </row>
    <row r="86" spans="1:26">
      <c r="A86" s="268"/>
      <c r="B86" s="268" t="s">
        <v>843</v>
      </c>
      <c r="C86" s="152"/>
      <c r="D86" s="14">
        <v>20673328.420000002</v>
      </c>
      <c r="E86" s="45">
        <v>20673328</v>
      </c>
      <c r="F86" s="14">
        <v>0.45</v>
      </c>
      <c r="G86" s="14">
        <v>0</v>
      </c>
      <c r="H86" s="14">
        <v>0</v>
      </c>
      <c r="I86" s="14">
        <v>0</v>
      </c>
      <c r="J86" s="14">
        <v>0</v>
      </c>
      <c r="K86" s="14">
        <v>0</v>
      </c>
      <c r="L86" s="14">
        <v>0</v>
      </c>
      <c r="M86" s="14">
        <v>0</v>
      </c>
      <c r="N86" s="14">
        <v>0</v>
      </c>
      <c r="O86" s="14">
        <v>0</v>
      </c>
      <c r="P86" s="14">
        <v>0</v>
      </c>
      <c r="Q86" s="14">
        <v>0</v>
      </c>
      <c r="R86" s="14">
        <v>0</v>
      </c>
      <c r="S86" s="14">
        <v>0</v>
      </c>
      <c r="T86" s="14">
        <v>0</v>
      </c>
      <c r="U86" s="14">
        <v>0</v>
      </c>
      <c r="V86" s="14">
        <v>0</v>
      </c>
      <c r="W86" s="14">
        <v>0</v>
      </c>
      <c r="X86" s="14">
        <v>0</v>
      </c>
      <c r="Y86" s="14">
        <v>0</v>
      </c>
      <c r="Z86" s="14">
        <v>0</v>
      </c>
    </row>
    <row r="87" spans="1:26">
      <c r="A87" s="268"/>
      <c r="B87" s="268" t="s">
        <v>843</v>
      </c>
      <c r="C87" s="152"/>
      <c r="D87" s="14">
        <v>-22720836.73</v>
      </c>
      <c r="E87" s="45">
        <v>-22720837</v>
      </c>
      <c r="F87" s="14">
        <v>-0.49</v>
      </c>
      <c r="G87" s="14">
        <v>0</v>
      </c>
      <c r="H87" s="14">
        <v>0</v>
      </c>
      <c r="I87" s="14">
        <v>0</v>
      </c>
      <c r="J87" s="14">
        <v>0</v>
      </c>
      <c r="K87" s="14">
        <v>0</v>
      </c>
      <c r="L87" s="14">
        <v>0</v>
      </c>
      <c r="M87" s="14">
        <v>0</v>
      </c>
      <c r="N87" s="14">
        <v>0</v>
      </c>
      <c r="O87" s="14">
        <v>0</v>
      </c>
      <c r="P87" s="14">
        <v>0</v>
      </c>
      <c r="Q87" s="14">
        <v>0</v>
      </c>
      <c r="R87" s="14">
        <v>0</v>
      </c>
      <c r="S87" s="14">
        <v>0</v>
      </c>
      <c r="T87" s="14">
        <v>0</v>
      </c>
      <c r="U87" s="14">
        <v>0</v>
      </c>
      <c r="V87" s="14">
        <v>0</v>
      </c>
      <c r="W87" s="14">
        <v>0</v>
      </c>
      <c r="X87" s="14">
        <v>0</v>
      </c>
      <c r="Y87" s="14">
        <v>0</v>
      </c>
      <c r="Z87" s="14">
        <v>0</v>
      </c>
    </row>
    <row r="88" spans="1:26">
      <c r="A88" s="268"/>
      <c r="B88" s="268" t="s">
        <v>959</v>
      </c>
      <c r="C88" s="152" t="s">
        <v>973</v>
      </c>
      <c r="D88" s="14">
        <v>40000</v>
      </c>
      <c r="E88" s="45">
        <v>10080000</v>
      </c>
      <c r="F88" s="14">
        <v>0.22</v>
      </c>
      <c r="G88" s="14">
        <v>51.39</v>
      </c>
      <c r="H88" s="14">
        <v>-24.17</v>
      </c>
      <c r="I88" s="14">
        <v>-1.46</v>
      </c>
      <c r="J88" s="14">
        <v>-37.200000000000003</v>
      </c>
      <c r="K88" s="14">
        <v>-8.56</v>
      </c>
      <c r="L88" s="14">
        <v>-4.3</v>
      </c>
      <c r="M88" s="14">
        <v>-8.93</v>
      </c>
      <c r="N88" s="14">
        <v>-8.02</v>
      </c>
      <c r="O88" s="14">
        <v>-12.06</v>
      </c>
      <c r="P88" s="14">
        <v>-9.1300000000000008</v>
      </c>
      <c r="Q88" s="14">
        <v>8.02</v>
      </c>
      <c r="R88" s="14">
        <v>-4.67</v>
      </c>
      <c r="S88" s="14">
        <v>-9.41</v>
      </c>
      <c r="T88" s="14">
        <v>-9.42</v>
      </c>
      <c r="U88" s="14">
        <v>-10.5</v>
      </c>
      <c r="V88" s="14">
        <v>-8.16</v>
      </c>
      <c r="W88" s="14">
        <v>-1.06</v>
      </c>
      <c r="X88" s="14">
        <v>0.82</v>
      </c>
      <c r="Y88" s="14">
        <v>-12.03</v>
      </c>
      <c r="Z88" s="14">
        <v>56.06</v>
      </c>
    </row>
    <row r="89" spans="1:26">
      <c r="A89" s="268"/>
      <c r="B89" s="268" t="s">
        <v>939</v>
      </c>
      <c r="C89" s="152" t="s">
        <v>935</v>
      </c>
      <c r="D89" s="14">
        <v>7450000</v>
      </c>
      <c r="E89" s="45">
        <v>50526785</v>
      </c>
      <c r="F89" s="14">
        <v>1.1000000000000001</v>
      </c>
      <c r="G89" s="14">
        <v>15</v>
      </c>
      <c r="H89" s="14">
        <v>-2.6</v>
      </c>
      <c r="I89" s="14">
        <v>0.18</v>
      </c>
      <c r="J89" s="14">
        <v>-30.58</v>
      </c>
      <c r="K89" s="14">
        <v>-7.78</v>
      </c>
      <c r="L89" s="14">
        <v>-0.03</v>
      </c>
      <c r="M89" s="14">
        <v>-1.69</v>
      </c>
      <c r="N89" s="14">
        <v>-2.8</v>
      </c>
      <c r="O89" s="14">
        <v>-18</v>
      </c>
      <c r="P89" s="14">
        <v>-4.2</v>
      </c>
      <c r="Q89" s="14">
        <v>2.8</v>
      </c>
      <c r="R89" s="14">
        <v>2.6</v>
      </c>
      <c r="S89" s="14">
        <v>-7.36</v>
      </c>
      <c r="T89" s="14">
        <v>-3.47</v>
      </c>
      <c r="U89" s="14">
        <v>-2.68</v>
      </c>
      <c r="V89" s="14">
        <v>-8.57</v>
      </c>
      <c r="W89" s="14">
        <v>-1.71</v>
      </c>
      <c r="X89" s="14">
        <v>-1.06</v>
      </c>
      <c r="Y89" s="14">
        <v>-4.2</v>
      </c>
      <c r="Z89" s="14">
        <v>-100</v>
      </c>
    </row>
    <row r="90" spans="1:26">
      <c r="A90" s="268"/>
      <c r="B90" s="268" t="s">
        <v>1274</v>
      </c>
      <c r="C90" s="152" t="s">
        <v>1210</v>
      </c>
      <c r="D90" s="14">
        <v>3000000</v>
      </c>
      <c r="E90" s="45">
        <v>22319721</v>
      </c>
      <c r="F90" s="14">
        <v>0.49</v>
      </c>
      <c r="G90" s="14">
        <v>13.02</v>
      </c>
      <c r="H90" s="14">
        <v>-2.46</v>
      </c>
      <c r="I90" s="14">
        <v>-0.02</v>
      </c>
      <c r="J90" s="14">
        <v>-19.89</v>
      </c>
      <c r="K90" s="14">
        <v>-5.18</v>
      </c>
      <c r="L90" s="14">
        <v>-0.42</v>
      </c>
      <c r="M90" s="14">
        <v>-1.59</v>
      </c>
      <c r="N90" s="14">
        <v>-2.73</v>
      </c>
      <c r="O90" s="14">
        <v>-11.3</v>
      </c>
      <c r="P90" s="14">
        <v>-5.61</v>
      </c>
      <c r="Q90" s="14">
        <v>2.73</v>
      </c>
      <c r="R90" s="14">
        <v>3.51</v>
      </c>
      <c r="S90" s="14">
        <v>-9.86</v>
      </c>
      <c r="T90" s="14">
        <v>-3.29</v>
      </c>
      <c r="U90" s="14">
        <v>-2.5299999999999998</v>
      </c>
      <c r="V90" s="14">
        <v>-5.28</v>
      </c>
      <c r="W90" s="14">
        <v>-2.94</v>
      </c>
      <c r="X90" s="14">
        <v>-1.99</v>
      </c>
      <c r="Y90" s="14">
        <v>-4.09</v>
      </c>
      <c r="Z90" s="14">
        <v>-100</v>
      </c>
    </row>
    <row r="91" spans="1:26">
      <c r="A91" s="268"/>
      <c r="B91" s="268" t="s">
        <v>940</v>
      </c>
      <c r="C91" s="152" t="s">
        <v>937</v>
      </c>
      <c r="D91" s="14">
        <v>5000000</v>
      </c>
      <c r="E91" s="45">
        <v>38655473</v>
      </c>
      <c r="F91" s="14">
        <v>0.84</v>
      </c>
      <c r="G91" s="14">
        <v>7.64</v>
      </c>
      <c r="H91" s="14">
        <v>-1.2</v>
      </c>
      <c r="I91" s="14">
        <v>0.21</v>
      </c>
      <c r="J91" s="14">
        <v>-14.5</v>
      </c>
      <c r="K91" s="14">
        <v>-3.68</v>
      </c>
      <c r="L91" s="14">
        <v>0.15</v>
      </c>
      <c r="M91" s="14">
        <v>-0.64</v>
      </c>
      <c r="N91" s="14">
        <v>-1.32</v>
      </c>
      <c r="O91" s="14">
        <v>-9.42</v>
      </c>
      <c r="P91" s="14">
        <v>-2.41</v>
      </c>
      <c r="Q91" s="14">
        <v>1.32</v>
      </c>
      <c r="R91" s="14">
        <v>1.87</v>
      </c>
      <c r="S91" s="14">
        <v>-4.25</v>
      </c>
      <c r="T91" s="14">
        <v>-1.62</v>
      </c>
      <c r="U91" s="14">
        <v>-1.04</v>
      </c>
      <c r="V91" s="14">
        <v>-3.92</v>
      </c>
      <c r="W91" s="14">
        <v>-0.45</v>
      </c>
      <c r="X91" s="14">
        <v>-1.1000000000000001</v>
      </c>
      <c r="Y91" s="14">
        <v>-1.98</v>
      </c>
      <c r="Z91" s="14">
        <v>-50.23</v>
      </c>
    </row>
    <row r="92" spans="1:26">
      <c r="A92" s="268"/>
      <c r="B92" s="268" t="s">
        <v>844</v>
      </c>
      <c r="C92" s="152" t="s">
        <v>881</v>
      </c>
      <c r="D92" s="14">
        <v>3000000</v>
      </c>
      <c r="E92" s="45">
        <v>22569329</v>
      </c>
      <c r="F92" s="14">
        <v>0.49</v>
      </c>
      <c r="G92" s="14">
        <v>6.97</v>
      </c>
      <c r="H92" s="14">
        <v>-1.34</v>
      </c>
      <c r="I92" s="14">
        <v>-0.06</v>
      </c>
      <c r="J92" s="14">
        <v>-11.3</v>
      </c>
      <c r="K92" s="14">
        <v>-2.73</v>
      </c>
      <c r="L92" s="14">
        <v>-0.23</v>
      </c>
      <c r="M92" s="14">
        <v>-0.88</v>
      </c>
      <c r="N92" s="14">
        <v>-1.45</v>
      </c>
      <c r="O92" s="14">
        <v>-6.27</v>
      </c>
      <c r="P92" s="14">
        <v>-2.98</v>
      </c>
      <c r="Q92" s="14">
        <v>1.45</v>
      </c>
      <c r="R92" s="14">
        <v>1.53</v>
      </c>
      <c r="S92" s="14">
        <v>-5.18</v>
      </c>
      <c r="T92" s="14">
        <v>-1.76</v>
      </c>
      <c r="U92" s="14">
        <v>-1.38</v>
      </c>
      <c r="V92" s="14">
        <v>-2.77</v>
      </c>
      <c r="W92" s="14">
        <v>-1.43</v>
      </c>
      <c r="X92" s="14">
        <v>-0.93</v>
      </c>
      <c r="Y92" s="14">
        <v>-2.1800000000000002</v>
      </c>
      <c r="Z92" s="14">
        <v>-73.31</v>
      </c>
    </row>
    <row r="93" spans="1:26">
      <c r="A93" s="268"/>
      <c r="B93" s="268" t="s">
        <v>1313</v>
      </c>
      <c r="C93" s="152" t="s">
        <v>1314</v>
      </c>
      <c r="D93" s="14">
        <v>10000000</v>
      </c>
      <c r="E93" s="45">
        <v>77898197</v>
      </c>
      <c r="F93" s="14">
        <v>1.7</v>
      </c>
      <c r="G93" s="14">
        <v>2</v>
      </c>
      <c r="H93" s="14">
        <v>-0.35</v>
      </c>
      <c r="I93" s="14">
        <v>0</v>
      </c>
      <c r="J93" s="14">
        <v>-3.35</v>
      </c>
      <c r="K93" s="14">
        <v>-0.56000000000000005</v>
      </c>
      <c r="L93" s="14">
        <v>0.02</v>
      </c>
      <c r="M93" s="14">
        <v>-0.14000000000000001</v>
      </c>
      <c r="N93" s="14">
        <v>-0.37</v>
      </c>
      <c r="O93" s="14">
        <v>-2.3199999999999998</v>
      </c>
      <c r="P93" s="14">
        <v>-0.99</v>
      </c>
      <c r="Q93" s="14">
        <v>0.37</v>
      </c>
      <c r="R93" s="14">
        <v>0.44</v>
      </c>
      <c r="S93" s="14">
        <v>-1.68</v>
      </c>
      <c r="T93" s="14">
        <v>-0.44</v>
      </c>
      <c r="U93" s="14">
        <v>-0.26</v>
      </c>
      <c r="V93" s="14">
        <v>-0.48</v>
      </c>
      <c r="W93" s="14">
        <v>-0.08</v>
      </c>
      <c r="X93" s="14">
        <v>-0.44</v>
      </c>
      <c r="Y93" s="14">
        <v>-0.55000000000000004</v>
      </c>
      <c r="Z93" s="14">
        <v>-17.68</v>
      </c>
    </row>
    <row r="94" spans="1:26">
      <c r="A94" s="268"/>
      <c r="B94" s="268" t="s">
        <v>1275</v>
      </c>
      <c r="C94" s="152" t="s">
        <v>1212</v>
      </c>
      <c r="D94" s="14">
        <v>1500000</v>
      </c>
      <c r="E94" s="45">
        <v>11001599</v>
      </c>
      <c r="F94" s="14">
        <v>0.24</v>
      </c>
      <c r="G94" s="14">
        <v>17.38</v>
      </c>
      <c r="H94" s="14">
        <v>-2.89</v>
      </c>
      <c r="I94" s="14">
        <v>0.63</v>
      </c>
      <c r="J94" s="14">
        <v>-31.6</v>
      </c>
      <c r="K94" s="14">
        <v>-7.31</v>
      </c>
      <c r="L94" s="14">
        <v>-1.54</v>
      </c>
      <c r="M94" s="14">
        <v>-1.0900000000000001</v>
      </c>
      <c r="N94" s="14">
        <v>-1.97</v>
      </c>
      <c r="O94" s="14">
        <v>-20.27</v>
      </c>
      <c r="P94" s="14">
        <v>-6.07</v>
      </c>
      <c r="Q94" s="14">
        <v>1.97</v>
      </c>
      <c r="R94" s="14">
        <v>4.18</v>
      </c>
      <c r="S94" s="14">
        <v>-12.41</v>
      </c>
      <c r="T94" s="14">
        <v>-2.31</v>
      </c>
      <c r="U94" s="14">
        <v>-0.96</v>
      </c>
      <c r="V94" s="14">
        <v>-5.84</v>
      </c>
      <c r="W94" s="14">
        <v>-5.1100000000000003</v>
      </c>
      <c r="X94" s="14">
        <v>-2.74</v>
      </c>
      <c r="Y94" s="14">
        <v>-2.95</v>
      </c>
      <c r="Z94" s="14">
        <v>-100</v>
      </c>
    </row>
    <row r="95" spans="1:26">
      <c r="A95" s="268"/>
      <c r="B95" s="268" t="s">
        <v>1276</v>
      </c>
      <c r="C95" s="152" t="s">
        <v>1214</v>
      </c>
      <c r="D95" s="14">
        <v>5000000</v>
      </c>
      <c r="E95" s="45">
        <v>38877023</v>
      </c>
      <c r="F95" s="14">
        <v>0.85</v>
      </c>
      <c r="G95" s="14">
        <v>-0.16</v>
      </c>
      <c r="H95" s="14">
        <v>-0.02</v>
      </c>
      <c r="I95" s="14">
        <v>0</v>
      </c>
      <c r="J95" s="14">
        <v>-1.33</v>
      </c>
      <c r="K95" s="14">
        <v>0.45</v>
      </c>
      <c r="L95" s="14">
        <v>0.12</v>
      </c>
      <c r="M95" s="14">
        <v>0.16</v>
      </c>
      <c r="N95" s="14">
        <v>-0.01</v>
      </c>
      <c r="O95" s="14">
        <v>-0.84</v>
      </c>
      <c r="P95" s="14">
        <v>-0.04</v>
      </c>
      <c r="Q95" s="14">
        <v>0.01</v>
      </c>
      <c r="R95" s="14">
        <v>-0.03</v>
      </c>
      <c r="S95" s="14">
        <v>-7.0000000000000007E-2</v>
      </c>
      <c r="T95" s="14">
        <v>-0.02</v>
      </c>
      <c r="U95" s="14">
        <v>-0.01</v>
      </c>
      <c r="V95" s="14">
        <v>0.49</v>
      </c>
      <c r="W95" s="14">
        <v>-0.01</v>
      </c>
      <c r="X95" s="14">
        <v>-0.02</v>
      </c>
      <c r="Y95" s="14">
        <v>-0.02</v>
      </c>
      <c r="Z95" s="14">
        <v>-0.63</v>
      </c>
    </row>
    <row r="96" spans="1:26">
      <c r="A96" s="268"/>
      <c r="B96" s="268" t="s">
        <v>36</v>
      </c>
      <c r="C96" s="152" t="s">
        <v>882</v>
      </c>
      <c r="D96" s="14">
        <v>1500000</v>
      </c>
      <c r="E96" s="45">
        <v>7905000</v>
      </c>
      <c r="F96" s="14">
        <v>0.17</v>
      </c>
      <c r="G96" s="14">
        <v>64.8</v>
      </c>
      <c r="H96" s="14">
        <v>-18.3</v>
      </c>
      <c r="I96" s="14">
        <v>-2.46</v>
      </c>
      <c r="J96" s="14">
        <v>-32.76</v>
      </c>
      <c r="K96" s="14">
        <v>-9.08</v>
      </c>
      <c r="L96" s="14">
        <v>-3.77</v>
      </c>
      <c r="M96" s="14">
        <v>-10.44</v>
      </c>
      <c r="N96" s="14">
        <v>-8.14</v>
      </c>
      <c r="O96" s="14">
        <v>-4.9400000000000004</v>
      </c>
      <c r="P96" s="14">
        <v>-8.18</v>
      </c>
      <c r="Q96" s="14">
        <v>8.14</v>
      </c>
      <c r="R96" s="14">
        <v>3.61</v>
      </c>
      <c r="S96" s="14">
        <v>-6.13</v>
      </c>
      <c r="T96" s="14">
        <v>-9.66</v>
      </c>
      <c r="U96" s="14">
        <v>-11.17</v>
      </c>
      <c r="V96" s="14">
        <v>-6.26</v>
      </c>
      <c r="W96" s="14">
        <v>1.04</v>
      </c>
      <c r="X96" s="14">
        <v>2.5499999999999998</v>
      </c>
      <c r="Y96" s="14">
        <v>-12.2</v>
      </c>
      <c r="Z96" s="14">
        <v>83.99</v>
      </c>
    </row>
    <row r="97" spans="1:26">
      <c r="A97" s="268"/>
      <c r="B97" s="268" t="s">
        <v>1287</v>
      </c>
      <c r="C97" s="152" t="s">
        <v>1381</v>
      </c>
      <c r="D97" s="14">
        <v>530000</v>
      </c>
      <c r="E97" s="45">
        <v>7388200</v>
      </c>
      <c r="F97" s="14">
        <v>0.16</v>
      </c>
      <c r="G97" s="14">
        <v>14.8</v>
      </c>
      <c r="H97" s="14">
        <v>-9.74</v>
      </c>
      <c r="I97" s="14">
        <v>-3.32</v>
      </c>
      <c r="J97" s="14">
        <v>-24.9</v>
      </c>
      <c r="K97" s="14">
        <v>-5.5</v>
      </c>
      <c r="L97" s="14">
        <v>-4.6100000000000003</v>
      </c>
      <c r="M97" s="14">
        <v>-7.91</v>
      </c>
      <c r="N97" s="14">
        <v>-5.38</v>
      </c>
      <c r="O97" s="14">
        <v>-5.9</v>
      </c>
      <c r="P97" s="14">
        <v>-7.89</v>
      </c>
      <c r="Q97" s="14">
        <v>5.38</v>
      </c>
      <c r="R97" s="14">
        <v>11.8</v>
      </c>
      <c r="S97" s="14">
        <v>-8.2200000000000006</v>
      </c>
      <c r="T97" s="14">
        <v>-5.85</v>
      </c>
      <c r="U97" s="14">
        <v>-6.22</v>
      </c>
      <c r="V97" s="14">
        <v>-8.98</v>
      </c>
      <c r="W97" s="14">
        <v>-0.11</v>
      </c>
      <c r="X97" s="14">
        <v>0.46</v>
      </c>
      <c r="Y97" s="14">
        <v>-8.07</v>
      </c>
      <c r="Z97" s="14">
        <v>67.739999999999995</v>
      </c>
    </row>
    <row r="98" spans="1:26">
      <c r="A98" s="268"/>
      <c r="B98" s="268" t="s">
        <v>78</v>
      </c>
      <c r="C98" s="152" t="s">
        <v>79</v>
      </c>
      <c r="D98" s="14">
        <v>1000000</v>
      </c>
      <c r="E98" s="45">
        <v>7901899</v>
      </c>
      <c r="F98" s="14">
        <v>0.17</v>
      </c>
      <c r="G98" s="14">
        <v>3.81</v>
      </c>
      <c r="H98" s="14">
        <v>-0.52</v>
      </c>
      <c r="I98" s="14">
        <v>0.17</v>
      </c>
      <c r="J98" s="14">
        <v>-6.64</v>
      </c>
      <c r="K98" s="14">
        <v>-1.62</v>
      </c>
      <c r="L98" s="14">
        <v>0.16</v>
      </c>
      <c r="M98" s="14">
        <v>-0.22</v>
      </c>
      <c r="N98" s="14">
        <v>-0.56999999999999995</v>
      </c>
      <c r="O98" s="14">
        <v>-4.76</v>
      </c>
      <c r="P98" s="14">
        <v>-1.37</v>
      </c>
      <c r="Q98" s="14">
        <v>0.56999999999999995</v>
      </c>
      <c r="R98" s="14">
        <v>1.1100000000000001</v>
      </c>
      <c r="S98" s="14">
        <v>-2.4</v>
      </c>
      <c r="T98" s="14">
        <v>-0.69</v>
      </c>
      <c r="U98" s="14">
        <v>-0.3</v>
      </c>
      <c r="V98" s="14">
        <v>-1.62</v>
      </c>
      <c r="W98" s="14">
        <v>0.12</v>
      </c>
      <c r="X98" s="14">
        <v>-0.86</v>
      </c>
      <c r="Y98" s="14">
        <v>-0.86</v>
      </c>
      <c r="Z98" s="14">
        <v>-20.91</v>
      </c>
    </row>
    <row r="99" spans="1:26">
      <c r="A99" s="268"/>
      <c r="B99" s="268" t="s">
        <v>845</v>
      </c>
      <c r="C99" s="152" t="s">
        <v>883</v>
      </c>
      <c r="D99" s="14">
        <v>5500000</v>
      </c>
      <c r="E99" s="45">
        <v>42311382</v>
      </c>
      <c r="F99" s="14">
        <v>0.92</v>
      </c>
      <c r="G99" s="14">
        <v>6.44</v>
      </c>
      <c r="H99" s="14">
        <v>-1.23</v>
      </c>
      <c r="I99" s="14">
        <v>-0.05</v>
      </c>
      <c r="J99" s="14">
        <v>-10.4</v>
      </c>
      <c r="K99" s="14">
        <v>-2.5</v>
      </c>
      <c r="L99" s="14">
        <v>-0.2</v>
      </c>
      <c r="M99" s="14">
        <v>-0.8</v>
      </c>
      <c r="N99" s="14">
        <v>-1.34</v>
      </c>
      <c r="O99" s="14">
        <v>-5.84</v>
      </c>
      <c r="P99" s="14">
        <v>-2.77</v>
      </c>
      <c r="Q99" s="14">
        <v>1.34</v>
      </c>
      <c r="R99" s="14">
        <v>1.42</v>
      </c>
      <c r="S99" s="14">
        <v>-4.8</v>
      </c>
      <c r="T99" s="14">
        <v>-1.62</v>
      </c>
      <c r="U99" s="14">
        <v>-1.26</v>
      </c>
      <c r="V99" s="14">
        <v>-2.5299999999999998</v>
      </c>
      <c r="W99" s="14">
        <v>-1.28</v>
      </c>
      <c r="X99" s="14">
        <v>-0.87</v>
      </c>
      <c r="Y99" s="14">
        <v>-2</v>
      </c>
      <c r="Z99" s="14">
        <v>-66.709999999999994</v>
      </c>
    </row>
    <row r="100" spans="1:26">
      <c r="A100" s="268"/>
      <c r="B100" s="268" t="s">
        <v>845</v>
      </c>
      <c r="C100" s="152" t="s">
        <v>883</v>
      </c>
      <c r="D100" s="14">
        <v>7500000</v>
      </c>
      <c r="E100" s="45">
        <v>57697339</v>
      </c>
      <c r="F100" s="14">
        <v>1.26</v>
      </c>
      <c r="G100" s="14">
        <v>6.44</v>
      </c>
      <c r="H100" s="14">
        <v>-1.23</v>
      </c>
      <c r="I100" s="14">
        <v>-0.05</v>
      </c>
      <c r="J100" s="14">
        <v>-10.4</v>
      </c>
      <c r="K100" s="14">
        <v>-2.5</v>
      </c>
      <c r="L100" s="14">
        <v>-0.2</v>
      </c>
      <c r="M100" s="14">
        <v>-0.8</v>
      </c>
      <c r="N100" s="14">
        <v>-1.34</v>
      </c>
      <c r="O100" s="14">
        <v>-5.84</v>
      </c>
      <c r="P100" s="14">
        <v>-2.77</v>
      </c>
      <c r="Q100" s="14">
        <v>1.34</v>
      </c>
      <c r="R100" s="14">
        <v>1.42</v>
      </c>
      <c r="S100" s="14">
        <v>-4.8</v>
      </c>
      <c r="T100" s="14">
        <v>-1.62</v>
      </c>
      <c r="U100" s="14">
        <v>-1.26</v>
      </c>
      <c r="V100" s="14">
        <v>-2.5299999999999998</v>
      </c>
      <c r="W100" s="14">
        <v>-1.28</v>
      </c>
      <c r="X100" s="14">
        <v>-0.87</v>
      </c>
      <c r="Y100" s="14">
        <v>-2</v>
      </c>
      <c r="Z100" s="14">
        <v>-66.709999999999994</v>
      </c>
    </row>
    <row r="101" spans="1:26">
      <c r="A101" s="268"/>
      <c r="B101" s="268" t="s">
        <v>1168</v>
      </c>
      <c r="C101" s="152" t="s">
        <v>1155</v>
      </c>
      <c r="D101" s="14">
        <v>3000000</v>
      </c>
      <c r="E101" s="45">
        <v>15690052</v>
      </c>
      <c r="F101" s="14">
        <v>0.34</v>
      </c>
      <c r="G101" s="14">
        <v>28.04</v>
      </c>
      <c r="H101" s="14">
        <v>-3.64</v>
      </c>
      <c r="I101" s="14">
        <v>-0.45</v>
      </c>
      <c r="J101" s="14">
        <v>-57.54</v>
      </c>
      <c r="K101" s="14">
        <v>-8.9499999999999993</v>
      </c>
      <c r="L101" s="14">
        <v>-2.5099999999999998</v>
      </c>
      <c r="M101" s="14">
        <v>-3.39</v>
      </c>
      <c r="N101" s="14">
        <v>-6.3</v>
      </c>
      <c r="O101" s="14">
        <v>-27.87</v>
      </c>
      <c r="P101" s="14">
        <v>-10.99</v>
      </c>
      <c r="Q101" s="14">
        <v>6.31</v>
      </c>
      <c r="R101" s="14">
        <v>6.75</v>
      </c>
      <c r="S101" s="14">
        <v>-24.75</v>
      </c>
      <c r="T101" s="14">
        <v>-7.9</v>
      </c>
      <c r="U101" s="14">
        <v>-8.0500000000000007</v>
      </c>
      <c r="V101" s="14">
        <v>-9.1999999999999993</v>
      </c>
      <c r="W101" s="14">
        <v>-5.12</v>
      </c>
      <c r="X101" s="14">
        <v>0.34</v>
      </c>
      <c r="Y101" s="14">
        <v>-9.4600000000000009</v>
      </c>
      <c r="Z101" s="14">
        <v>-100</v>
      </c>
    </row>
    <row r="102" spans="1:26">
      <c r="A102" s="268"/>
      <c r="B102" s="268" t="s">
        <v>1977</v>
      </c>
      <c r="C102" s="152" t="s">
        <v>1933</v>
      </c>
      <c r="D102" s="14">
        <v>1000000</v>
      </c>
      <c r="E102" s="45">
        <v>7819005</v>
      </c>
      <c r="F102" s="14">
        <v>0.17</v>
      </c>
      <c r="G102" s="14">
        <v>2.0499999999999998</v>
      </c>
      <c r="H102" s="14">
        <v>-0.72</v>
      </c>
      <c r="I102" s="14">
        <v>-0.8</v>
      </c>
      <c r="J102" s="14">
        <v>-11.85</v>
      </c>
      <c r="K102" s="14">
        <v>-2.0099999999999998</v>
      </c>
      <c r="L102" s="14">
        <v>-0.21</v>
      </c>
      <c r="M102" s="14">
        <v>2.2400000000000002</v>
      </c>
      <c r="N102" s="14">
        <v>-3.75</v>
      </c>
      <c r="O102" s="14">
        <v>-12.22</v>
      </c>
      <c r="P102" s="14">
        <v>-6.58</v>
      </c>
      <c r="Q102" s="14">
        <v>3.75</v>
      </c>
      <c r="R102" s="14">
        <v>7.8</v>
      </c>
      <c r="S102" s="14">
        <v>-9.85</v>
      </c>
      <c r="T102" s="14">
        <v>-4.6500000000000004</v>
      </c>
      <c r="U102" s="14">
        <v>-3.2</v>
      </c>
      <c r="V102" s="14">
        <v>-1.1599999999999999</v>
      </c>
      <c r="W102" s="14">
        <v>-3.66</v>
      </c>
      <c r="X102" s="14">
        <v>-5.58</v>
      </c>
      <c r="Y102" s="14">
        <v>-5.63</v>
      </c>
      <c r="Z102" s="14">
        <v>-42.64</v>
      </c>
    </row>
    <row r="103" spans="1:26">
      <c r="A103" s="268"/>
      <c r="B103" s="268" t="s">
        <v>1978</v>
      </c>
      <c r="C103" s="152" t="s">
        <v>1935</v>
      </c>
      <c r="D103" s="14">
        <v>3000000</v>
      </c>
      <c r="E103" s="45">
        <v>23135666</v>
      </c>
      <c r="F103" s="14">
        <v>0.5</v>
      </c>
      <c r="G103" s="14">
        <v>6.3</v>
      </c>
      <c r="H103" s="14">
        <v>-2.5</v>
      </c>
      <c r="I103" s="14">
        <v>-3.13</v>
      </c>
      <c r="J103" s="14">
        <v>-28.14</v>
      </c>
      <c r="K103" s="14">
        <v>-8.68</v>
      </c>
      <c r="L103" s="14">
        <v>-1.58</v>
      </c>
      <c r="M103" s="14">
        <v>2.58</v>
      </c>
      <c r="N103" s="14">
        <v>-10.06</v>
      </c>
      <c r="O103" s="14">
        <v>-23.37</v>
      </c>
      <c r="P103" s="14">
        <v>-14.96</v>
      </c>
      <c r="Q103" s="14">
        <v>10.08</v>
      </c>
      <c r="R103" s="14">
        <v>17.7</v>
      </c>
      <c r="S103" s="14">
        <v>-22.37</v>
      </c>
      <c r="T103" s="14">
        <v>-12.4</v>
      </c>
      <c r="U103" s="14">
        <v>-9.36</v>
      </c>
      <c r="V103" s="14">
        <v>-7.02</v>
      </c>
      <c r="W103" s="14">
        <v>-13.41</v>
      </c>
      <c r="X103" s="14">
        <v>-9.68</v>
      </c>
      <c r="Y103" s="14">
        <v>-15.09</v>
      </c>
      <c r="Z103" s="14">
        <v>-80.150000000000006</v>
      </c>
    </row>
    <row r="104" spans="1:26">
      <c r="A104" s="268"/>
      <c r="B104" s="268" t="s">
        <v>1215</v>
      </c>
      <c r="C104" s="152" t="s">
        <v>1216</v>
      </c>
      <c r="D104" s="14">
        <v>3000000</v>
      </c>
      <c r="E104" s="45">
        <v>23250398</v>
      </c>
      <c r="F104" s="14">
        <v>0.51</v>
      </c>
      <c r="G104" s="14">
        <v>5.81</v>
      </c>
      <c r="H104" s="14">
        <v>-1.02</v>
      </c>
      <c r="I104" s="14">
        <v>0.05</v>
      </c>
      <c r="J104" s="14">
        <v>-8.48</v>
      </c>
      <c r="K104" s="14">
        <v>-2.12</v>
      </c>
      <c r="L104" s="14">
        <v>-0.1</v>
      </c>
      <c r="M104" s="14">
        <v>-0.61</v>
      </c>
      <c r="N104" s="14">
        <v>-1.1299999999999999</v>
      </c>
      <c r="O104" s="14">
        <v>-5.2</v>
      </c>
      <c r="P104" s="14">
        <v>-2.64</v>
      </c>
      <c r="Q104" s="14">
        <v>1.1299999999999999</v>
      </c>
      <c r="R104" s="14">
        <v>1.69</v>
      </c>
      <c r="S104" s="14">
        <v>-4.63</v>
      </c>
      <c r="T104" s="14">
        <v>-1.36</v>
      </c>
      <c r="U104" s="14">
        <v>-0.92</v>
      </c>
      <c r="V104" s="14">
        <v>-2.0499999999999998</v>
      </c>
      <c r="W104" s="14">
        <v>-0.94</v>
      </c>
      <c r="X104" s="14">
        <v>-1.17</v>
      </c>
      <c r="Y104" s="14">
        <v>-1.69</v>
      </c>
      <c r="Z104" s="14">
        <v>-56.4</v>
      </c>
    </row>
    <row r="105" spans="1:26">
      <c r="A105" s="268"/>
      <c r="B105" s="268" t="s">
        <v>1382</v>
      </c>
      <c r="C105" s="152" t="s">
        <v>1316</v>
      </c>
      <c r="D105" s="14">
        <v>3300000</v>
      </c>
      <c r="E105" s="45">
        <v>25142913</v>
      </c>
      <c r="F105" s="14">
        <v>0.55000000000000004</v>
      </c>
      <c r="G105" s="14">
        <v>12.57</v>
      </c>
      <c r="H105" s="14">
        <v>-2.2999999999999998</v>
      </c>
      <c r="I105" s="14">
        <v>0.14000000000000001</v>
      </c>
      <c r="J105" s="14">
        <v>-18.71</v>
      </c>
      <c r="K105" s="14">
        <v>-4.74</v>
      </c>
      <c r="L105" s="14">
        <v>-0.21</v>
      </c>
      <c r="M105" s="14">
        <v>-1.1100000000000001</v>
      </c>
      <c r="N105" s="14">
        <v>-2.7</v>
      </c>
      <c r="O105" s="14">
        <v>-12.06</v>
      </c>
      <c r="P105" s="14">
        <v>-5.96</v>
      </c>
      <c r="Q105" s="14">
        <v>2.7</v>
      </c>
      <c r="R105" s="14">
        <v>4.63</v>
      </c>
      <c r="S105" s="14">
        <v>-10.64</v>
      </c>
      <c r="T105" s="14">
        <v>-3.22</v>
      </c>
      <c r="U105" s="14">
        <v>-2.2400000000000002</v>
      </c>
      <c r="V105" s="14">
        <v>-4.76</v>
      </c>
      <c r="W105" s="14">
        <v>-2.87</v>
      </c>
      <c r="X105" s="14">
        <v>-2.99</v>
      </c>
      <c r="Y105" s="14">
        <v>-4.04</v>
      </c>
      <c r="Z105" s="14">
        <v>-100</v>
      </c>
    </row>
    <row r="106" spans="1:26">
      <c r="A106" s="268"/>
      <c r="B106" s="268" t="s">
        <v>1217</v>
      </c>
      <c r="C106" s="152" t="s">
        <v>1218</v>
      </c>
      <c r="D106" s="14">
        <v>3500000</v>
      </c>
      <c r="E106" s="45">
        <v>26969904</v>
      </c>
      <c r="F106" s="14">
        <v>0.59</v>
      </c>
      <c r="G106" s="14">
        <v>4.71</v>
      </c>
      <c r="H106" s="14">
        <v>-0.92</v>
      </c>
      <c r="I106" s="14">
        <v>-0.06</v>
      </c>
      <c r="J106" s="14">
        <v>-7.96</v>
      </c>
      <c r="K106" s="14">
        <v>-1.75</v>
      </c>
      <c r="L106" s="14">
        <v>-0.13</v>
      </c>
      <c r="M106" s="14">
        <v>-0.56000000000000005</v>
      </c>
      <c r="N106" s="14">
        <v>-0.98</v>
      </c>
      <c r="O106" s="14">
        <v>-4.59</v>
      </c>
      <c r="P106" s="14">
        <v>-2.04</v>
      </c>
      <c r="Q106" s="14">
        <v>0.98</v>
      </c>
      <c r="R106" s="14">
        <v>0.95</v>
      </c>
      <c r="S106" s="14">
        <v>-3.52</v>
      </c>
      <c r="T106" s="14">
        <v>-1.2</v>
      </c>
      <c r="U106" s="14">
        <v>-0.93</v>
      </c>
      <c r="V106" s="14">
        <v>-1.76</v>
      </c>
      <c r="W106" s="14">
        <v>-0.9</v>
      </c>
      <c r="X106" s="14">
        <v>-0.6</v>
      </c>
      <c r="Y106" s="14">
        <v>-1.48</v>
      </c>
      <c r="Z106" s="14">
        <v>-49.08</v>
      </c>
    </row>
    <row r="107" spans="1:26">
      <c r="A107" s="268"/>
      <c r="B107" s="268" t="s">
        <v>38</v>
      </c>
      <c r="C107" s="152" t="s">
        <v>884</v>
      </c>
      <c r="D107" s="14">
        <v>92000</v>
      </c>
      <c r="E107" s="45">
        <v>6403200</v>
      </c>
      <c r="F107" s="14">
        <v>0.14000000000000001</v>
      </c>
      <c r="G107" s="14">
        <v>69.09</v>
      </c>
      <c r="H107" s="14">
        <v>-18.63</v>
      </c>
      <c r="I107" s="14">
        <v>-1.98</v>
      </c>
      <c r="J107" s="14">
        <v>-51.34</v>
      </c>
      <c r="K107" s="14">
        <v>-8.7799999999999994</v>
      </c>
      <c r="L107" s="14">
        <v>-4.2</v>
      </c>
      <c r="M107" s="14">
        <v>-8.4</v>
      </c>
      <c r="N107" s="14">
        <v>-8.01</v>
      </c>
      <c r="O107" s="14">
        <v>-17.03</v>
      </c>
      <c r="P107" s="14">
        <v>-11.45</v>
      </c>
      <c r="Q107" s="14">
        <v>8.01</v>
      </c>
      <c r="R107" s="14">
        <v>-2.66</v>
      </c>
      <c r="S107" s="14">
        <v>-11.68</v>
      </c>
      <c r="T107" s="14">
        <v>-9.4600000000000009</v>
      </c>
      <c r="U107" s="14">
        <v>-10.25</v>
      </c>
      <c r="V107" s="14">
        <v>-9.07</v>
      </c>
      <c r="W107" s="14">
        <v>-3.13</v>
      </c>
      <c r="X107" s="14">
        <v>-0.5</v>
      </c>
      <c r="Y107" s="14">
        <v>-12.01</v>
      </c>
      <c r="Z107" s="14">
        <v>55.53</v>
      </c>
    </row>
    <row r="108" spans="1:26">
      <c r="A108" s="268"/>
      <c r="B108" s="268" t="s">
        <v>1383</v>
      </c>
      <c r="C108" s="152" t="s">
        <v>1318</v>
      </c>
      <c r="D108" s="14">
        <v>2000000</v>
      </c>
      <c r="E108" s="45">
        <v>15405430</v>
      </c>
      <c r="F108" s="14">
        <v>0.34</v>
      </c>
      <c r="G108" s="14">
        <v>7.71</v>
      </c>
      <c r="H108" s="14">
        <v>-1.33</v>
      </c>
      <c r="I108" s="14">
        <v>0.15</v>
      </c>
      <c r="J108" s="14">
        <v>-10.88</v>
      </c>
      <c r="K108" s="14">
        <v>-2.73</v>
      </c>
      <c r="L108" s="14">
        <v>-0.04</v>
      </c>
      <c r="M108" s="14">
        <v>-0.63</v>
      </c>
      <c r="N108" s="14">
        <v>-1.54</v>
      </c>
      <c r="O108" s="14">
        <v>-7.27</v>
      </c>
      <c r="P108" s="14">
        <v>-3.71</v>
      </c>
      <c r="Q108" s="14">
        <v>1.54</v>
      </c>
      <c r="R108" s="14">
        <v>2.92</v>
      </c>
      <c r="S108" s="14">
        <v>-6.61</v>
      </c>
      <c r="T108" s="14">
        <v>-1.84</v>
      </c>
      <c r="U108" s="14">
        <v>-1.17</v>
      </c>
      <c r="V108" s="14">
        <v>-2.63</v>
      </c>
      <c r="W108" s="14">
        <v>-1.37</v>
      </c>
      <c r="X108" s="14">
        <v>-2.02</v>
      </c>
      <c r="Y108" s="14">
        <v>-2.31</v>
      </c>
      <c r="Z108" s="14">
        <v>-77.09</v>
      </c>
    </row>
    <row r="109" spans="1:26">
      <c r="A109" s="268"/>
      <c r="B109" s="268" t="s">
        <v>1384</v>
      </c>
      <c r="C109" s="152" t="s">
        <v>1320</v>
      </c>
      <c r="D109" s="14">
        <v>800000</v>
      </c>
      <c r="E109" s="45">
        <v>6080083</v>
      </c>
      <c r="F109" s="14">
        <v>0.13</v>
      </c>
      <c r="G109" s="14">
        <v>11.09</v>
      </c>
      <c r="H109" s="14">
        <v>-2</v>
      </c>
      <c r="I109" s="14">
        <v>0.22</v>
      </c>
      <c r="J109" s="14">
        <v>-16.68</v>
      </c>
      <c r="K109" s="14">
        <v>-3.99</v>
      </c>
      <c r="L109" s="14">
        <v>-0.04</v>
      </c>
      <c r="M109" s="14">
        <v>-0.66</v>
      </c>
      <c r="N109" s="14">
        <v>-2.4700000000000002</v>
      </c>
      <c r="O109" s="14">
        <v>-11.71</v>
      </c>
      <c r="P109" s="14">
        <v>-5.72</v>
      </c>
      <c r="Q109" s="14">
        <v>2.4700000000000002</v>
      </c>
      <c r="R109" s="14">
        <v>5</v>
      </c>
      <c r="S109" s="14">
        <v>-10.31</v>
      </c>
      <c r="T109" s="14">
        <v>-2.93</v>
      </c>
      <c r="U109" s="14">
        <v>-1.88</v>
      </c>
      <c r="V109" s="14">
        <v>-3.98</v>
      </c>
      <c r="W109" s="14">
        <v>-2.66</v>
      </c>
      <c r="X109" s="14">
        <v>-3.51</v>
      </c>
      <c r="Y109" s="14">
        <v>-3.7</v>
      </c>
      <c r="Z109" s="14">
        <v>-100</v>
      </c>
    </row>
    <row r="110" spans="1:26">
      <c r="A110" s="268"/>
      <c r="B110" s="268" t="s">
        <v>974</v>
      </c>
      <c r="C110" s="152" t="s">
        <v>968</v>
      </c>
      <c r="D110" s="14">
        <v>2000000</v>
      </c>
      <c r="E110" s="45">
        <v>15712508</v>
      </c>
      <c r="F110" s="14">
        <v>0.34</v>
      </c>
      <c r="G110" s="14">
        <v>2.5299999999999998</v>
      </c>
      <c r="H110" s="14">
        <v>-0.46</v>
      </c>
      <c r="I110" s="14">
        <v>-0.02</v>
      </c>
      <c r="J110" s="14">
        <v>-4.28</v>
      </c>
      <c r="K110" s="14">
        <v>-0.79</v>
      </c>
      <c r="L110" s="14">
        <v>-0.01</v>
      </c>
      <c r="M110" s="14">
        <v>-0.23</v>
      </c>
      <c r="N110" s="14">
        <v>-0.49</v>
      </c>
      <c r="O110" s="14">
        <v>-2.79</v>
      </c>
      <c r="P110" s="14">
        <v>-1.19</v>
      </c>
      <c r="Q110" s="14">
        <v>0.49</v>
      </c>
      <c r="R110" s="14">
        <v>0.53</v>
      </c>
      <c r="S110" s="14">
        <v>-2.0299999999999998</v>
      </c>
      <c r="T110" s="14">
        <v>-0.59</v>
      </c>
      <c r="U110" s="14">
        <v>-0.4</v>
      </c>
      <c r="V110" s="14">
        <v>-0.73</v>
      </c>
      <c r="W110" s="14">
        <v>-0.25</v>
      </c>
      <c r="X110" s="14">
        <v>-0.46</v>
      </c>
      <c r="Y110" s="14">
        <v>-0.74</v>
      </c>
      <c r="Z110" s="14">
        <v>-23.9</v>
      </c>
    </row>
    <row r="111" spans="1:26">
      <c r="A111" s="268"/>
      <c r="B111" s="268" t="s">
        <v>1385</v>
      </c>
      <c r="C111" s="152" t="s">
        <v>1322</v>
      </c>
      <c r="D111" s="14">
        <v>1000000</v>
      </c>
      <c r="E111" s="45">
        <v>7833418</v>
      </c>
      <c r="F111" s="14">
        <v>0.17</v>
      </c>
      <c r="G111" s="14">
        <v>2.92</v>
      </c>
      <c r="H111" s="14">
        <v>-0.52</v>
      </c>
      <c r="I111" s="14">
        <v>-0.01</v>
      </c>
      <c r="J111" s="14">
        <v>-4.7300000000000004</v>
      </c>
      <c r="K111" s="14">
        <v>-0.97</v>
      </c>
      <c r="L111" s="14">
        <v>-0.02</v>
      </c>
      <c r="M111" s="14">
        <v>-0.28000000000000003</v>
      </c>
      <c r="N111" s="14">
        <v>-0.56000000000000005</v>
      </c>
      <c r="O111" s="14">
        <v>-2.98</v>
      </c>
      <c r="P111" s="14">
        <v>-1.36</v>
      </c>
      <c r="Q111" s="14">
        <v>0.56000000000000005</v>
      </c>
      <c r="R111" s="14">
        <v>0.64</v>
      </c>
      <c r="S111" s="14">
        <v>-2.34</v>
      </c>
      <c r="T111" s="14">
        <v>-0.67</v>
      </c>
      <c r="U111" s="14">
        <v>-0.45</v>
      </c>
      <c r="V111" s="14">
        <v>-0.91</v>
      </c>
      <c r="W111" s="14">
        <v>-0.28999999999999998</v>
      </c>
      <c r="X111" s="14">
        <v>-0.55000000000000004</v>
      </c>
      <c r="Y111" s="14">
        <v>-0.84</v>
      </c>
      <c r="Z111" s="14">
        <v>-27.5</v>
      </c>
    </row>
    <row r="112" spans="1:26">
      <c r="A112" s="268"/>
      <c r="B112" s="268" t="s">
        <v>846</v>
      </c>
      <c r="C112" s="152" t="s">
        <v>81</v>
      </c>
      <c r="D112" s="14">
        <v>5000000</v>
      </c>
      <c r="E112" s="45">
        <v>40152714</v>
      </c>
      <c r="F112" s="14">
        <v>0.87</v>
      </c>
      <c r="G112" s="14">
        <v>4.4800000000000004</v>
      </c>
      <c r="H112" s="14">
        <v>-0.79</v>
      </c>
      <c r="I112" s="14">
        <v>0.04</v>
      </c>
      <c r="J112" s="14">
        <v>-7.17</v>
      </c>
      <c r="K112" s="14">
        <v>-1.55</v>
      </c>
      <c r="L112" s="14">
        <v>-0.03</v>
      </c>
      <c r="M112" s="14">
        <v>-0.44</v>
      </c>
      <c r="N112" s="14">
        <v>-0.89</v>
      </c>
      <c r="O112" s="14">
        <v>-4.3600000000000003</v>
      </c>
      <c r="P112" s="14">
        <v>-2.13</v>
      </c>
      <c r="Q112" s="14">
        <v>0.89</v>
      </c>
      <c r="R112" s="14">
        <v>1.32</v>
      </c>
      <c r="S112" s="14">
        <v>-3.72</v>
      </c>
      <c r="T112" s="14">
        <v>-1.07</v>
      </c>
      <c r="U112" s="14">
        <v>-0.72</v>
      </c>
      <c r="V112" s="14">
        <v>-1.48</v>
      </c>
      <c r="W112" s="14">
        <v>-0.66</v>
      </c>
      <c r="X112" s="14">
        <v>-1.1000000000000001</v>
      </c>
      <c r="Y112" s="14">
        <v>-1.34</v>
      </c>
      <c r="Z112" s="14">
        <v>-48.28</v>
      </c>
    </row>
    <row r="113" spans="1:26">
      <c r="A113" s="268"/>
      <c r="B113" s="268" t="s">
        <v>847</v>
      </c>
      <c r="C113" s="152" t="s">
        <v>83</v>
      </c>
      <c r="D113" s="14">
        <v>5000000</v>
      </c>
      <c r="E113" s="45">
        <v>39936557</v>
      </c>
      <c r="F113" s="14">
        <v>0.87</v>
      </c>
      <c r="G113" s="14">
        <v>2.88</v>
      </c>
      <c r="H113" s="14">
        <v>-0.52</v>
      </c>
      <c r="I113" s="14">
        <v>0.01</v>
      </c>
      <c r="J113" s="14">
        <v>-5</v>
      </c>
      <c r="K113" s="14">
        <v>-0.91</v>
      </c>
      <c r="L113" s="14">
        <v>0</v>
      </c>
      <c r="M113" s="14">
        <v>-0.27</v>
      </c>
      <c r="N113" s="14">
        <v>-0.56999999999999995</v>
      </c>
      <c r="O113" s="14">
        <v>-3.02</v>
      </c>
      <c r="P113" s="14">
        <v>-1.38</v>
      </c>
      <c r="Q113" s="14">
        <v>0.56000000000000005</v>
      </c>
      <c r="R113" s="14">
        <v>0.72</v>
      </c>
      <c r="S113" s="14">
        <v>-2.38</v>
      </c>
      <c r="T113" s="14">
        <v>-0.68</v>
      </c>
      <c r="U113" s="14">
        <v>-0.46</v>
      </c>
      <c r="V113" s="14">
        <v>-0.85</v>
      </c>
      <c r="W113" s="14">
        <v>-0.36</v>
      </c>
      <c r="X113" s="14">
        <v>-0.65</v>
      </c>
      <c r="Y113" s="14">
        <v>-0.85</v>
      </c>
      <c r="Z113" s="14">
        <v>-30.63</v>
      </c>
    </row>
    <row r="114" spans="1:26">
      <c r="A114" s="268"/>
      <c r="B114" s="268" t="s">
        <v>1386</v>
      </c>
      <c r="C114" s="152" t="s">
        <v>1324</v>
      </c>
      <c r="D114" s="14">
        <v>1800000</v>
      </c>
      <c r="E114" s="45">
        <v>9683804</v>
      </c>
      <c r="F114" s="14">
        <v>0.21</v>
      </c>
      <c r="G114" s="14">
        <v>31.14</v>
      </c>
      <c r="H114" s="14">
        <v>-3.98</v>
      </c>
      <c r="I114" s="14">
        <v>-0.36</v>
      </c>
      <c r="J114" s="14">
        <v>-65.680000000000007</v>
      </c>
      <c r="K114" s="14">
        <v>-9.57</v>
      </c>
      <c r="L114" s="14">
        <v>-2.69</v>
      </c>
      <c r="M114" s="14">
        <v>-2.93</v>
      </c>
      <c r="N114" s="14">
        <v>-7.37</v>
      </c>
      <c r="O114" s="14">
        <v>-33.78</v>
      </c>
      <c r="P114" s="14">
        <v>-13.27</v>
      </c>
      <c r="Q114" s="14">
        <v>7.37</v>
      </c>
      <c r="R114" s="14">
        <v>9.2899999999999991</v>
      </c>
      <c r="S114" s="14">
        <v>-29.93</v>
      </c>
      <c r="T114" s="14">
        <v>-9.17</v>
      </c>
      <c r="U114" s="14">
        <v>-9.06</v>
      </c>
      <c r="V114" s="14">
        <v>-9.83</v>
      </c>
      <c r="W114" s="14">
        <v>-6.27</v>
      </c>
      <c r="X114" s="14">
        <v>-1.25</v>
      </c>
      <c r="Y114" s="14">
        <v>-11.05</v>
      </c>
      <c r="Z114" s="14">
        <v>-100</v>
      </c>
    </row>
    <row r="115" spans="1:26">
      <c r="A115" s="268"/>
      <c r="B115" s="268" t="s">
        <v>1169</v>
      </c>
      <c r="C115" s="152" t="s">
        <v>1157</v>
      </c>
      <c r="D115" s="14">
        <v>1500000</v>
      </c>
      <c r="E115" s="45">
        <v>9337220</v>
      </c>
      <c r="F115" s="14">
        <v>0.2</v>
      </c>
      <c r="G115" s="14">
        <v>25.04</v>
      </c>
      <c r="H115" s="14">
        <v>-3.17</v>
      </c>
      <c r="I115" s="14">
        <v>-0.28999999999999998</v>
      </c>
      <c r="J115" s="14">
        <v>-52.13</v>
      </c>
      <c r="K115" s="14">
        <v>-7.71</v>
      </c>
      <c r="L115" s="14">
        <v>-2.13</v>
      </c>
      <c r="M115" s="14">
        <v>-2.62</v>
      </c>
      <c r="N115" s="14">
        <v>-5.75</v>
      </c>
      <c r="O115" s="14">
        <v>-26.35</v>
      </c>
      <c r="P115" s="14">
        <v>-10.34</v>
      </c>
      <c r="Q115" s="14">
        <v>5.75</v>
      </c>
      <c r="R115" s="14">
        <v>7.09</v>
      </c>
      <c r="S115" s="14">
        <v>-23.38</v>
      </c>
      <c r="T115" s="14">
        <v>-7.18</v>
      </c>
      <c r="U115" s="14">
        <v>-7.14</v>
      </c>
      <c r="V115" s="14">
        <v>-7.91</v>
      </c>
      <c r="W115" s="14">
        <v>-4.75</v>
      </c>
      <c r="X115" s="14">
        <v>-0.6</v>
      </c>
      <c r="Y115" s="14">
        <v>-8.6300000000000008</v>
      </c>
      <c r="Z115" s="14">
        <v>-100</v>
      </c>
    </row>
    <row r="116" spans="1:26">
      <c r="A116" s="268"/>
      <c r="B116" s="268" t="s">
        <v>1968</v>
      </c>
      <c r="C116" s="152" t="s">
        <v>1937</v>
      </c>
      <c r="D116" s="14">
        <v>1300000</v>
      </c>
      <c r="E116" s="45">
        <v>10106652</v>
      </c>
      <c r="F116" s="14">
        <v>0.22</v>
      </c>
      <c r="G116" s="14">
        <v>8.11</v>
      </c>
      <c r="H116" s="14">
        <v>-0.99</v>
      </c>
      <c r="I116" s="14">
        <v>-0.09</v>
      </c>
      <c r="J116" s="14">
        <v>-15.98</v>
      </c>
      <c r="K116" s="14">
        <v>-2.4300000000000002</v>
      </c>
      <c r="L116" s="14">
        <v>-0.62</v>
      </c>
      <c r="M116" s="14">
        <v>-0.95</v>
      </c>
      <c r="N116" s="14">
        <v>-1.68</v>
      </c>
      <c r="O116" s="14">
        <v>-7.96</v>
      </c>
      <c r="P116" s="14">
        <v>-3.25</v>
      </c>
      <c r="Q116" s="14">
        <v>1.68</v>
      </c>
      <c r="R116" s="14">
        <v>1.86</v>
      </c>
      <c r="S116" s="14">
        <v>-7.14</v>
      </c>
      <c r="T116" s="14">
        <v>-2.11</v>
      </c>
      <c r="U116" s="14">
        <v>-2.06</v>
      </c>
      <c r="V116" s="14">
        <v>-2.37</v>
      </c>
      <c r="W116" s="14">
        <v>-0.99</v>
      </c>
      <c r="X116" s="14">
        <v>-0.08</v>
      </c>
      <c r="Y116" s="14">
        <v>-2.5299999999999998</v>
      </c>
      <c r="Z116" s="14">
        <v>-100</v>
      </c>
    </row>
    <row r="117" spans="1:26">
      <c r="A117" s="268"/>
      <c r="B117" s="268" t="s">
        <v>1387</v>
      </c>
      <c r="C117" s="152" t="s">
        <v>1326</v>
      </c>
      <c r="D117" s="14">
        <v>3200000</v>
      </c>
      <c r="E117" s="45">
        <v>20470707</v>
      </c>
      <c r="F117" s="14">
        <v>0.45</v>
      </c>
      <c r="G117" s="14">
        <v>12.42</v>
      </c>
      <c r="H117" s="14">
        <v>-1.65</v>
      </c>
      <c r="I117" s="14">
        <v>-0.25</v>
      </c>
      <c r="J117" s="14">
        <v>-25.81</v>
      </c>
      <c r="K117" s="14">
        <v>-3.96</v>
      </c>
      <c r="L117" s="14">
        <v>-1.1200000000000001</v>
      </c>
      <c r="M117" s="14">
        <v>-1.6</v>
      </c>
      <c r="N117" s="14">
        <v>-2.74</v>
      </c>
      <c r="O117" s="14">
        <v>-12.24</v>
      </c>
      <c r="P117" s="14">
        <v>-4.76</v>
      </c>
      <c r="Q117" s="14">
        <v>2.74</v>
      </c>
      <c r="R117" s="14">
        <v>2.46</v>
      </c>
      <c r="S117" s="14">
        <v>-10.61</v>
      </c>
      <c r="T117" s="14">
        <v>-3.45</v>
      </c>
      <c r="U117" s="14">
        <v>-3.54</v>
      </c>
      <c r="V117" s="14">
        <v>-4.04</v>
      </c>
      <c r="W117" s="14">
        <v>-2.0699999999999998</v>
      </c>
      <c r="X117" s="14">
        <v>0.41</v>
      </c>
      <c r="Y117" s="14">
        <v>-4.12</v>
      </c>
      <c r="Z117" s="14">
        <v>-100</v>
      </c>
    </row>
    <row r="118" spans="1:26">
      <c r="A118" s="268"/>
      <c r="B118" s="268" t="s">
        <v>1114</v>
      </c>
      <c r="C118" s="152" t="s">
        <v>1115</v>
      </c>
      <c r="D118" s="14">
        <v>4653000</v>
      </c>
      <c r="E118" s="45">
        <v>23490869</v>
      </c>
      <c r="F118" s="14">
        <v>0.51</v>
      </c>
      <c r="G118" s="14">
        <v>31.06</v>
      </c>
      <c r="H118" s="14">
        <v>-4.04</v>
      </c>
      <c r="I118" s="14">
        <v>-0.5</v>
      </c>
      <c r="J118" s="14">
        <v>-64.23</v>
      </c>
      <c r="K118" s="14">
        <v>-9.93</v>
      </c>
      <c r="L118" s="14">
        <v>-2.8</v>
      </c>
      <c r="M118" s="14">
        <v>-3.72</v>
      </c>
      <c r="N118" s="14">
        <v>-7.04</v>
      </c>
      <c r="O118" s="14">
        <v>-31.15</v>
      </c>
      <c r="P118" s="14">
        <v>-12.24</v>
      </c>
      <c r="Q118" s="14">
        <v>7.04</v>
      </c>
      <c r="R118" s="14">
        <v>7.59</v>
      </c>
      <c r="S118" s="14">
        <v>-27.63</v>
      </c>
      <c r="T118" s="14">
        <v>-8.82</v>
      </c>
      <c r="U118" s="14">
        <v>-8.98</v>
      </c>
      <c r="V118" s="14">
        <v>-10.24</v>
      </c>
      <c r="W118" s="14">
        <v>-5.83</v>
      </c>
      <c r="X118" s="14">
        <v>0.28000000000000003</v>
      </c>
      <c r="Y118" s="14">
        <v>-10.56</v>
      </c>
      <c r="Z118" s="14">
        <v>-100</v>
      </c>
    </row>
    <row r="119" spans="1:26">
      <c r="A119" s="268"/>
      <c r="B119" s="268" t="s">
        <v>1388</v>
      </c>
      <c r="C119" s="152" t="s">
        <v>1328</v>
      </c>
      <c r="D119" s="14">
        <v>3200000</v>
      </c>
      <c r="E119" s="45">
        <v>16028015</v>
      </c>
      <c r="F119" s="14">
        <v>0.35</v>
      </c>
      <c r="G119" s="14">
        <v>32.909999999999997</v>
      </c>
      <c r="H119" s="14">
        <v>-3.68</v>
      </c>
      <c r="I119" s="14">
        <v>0.06</v>
      </c>
      <c r="J119" s="14">
        <v>-85.86</v>
      </c>
      <c r="K119" s="14">
        <v>-14.48</v>
      </c>
      <c r="L119" s="14">
        <v>-1.72</v>
      </c>
      <c r="M119" s="14">
        <v>-3.24</v>
      </c>
      <c r="N119" s="14">
        <v>-6.71</v>
      </c>
      <c r="O119" s="14">
        <v>-45.74</v>
      </c>
      <c r="P119" s="14">
        <v>-8.18</v>
      </c>
      <c r="Q119" s="14">
        <v>6.72</v>
      </c>
      <c r="R119" s="14">
        <v>5.6</v>
      </c>
      <c r="S119" s="14">
        <v>-20.92</v>
      </c>
      <c r="T119" s="14">
        <v>-8.6</v>
      </c>
      <c r="U119" s="14">
        <v>-8.77</v>
      </c>
      <c r="V119" s="14">
        <v>-16.32</v>
      </c>
      <c r="W119" s="14">
        <v>-2.2599999999999998</v>
      </c>
      <c r="X119" s="14">
        <v>2.2799999999999998</v>
      </c>
      <c r="Y119" s="14">
        <v>-10.07</v>
      </c>
      <c r="Z119" s="14">
        <v>-100</v>
      </c>
    </row>
    <row r="120" spans="1:26">
      <c r="A120" s="268"/>
      <c r="B120" s="268" t="s">
        <v>1389</v>
      </c>
      <c r="C120" s="152" t="s">
        <v>1330</v>
      </c>
      <c r="D120" s="14">
        <v>1000000</v>
      </c>
      <c r="E120" s="45">
        <v>7669230</v>
      </c>
      <c r="F120" s="14">
        <v>0.17</v>
      </c>
      <c r="G120" s="14">
        <v>10.11</v>
      </c>
      <c r="H120" s="14">
        <v>-1.02</v>
      </c>
      <c r="I120" s="14">
        <v>0.12</v>
      </c>
      <c r="J120" s="14">
        <v>-24.59</v>
      </c>
      <c r="K120" s="14">
        <v>-4.1500000000000004</v>
      </c>
      <c r="L120" s="14">
        <v>-0.39</v>
      </c>
      <c r="M120" s="14">
        <v>-0.91</v>
      </c>
      <c r="N120" s="14">
        <v>-1.88</v>
      </c>
      <c r="O120" s="14">
        <v>-13.61</v>
      </c>
      <c r="P120" s="14">
        <v>-2.7</v>
      </c>
      <c r="Q120" s="14">
        <v>1.88</v>
      </c>
      <c r="R120" s="14">
        <v>1.93</v>
      </c>
      <c r="S120" s="14">
        <v>-6.61</v>
      </c>
      <c r="T120" s="14">
        <v>-2.41</v>
      </c>
      <c r="U120" s="14">
        <v>-2.2999999999999998</v>
      </c>
      <c r="V120" s="14">
        <v>-4.49</v>
      </c>
      <c r="W120" s="14">
        <v>-0.11</v>
      </c>
      <c r="X120" s="14">
        <v>0.33</v>
      </c>
      <c r="Y120" s="14">
        <v>-2.82</v>
      </c>
      <c r="Z120" s="14">
        <v>-100</v>
      </c>
    </row>
    <row r="121" spans="1:26">
      <c r="A121" s="268"/>
      <c r="B121" s="268" t="s">
        <v>1142</v>
      </c>
      <c r="C121" s="152" t="s">
        <v>1170</v>
      </c>
      <c r="D121" s="14">
        <v>70000</v>
      </c>
      <c r="E121" s="45">
        <v>7266000</v>
      </c>
      <c r="F121" s="14">
        <v>0.16</v>
      </c>
      <c r="G121" s="14">
        <v>44.03</v>
      </c>
      <c r="H121" s="14">
        <v>-34.53</v>
      </c>
      <c r="I121" s="14">
        <v>-3.87</v>
      </c>
      <c r="J121" s="14">
        <v>-58.16</v>
      </c>
      <c r="K121" s="14">
        <v>-16.98</v>
      </c>
      <c r="L121" s="14">
        <v>-5.29</v>
      </c>
      <c r="M121" s="14">
        <v>-9.08</v>
      </c>
      <c r="N121" s="14">
        <v>-9.31</v>
      </c>
      <c r="O121" s="14">
        <v>-19.899999999999999</v>
      </c>
      <c r="P121" s="14">
        <v>-9.49</v>
      </c>
      <c r="Q121" s="14">
        <v>9.31</v>
      </c>
      <c r="R121" s="14">
        <v>1.1299999999999999</v>
      </c>
      <c r="S121" s="14">
        <v>-8.8800000000000008</v>
      </c>
      <c r="T121" s="14">
        <v>-11.29</v>
      </c>
      <c r="U121" s="14">
        <v>-12.5</v>
      </c>
      <c r="V121" s="14">
        <v>-11.28</v>
      </c>
      <c r="W121" s="14">
        <v>0.04</v>
      </c>
      <c r="X121" s="14">
        <v>-1.06</v>
      </c>
      <c r="Y121" s="14">
        <v>-13.97</v>
      </c>
      <c r="Z121" s="14">
        <v>98.77</v>
      </c>
    </row>
    <row r="122" spans="1:26">
      <c r="A122" s="268"/>
      <c r="B122" s="268" t="s">
        <v>1390</v>
      </c>
      <c r="C122" s="152" t="s">
        <v>1332</v>
      </c>
      <c r="D122" s="14">
        <v>5000000</v>
      </c>
      <c r="E122" s="45">
        <v>38953847</v>
      </c>
      <c r="F122" s="14">
        <v>0.85</v>
      </c>
      <c r="G122" s="14">
        <v>-1.57</v>
      </c>
      <c r="H122" s="14">
        <v>0.56999999999999995</v>
      </c>
      <c r="I122" s="14">
        <v>0.46</v>
      </c>
      <c r="J122" s="14">
        <v>3.42</v>
      </c>
      <c r="K122" s="14">
        <v>1.59</v>
      </c>
      <c r="L122" s="14">
        <v>0.68</v>
      </c>
      <c r="M122" s="14">
        <v>1.36</v>
      </c>
      <c r="N122" s="14">
        <v>0.23</v>
      </c>
      <c r="O122" s="14">
        <v>-1.83</v>
      </c>
      <c r="P122" s="14">
        <v>-0.97</v>
      </c>
      <c r="Q122" s="14">
        <v>-0.24</v>
      </c>
      <c r="R122" s="14">
        <v>2.73</v>
      </c>
      <c r="S122" s="14">
        <v>-1.94</v>
      </c>
      <c r="T122" s="14">
        <v>0.37</v>
      </c>
      <c r="U122" s="14">
        <v>1.02</v>
      </c>
      <c r="V122" s="14">
        <v>1.96</v>
      </c>
      <c r="W122" s="14">
        <v>0.8</v>
      </c>
      <c r="X122" s="14">
        <v>-3</v>
      </c>
      <c r="Y122" s="14">
        <v>0.35</v>
      </c>
      <c r="Z122" s="14">
        <v>19.68</v>
      </c>
    </row>
    <row r="123" spans="1:26">
      <c r="A123" s="268"/>
      <c r="B123" s="268" t="s">
        <v>1277</v>
      </c>
      <c r="C123" s="152" t="s">
        <v>1220</v>
      </c>
      <c r="D123" s="14">
        <v>1000000</v>
      </c>
      <c r="E123" s="45">
        <v>7553841</v>
      </c>
      <c r="F123" s="14">
        <v>0.16</v>
      </c>
      <c r="G123" s="14">
        <v>6.73</v>
      </c>
      <c r="H123" s="14">
        <v>-0.92</v>
      </c>
      <c r="I123" s="14">
        <v>0.47</v>
      </c>
      <c r="J123" s="14">
        <v>-12.84</v>
      </c>
      <c r="K123" s="14">
        <v>-2.94</v>
      </c>
      <c r="L123" s="14">
        <v>0.52</v>
      </c>
      <c r="M123" s="14">
        <v>0.22</v>
      </c>
      <c r="N123" s="14">
        <v>-1.25</v>
      </c>
      <c r="O123" s="14">
        <v>-10.92</v>
      </c>
      <c r="P123" s="14">
        <v>-2.9</v>
      </c>
      <c r="Q123" s="14">
        <v>1.26</v>
      </c>
      <c r="R123" s="14">
        <v>3.68</v>
      </c>
      <c r="S123" s="14">
        <v>-5.42</v>
      </c>
      <c r="T123" s="14">
        <v>-1.48</v>
      </c>
      <c r="U123" s="14">
        <v>-0.54</v>
      </c>
      <c r="V123" s="14">
        <v>-3.11</v>
      </c>
      <c r="W123" s="14">
        <v>-0.39</v>
      </c>
      <c r="X123" s="14">
        <v>-2.76</v>
      </c>
      <c r="Y123" s="14">
        <v>-1.88</v>
      </c>
      <c r="Z123" s="14">
        <v>-40.47</v>
      </c>
    </row>
    <row r="124" spans="1:26">
      <c r="A124" s="268"/>
      <c r="B124" s="268" t="s">
        <v>848</v>
      </c>
      <c r="C124" s="152" t="s">
        <v>85</v>
      </c>
      <c r="D124" s="14">
        <v>7500000</v>
      </c>
      <c r="E124" s="45">
        <v>65614282</v>
      </c>
      <c r="F124" s="14">
        <v>1.43</v>
      </c>
      <c r="G124" s="14">
        <v>-2.46</v>
      </c>
      <c r="H124" s="14">
        <v>-0.13</v>
      </c>
      <c r="I124" s="14">
        <v>1.1499999999999999</v>
      </c>
      <c r="J124" s="14">
        <v>-18.95</v>
      </c>
      <c r="K124" s="14">
        <v>-2.0099999999999998</v>
      </c>
      <c r="L124" s="14">
        <v>0.56000000000000005</v>
      </c>
      <c r="M124" s="14">
        <v>3.34</v>
      </c>
      <c r="N124" s="14">
        <v>-3.12</v>
      </c>
      <c r="O124" s="14">
        <v>-16.38</v>
      </c>
      <c r="P124" s="14">
        <v>-6.24</v>
      </c>
      <c r="Q124" s="14">
        <v>3.12</v>
      </c>
      <c r="R124" s="14">
        <v>10.7</v>
      </c>
      <c r="S124" s="14">
        <v>-14.21</v>
      </c>
      <c r="T124" s="14">
        <v>-4.01</v>
      </c>
      <c r="U124" s="14">
        <v>-1.81</v>
      </c>
      <c r="V124" s="14">
        <v>-2.19</v>
      </c>
      <c r="W124" s="14">
        <v>-3.63</v>
      </c>
      <c r="X124" s="14">
        <v>-3.77</v>
      </c>
      <c r="Y124" s="14">
        <v>-4.68</v>
      </c>
      <c r="Z124" s="14">
        <v>-100</v>
      </c>
    </row>
    <row r="125" spans="1:26">
      <c r="A125" s="268"/>
      <c r="B125" s="268" t="s">
        <v>40</v>
      </c>
      <c r="C125" s="152" t="s">
        <v>885</v>
      </c>
      <c r="D125" s="14">
        <v>331500</v>
      </c>
      <c r="E125" s="45">
        <v>14271075</v>
      </c>
      <c r="F125" s="14">
        <v>0.31</v>
      </c>
      <c r="G125" s="14">
        <v>55.89</v>
      </c>
      <c r="H125" s="14">
        <v>-20</v>
      </c>
      <c r="I125" s="14">
        <v>-3.03</v>
      </c>
      <c r="J125" s="14">
        <v>-35.97</v>
      </c>
      <c r="K125" s="14">
        <v>-14.41</v>
      </c>
      <c r="L125" s="14">
        <v>-5.59</v>
      </c>
      <c r="M125" s="14">
        <v>-7.88</v>
      </c>
      <c r="N125" s="14">
        <v>-8.09</v>
      </c>
      <c r="O125" s="14">
        <v>-14.22</v>
      </c>
      <c r="P125" s="14">
        <v>-8.56</v>
      </c>
      <c r="Q125" s="14">
        <v>8.09</v>
      </c>
      <c r="R125" s="14">
        <v>-3.07</v>
      </c>
      <c r="S125" s="14">
        <v>-8.58</v>
      </c>
      <c r="T125" s="14">
        <v>-9.26</v>
      </c>
      <c r="U125" s="14">
        <v>-10.26</v>
      </c>
      <c r="V125" s="14">
        <v>-15.03</v>
      </c>
      <c r="W125" s="14">
        <v>-3.68</v>
      </c>
      <c r="X125" s="14">
        <v>2.0099999999999998</v>
      </c>
      <c r="Y125" s="14">
        <v>-12.14</v>
      </c>
      <c r="Z125" s="14">
        <v>69.790000000000006</v>
      </c>
    </row>
    <row r="126" spans="1:26">
      <c r="A126" s="268"/>
      <c r="B126" s="268" t="s">
        <v>849</v>
      </c>
      <c r="C126" s="152" t="s">
        <v>87</v>
      </c>
      <c r="D126" s="14">
        <v>1500000</v>
      </c>
      <c r="E126" s="45">
        <v>12829839</v>
      </c>
      <c r="F126" s="14">
        <v>0.28000000000000003</v>
      </c>
      <c r="G126" s="14">
        <v>0.91</v>
      </c>
      <c r="H126" s="14">
        <v>0.02</v>
      </c>
      <c r="I126" s="14">
        <v>0.82</v>
      </c>
      <c r="J126" s="14">
        <v>-15.96</v>
      </c>
      <c r="K126" s="14">
        <v>-1.67</v>
      </c>
      <c r="L126" s="14">
        <v>0.55000000000000004</v>
      </c>
      <c r="M126" s="14">
        <v>1.72</v>
      </c>
      <c r="N126" s="14">
        <v>-2.2400000000000002</v>
      </c>
      <c r="O126" s="14">
        <v>-13.41</v>
      </c>
      <c r="P126" s="14">
        <v>-4.2300000000000004</v>
      </c>
      <c r="Q126" s="14">
        <v>2.25</v>
      </c>
      <c r="R126" s="14">
        <v>7.48</v>
      </c>
      <c r="S126" s="14">
        <v>-10.17</v>
      </c>
      <c r="T126" s="14">
        <v>-2.99</v>
      </c>
      <c r="U126" s="14">
        <v>-1.57</v>
      </c>
      <c r="V126" s="14">
        <v>-1.82</v>
      </c>
      <c r="W126" s="14">
        <v>-1.85</v>
      </c>
      <c r="X126" s="14">
        <v>-1.92</v>
      </c>
      <c r="Y126" s="14">
        <v>-3.37</v>
      </c>
      <c r="Z126" s="14">
        <v>-100</v>
      </c>
    </row>
    <row r="127" spans="1:26">
      <c r="A127" s="268"/>
      <c r="B127" s="268" t="s">
        <v>1116</v>
      </c>
      <c r="C127" s="152" t="s">
        <v>1117</v>
      </c>
      <c r="D127" s="14">
        <v>4500000</v>
      </c>
      <c r="E127" s="45">
        <v>33922930</v>
      </c>
      <c r="F127" s="14">
        <v>0.74</v>
      </c>
      <c r="G127" s="14">
        <v>17.2</v>
      </c>
      <c r="H127" s="14">
        <v>-2.99</v>
      </c>
      <c r="I127" s="14">
        <v>0.24</v>
      </c>
      <c r="J127" s="14">
        <v>-30.64</v>
      </c>
      <c r="K127" s="14">
        <v>-7.69</v>
      </c>
      <c r="L127" s="14">
        <v>-1.81</v>
      </c>
      <c r="M127" s="14">
        <v>-2.23</v>
      </c>
      <c r="N127" s="14">
        <v>-1.88</v>
      </c>
      <c r="O127" s="14">
        <v>-16.25</v>
      </c>
      <c r="P127" s="14">
        <v>-4.87</v>
      </c>
      <c r="Q127" s="14">
        <v>1.88</v>
      </c>
      <c r="R127" s="14">
        <v>1.47</v>
      </c>
      <c r="S127" s="14">
        <v>-9.66</v>
      </c>
      <c r="T127" s="14">
        <v>-2.29</v>
      </c>
      <c r="U127" s="14">
        <v>-1.53</v>
      </c>
      <c r="V127" s="14">
        <v>-6.5</v>
      </c>
      <c r="W127" s="14">
        <v>-4.42</v>
      </c>
      <c r="X127" s="14">
        <v>-0.28000000000000003</v>
      </c>
      <c r="Y127" s="14">
        <v>-2.82</v>
      </c>
      <c r="Z127" s="14">
        <v>-100</v>
      </c>
    </row>
    <row r="128" spans="1:26">
      <c r="A128" s="268"/>
      <c r="B128" s="268" t="s">
        <v>1979</v>
      </c>
      <c r="C128" s="152" t="s">
        <v>1939</v>
      </c>
      <c r="D128" s="14">
        <v>2000000</v>
      </c>
      <c r="E128" s="45">
        <v>15549531</v>
      </c>
      <c r="F128" s="14">
        <v>0.34</v>
      </c>
      <c r="G128" s="14">
        <v>-5.49</v>
      </c>
      <c r="H128" s="14">
        <v>2.39</v>
      </c>
      <c r="I128" s="14">
        <v>0.39</v>
      </c>
      <c r="J128" s="14">
        <v>-39.78</v>
      </c>
      <c r="K128" s="14">
        <v>-2.59</v>
      </c>
      <c r="L128" s="14">
        <v>0.42</v>
      </c>
      <c r="M128" s="14">
        <v>6.15</v>
      </c>
      <c r="N128" s="14">
        <v>-5.84</v>
      </c>
      <c r="O128" s="14">
        <v>-41.36</v>
      </c>
      <c r="P128" s="14">
        <v>-14.44</v>
      </c>
      <c r="Q128" s="14">
        <v>5.87</v>
      </c>
      <c r="R128" s="14">
        <v>22.13</v>
      </c>
      <c r="S128" s="14">
        <v>-33.43</v>
      </c>
      <c r="T128" s="14">
        <v>-7.18</v>
      </c>
      <c r="U128" s="14">
        <v>-2.37</v>
      </c>
      <c r="V128" s="14">
        <v>0.19</v>
      </c>
      <c r="W128" s="14">
        <v>-4.17</v>
      </c>
      <c r="X128" s="14">
        <v>-11.04</v>
      </c>
      <c r="Y128" s="14">
        <v>-8.74</v>
      </c>
      <c r="Z128" s="14">
        <v>-100</v>
      </c>
    </row>
    <row r="129" spans="1:26">
      <c r="A129" s="268"/>
      <c r="B129" s="268" t="s">
        <v>1391</v>
      </c>
      <c r="C129" s="152" t="s">
        <v>1334</v>
      </c>
      <c r="D129" s="14">
        <v>1235000</v>
      </c>
      <c r="E129" s="45">
        <v>9776893</v>
      </c>
      <c r="F129" s="14">
        <v>0.21</v>
      </c>
      <c r="G129" s="14">
        <v>-4.13</v>
      </c>
      <c r="H129" s="14">
        <v>0.12</v>
      </c>
      <c r="I129" s="14">
        <v>1.1100000000000001</v>
      </c>
      <c r="J129" s="14">
        <v>-26.03</v>
      </c>
      <c r="K129" s="14">
        <v>-2.76</v>
      </c>
      <c r="L129" s="14">
        <v>0.67</v>
      </c>
      <c r="M129" s="14">
        <v>4.59</v>
      </c>
      <c r="N129" s="14">
        <v>-3.75</v>
      </c>
      <c r="O129" s="14">
        <v>-20.79</v>
      </c>
      <c r="P129" s="14">
        <v>-7.27</v>
      </c>
      <c r="Q129" s="14">
        <v>3.76</v>
      </c>
      <c r="R129" s="14">
        <v>12.26</v>
      </c>
      <c r="S129" s="14">
        <v>-16.3</v>
      </c>
      <c r="T129" s="14">
        <v>-4.79</v>
      </c>
      <c r="U129" s="14">
        <v>-2.25</v>
      </c>
      <c r="V129" s="14">
        <v>-3.46</v>
      </c>
      <c r="W129" s="14">
        <v>-6.18</v>
      </c>
      <c r="X129" s="14">
        <v>-3.92</v>
      </c>
      <c r="Y129" s="14">
        <v>-5.63</v>
      </c>
      <c r="Z129" s="14">
        <v>-100</v>
      </c>
    </row>
    <row r="130" spans="1:26">
      <c r="A130" s="268"/>
      <c r="B130" s="268" t="s">
        <v>1392</v>
      </c>
      <c r="C130" s="152" t="s">
        <v>89</v>
      </c>
      <c r="D130" s="14">
        <v>5000000</v>
      </c>
      <c r="E130" s="45">
        <v>38683995</v>
      </c>
      <c r="F130" s="14">
        <v>0.84</v>
      </c>
      <c r="G130" s="14">
        <v>1.1100000000000001</v>
      </c>
      <c r="H130" s="14">
        <v>-0.23</v>
      </c>
      <c r="I130" s="14">
        <v>-0.02</v>
      </c>
      <c r="J130" s="14">
        <v>-2.64</v>
      </c>
      <c r="K130" s="14">
        <v>-0.13</v>
      </c>
      <c r="L130" s="14">
        <v>0.06</v>
      </c>
      <c r="M130" s="14">
        <v>-0.03</v>
      </c>
      <c r="N130" s="14">
        <v>-0.24</v>
      </c>
      <c r="O130" s="14">
        <v>-1.86</v>
      </c>
      <c r="P130" s="14">
        <v>-0.59</v>
      </c>
      <c r="Q130" s="14">
        <v>0.24</v>
      </c>
      <c r="R130" s="14">
        <v>0.2</v>
      </c>
      <c r="S130" s="14">
        <v>-0.98</v>
      </c>
      <c r="T130" s="14">
        <v>-0.28999999999999998</v>
      </c>
      <c r="U130" s="14">
        <v>-0.19</v>
      </c>
      <c r="V130" s="14">
        <v>-0.1</v>
      </c>
      <c r="W130" s="14">
        <v>-0.09</v>
      </c>
      <c r="X130" s="14">
        <v>-0.21</v>
      </c>
      <c r="Y130" s="14">
        <v>-0.36</v>
      </c>
      <c r="Z130" s="14">
        <v>-11.19</v>
      </c>
    </row>
    <row r="131" spans="1:26">
      <c r="A131" s="268"/>
      <c r="B131" s="268" t="s">
        <v>1393</v>
      </c>
      <c r="C131" s="152" t="s">
        <v>1336</v>
      </c>
      <c r="D131" s="14">
        <v>4000000</v>
      </c>
      <c r="E131" s="45">
        <v>32748497</v>
      </c>
      <c r="F131" s="14">
        <v>0.71</v>
      </c>
      <c r="G131" s="14">
        <v>-3.24</v>
      </c>
      <c r="H131" s="14">
        <v>0.39</v>
      </c>
      <c r="I131" s="14">
        <v>0.63</v>
      </c>
      <c r="J131" s="14">
        <v>-9.44</v>
      </c>
      <c r="K131" s="14">
        <v>1.28</v>
      </c>
      <c r="L131" s="14">
        <v>0.59</v>
      </c>
      <c r="M131" s="14">
        <v>1.48</v>
      </c>
      <c r="N131" s="14">
        <v>-1.78</v>
      </c>
      <c r="O131" s="14">
        <v>-8.18</v>
      </c>
      <c r="P131" s="14">
        <v>-4.13</v>
      </c>
      <c r="Q131" s="14">
        <v>1.78</v>
      </c>
      <c r="R131" s="14">
        <v>3.85</v>
      </c>
      <c r="S131" s="14">
        <v>-8.83</v>
      </c>
      <c r="T131" s="14">
        <v>-2.37</v>
      </c>
      <c r="U131" s="14">
        <v>-1.02</v>
      </c>
      <c r="V131" s="14">
        <v>1.49</v>
      </c>
      <c r="W131" s="14">
        <v>1.35</v>
      </c>
      <c r="X131" s="14">
        <v>-2.4300000000000002</v>
      </c>
      <c r="Y131" s="14">
        <v>-2.67</v>
      </c>
      <c r="Z131" s="14">
        <v>-78.39</v>
      </c>
    </row>
    <row r="132" spans="1:26">
      <c r="A132" s="268"/>
      <c r="B132" s="268" t="s">
        <v>850</v>
      </c>
      <c r="C132" s="152" t="s">
        <v>525</v>
      </c>
      <c r="D132" s="14">
        <v>3000000</v>
      </c>
      <c r="E132" s="45">
        <v>26034717</v>
      </c>
      <c r="F132" s="14">
        <v>0.56999999999999995</v>
      </c>
      <c r="G132" s="14">
        <v>4.62</v>
      </c>
      <c r="H132" s="14">
        <v>-0.86</v>
      </c>
      <c r="I132" s="14">
        <v>0.65</v>
      </c>
      <c r="J132" s="14">
        <v>-5.46</v>
      </c>
      <c r="K132" s="14">
        <v>-0.68</v>
      </c>
      <c r="L132" s="14">
        <v>0.68</v>
      </c>
      <c r="M132" s="14">
        <v>2.14</v>
      </c>
      <c r="N132" s="14">
        <v>-1.64</v>
      </c>
      <c r="O132" s="14">
        <v>-10.84</v>
      </c>
      <c r="P132" s="14">
        <v>-5.51</v>
      </c>
      <c r="Q132" s="14">
        <v>1.65</v>
      </c>
      <c r="R132" s="14">
        <v>7.21</v>
      </c>
      <c r="S132" s="14">
        <v>-10.14</v>
      </c>
      <c r="T132" s="14">
        <v>-1.74</v>
      </c>
      <c r="U132" s="14">
        <v>-0.09</v>
      </c>
      <c r="V132" s="14">
        <v>-0.34</v>
      </c>
      <c r="W132" s="14">
        <v>-1.89</v>
      </c>
      <c r="X132" s="14">
        <v>-6.83</v>
      </c>
      <c r="Y132" s="14">
        <v>-2.46</v>
      </c>
      <c r="Z132" s="14">
        <v>-56.96</v>
      </c>
    </row>
    <row r="133" spans="1:26">
      <c r="A133" s="268"/>
      <c r="B133" s="268" t="s">
        <v>1969</v>
      </c>
      <c r="C133" s="152" t="s">
        <v>1941</v>
      </c>
      <c r="D133" s="14">
        <v>2000000</v>
      </c>
      <c r="E133" s="45">
        <v>11520790</v>
      </c>
      <c r="F133" s="14">
        <v>0.25</v>
      </c>
      <c r="G133" s="14">
        <v>28.19</v>
      </c>
      <c r="H133" s="14">
        <v>-3.56</v>
      </c>
      <c r="I133" s="14">
        <v>-0.38</v>
      </c>
      <c r="J133" s="14">
        <v>-71.28</v>
      </c>
      <c r="K133" s="14">
        <v>-17.420000000000002</v>
      </c>
      <c r="L133" s="14">
        <v>-3</v>
      </c>
      <c r="M133" s="14">
        <v>-6.06</v>
      </c>
      <c r="N133" s="14">
        <v>-10.89</v>
      </c>
      <c r="O133" s="14">
        <v>-48.42</v>
      </c>
      <c r="P133" s="14">
        <v>-8.61</v>
      </c>
      <c r="Q133" s="14">
        <v>10.9</v>
      </c>
      <c r="R133" s="14">
        <v>12.76</v>
      </c>
      <c r="S133" s="14">
        <v>-16.34</v>
      </c>
      <c r="T133" s="14">
        <v>-14.55</v>
      </c>
      <c r="U133" s="14">
        <v>-13.57</v>
      </c>
      <c r="V133" s="14">
        <v>-17.79</v>
      </c>
      <c r="W133" s="14">
        <v>-7.49</v>
      </c>
      <c r="X133" s="14">
        <v>0.13</v>
      </c>
      <c r="Y133" s="14">
        <v>-16.34</v>
      </c>
      <c r="Z133" s="14">
        <v>-100</v>
      </c>
    </row>
    <row r="134" spans="1:26">
      <c r="A134" s="268"/>
      <c r="B134" s="268" t="s">
        <v>1970</v>
      </c>
      <c r="C134" s="152" t="s">
        <v>1945</v>
      </c>
      <c r="D134" s="14">
        <v>2000000</v>
      </c>
      <c r="E134" s="45">
        <v>16948075</v>
      </c>
      <c r="F134" s="14">
        <v>0.37</v>
      </c>
      <c r="G134" s="14">
        <v>12.95</v>
      </c>
      <c r="H134" s="14">
        <v>-1.41</v>
      </c>
      <c r="I134" s="14">
        <v>0.97</v>
      </c>
      <c r="J134" s="14">
        <v>-41.54</v>
      </c>
      <c r="K134" s="14">
        <v>-5.39</v>
      </c>
      <c r="L134" s="14">
        <v>0.38</v>
      </c>
      <c r="M134" s="14">
        <v>5.45</v>
      </c>
      <c r="N134" s="14">
        <v>-3.98</v>
      </c>
      <c r="O134" s="14">
        <v>-34.9</v>
      </c>
      <c r="P134" s="14">
        <v>-9.51</v>
      </c>
      <c r="Q134" s="14">
        <v>4.01</v>
      </c>
      <c r="R134" s="14">
        <v>13.78</v>
      </c>
      <c r="S134" s="14">
        <v>-23.73</v>
      </c>
      <c r="T134" s="14">
        <v>-4.33</v>
      </c>
      <c r="U134" s="14">
        <v>-2.02</v>
      </c>
      <c r="V134" s="14">
        <v>-5.36</v>
      </c>
      <c r="W134" s="14">
        <v>-0.62</v>
      </c>
      <c r="X134" s="14">
        <v>-9.86</v>
      </c>
      <c r="Y134" s="14">
        <v>-5.96</v>
      </c>
      <c r="Z134" s="14">
        <v>-100</v>
      </c>
    </row>
    <row r="135" spans="1:26">
      <c r="A135" s="268"/>
      <c r="B135" s="268" t="s">
        <v>1971</v>
      </c>
      <c r="C135" s="152" t="s">
        <v>1943</v>
      </c>
      <c r="D135" s="14">
        <v>1000000</v>
      </c>
      <c r="E135" s="45">
        <v>8086337</v>
      </c>
      <c r="F135" s="14">
        <v>0.18</v>
      </c>
      <c r="G135" s="14">
        <v>4.41</v>
      </c>
      <c r="H135" s="14">
        <v>-0.08</v>
      </c>
      <c r="I135" s="14">
        <v>0.79</v>
      </c>
      <c r="J135" s="14">
        <v>-14.86</v>
      </c>
      <c r="K135" s="14">
        <v>-0.73</v>
      </c>
      <c r="L135" s="14">
        <v>0.62</v>
      </c>
      <c r="M135" s="14">
        <v>2.9</v>
      </c>
      <c r="N135" s="14">
        <v>-1.61</v>
      </c>
      <c r="O135" s="14">
        <v>-16.64</v>
      </c>
      <c r="P135" s="14">
        <v>-4.29</v>
      </c>
      <c r="Q135" s="14">
        <v>1.61</v>
      </c>
      <c r="R135" s="14">
        <v>6.99</v>
      </c>
      <c r="S135" s="14">
        <v>-9.86</v>
      </c>
      <c r="T135" s="14">
        <v>-1.78</v>
      </c>
      <c r="U135" s="14">
        <v>-0.51</v>
      </c>
      <c r="V135" s="14">
        <v>-0.73</v>
      </c>
      <c r="W135" s="14">
        <v>-0.14000000000000001</v>
      </c>
      <c r="X135" s="14">
        <v>-5.71</v>
      </c>
      <c r="Y135" s="14">
        <v>-2.41</v>
      </c>
      <c r="Z135" s="14">
        <v>-76.150000000000006</v>
      </c>
    </row>
    <row r="136" spans="1:26">
      <c r="A136" s="268"/>
      <c r="B136" s="268" t="s">
        <v>1946</v>
      </c>
      <c r="C136" s="152" t="s">
        <v>1947</v>
      </c>
      <c r="D136" s="14">
        <v>2000000</v>
      </c>
      <c r="E136" s="45">
        <v>15504400</v>
      </c>
      <c r="F136" s="14">
        <v>0.34</v>
      </c>
      <c r="G136" s="14">
        <v>1.1499999999999999</v>
      </c>
      <c r="H136" s="14">
        <v>-1.52</v>
      </c>
      <c r="I136" s="14">
        <v>0.47</v>
      </c>
      <c r="J136" s="14">
        <v>-10.84</v>
      </c>
      <c r="K136" s="14">
        <v>0.34</v>
      </c>
      <c r="L136" s="14">
        <v>0.01</v>
      </c>
      <c r="M136" s="14">
        <v>2.27</v>
      </c>
      <c r="N136" s="14">
        <v>-3.82</v>
      </c>
      <c r="O136" s="14">
        <v>-13.29</v>
      </c>
      <c r="P136" s="14">
        <v>-6.1</v>
      </c>
      <c r="Q136" s="14">
        <v>3.83</v>
      </c>
      <c r="R136" s="14">
        <v>7.62</v>
      </c>
      <c r="S136" s="14">
        <v>-10.029999999999999</v>
      </c>
      <c r="T136" s="14">
        <v>-4.55</v>
      </c>
      <c r="U136" s="14">
        <v>-3.39</v>
      </c>
      <c r="V136" s="14">
        <v>0.69</v>
      </c>
      <c r="W136" s="14">
        <v>-0.59</v>
      </c>
      <c r="X136" s="14">
        <v>-4.46</v>
      </c>
      <c r="Y136" s="14">
        <v>-5.73</v>
      </c>
      <c r="Z136" s="14">
        <v>-78.209999999999994</v>
      </c>
    </row>
    <row r="137" spans="1:26">
      <c r="A137" s="268"/>
      <c r="B137" s="268" t="s">
        <v>42</v>
      </c>
      <c r="C137" s="152" t="s">
        <v>886</v>
      </c>
      <c r="D137" s="14">
        <v>125000</v>
      </c>
      <c r="E137" s="45">
        <v>9962500</v>
      </c>
      <c r="F137" s="14">
        <v>0.22</v>
      </c>
      <c r="G137" s="14">
        <v>63.45</v>
      </c>
      <c r="H137" s="14">
        <v>-21.18</v>
      </c>
      <c r="I137" s="14">
        <v>-2.61</v>
      </c>
      <c r="J137" s="14">
        <v>-42.42</v>
      </c>
      <c r="K137" s="14">
        <v>-9.01</v>
      </c>
      <c r="L137" s="14">
        <v>-4.08</v>
      </c>
      <c r="M137" s="14">
        <v>-12.07</v>
      </c>
      <c r="N137" s="14">
        <v>-9.69</v>
      </c>
      <c r="O137" s="14">
        <v>-12.01</v>
      </c>
      <c r="P137" s="14">
        <v>-9.9600000000000009</v>
      </c>
      <c r="Q137" s="14">
        <v>9.69</v>
      </c>
      <c r="R137" s="14">
        <v>-3.75</v>
      </c>
      <c r="S137" s="14">
        <v>-9.2799999999999994</v>
      </c>
      <c r="T137" s="14">
        <v>-11.39</v>
      </c>
      <c r="U137" s="14">
        <v>-12.79</v>
      </c>
      <c r="V137" s="14">
        <v>-8.94</v>
      </c>
      <c r="W137" s="14">
        <v>0.53</v>
      </c>
      <c r="X137" s="14">
        <v>2.5499999999999998</v>
      </c>
      <c r="Y137" s="14">
        <v>-14.54</v>
      </c>
      <c r="Z137" s="14">
        <v>74.38</v>
      </c>
    </row>
    <row r="138" spans="1:26">
      <c r="A138" s="268"/>
      <c r="B138" s="268" t="s">
        <v>851</v>
      </c>
      <c r="C138" s="152" t="s">
        <v>91</v>
      </c>
      <c r="D138" s="14">
        <v>5000000</v>
      </c>
      <c r="E138" s="45">
        <v>40078336</v>
      </c>
      <c r="F138" s="14">
        <v>0.87</v>
      </c>
      <c r="G138" s="14">
        <v>8.74</v>
      </c>
      <c r="H138" s="14">
        <v>-2.4500000000000002</v>
      </c>
      <c r="I138" s="14">
        <v>-0.09</v>
      </c>
      <c r="J138" s="14">
        <v>-28.46</v>
      </c>
      <c r="K138" s="14">
        <v>-7.9</v>
      </c>
      <c r="L138" s="14">
        <v>-0.84</v>
      </c>
      <c r="M138" s="14">
        <v>-2.4300000000000002</v>
      </c>
      <c r="N138" s="14">
        <v>-6.89</v>
      </c>
      <c r="O138" s="14">
        <v>-19.48</v>
      </c>
      <c r="P138" s="14">
        <v>-4.33</v>
      </c>
      <c r="Q138" s="14">
        <v>6.89</v>
      </c>
      <c r="R138" s="14">
        <v>8.58</v>
      </c>
      <c r="S138" s="14">
        <v>-13.53</v>
      </c>
      <c r="T138" s="14">
        <v>-9.92</v>
      </c>
      <c r="U138" s="14">
        <v>-10.43</v>
      </c>
      <c r="V138" s="14">
        <v>-11.29</v>
      </c>
      <c r="W138" s="14">
        <v>-1.48</v>
      </c>
      <c r="X138" s="14">
        <v>5.55</v>
      </c>
      <c r="Y138" s="14">
        <v>-10.33</v>
      </c>
      <c r="Z138" s="14">
        <v>-100</v>
      </c>
    </row>
    <row r="139" spans="1:26">
      <c r="A139" s="268"/>
      <c r="B139" s="268" t="s">
        <v>852</v>
      </c>
      <c r="C139" s="152" t="s">
        <v>887</v>
      </c>
      <c r="D139" s="14">
        <v>4800000</v>
      </c>
      <c r="E139" s="45">
        <v>38440555</v>
      </c>
      <c r="F139" s="14">
        <v>0.84</v>
      </c>
      <c r="G139" s="14">
        <v>12.76</v>
      </c>
      <c r="H139" s="14">
        <v>-2.36</v>
      </c>
      <c r="I139" s="14">
        <v>0.03</v>
      </c>
      <c r="J139" s="14">
        <v>-19.190000000000001</v>
      </c>
      <c r="K139" s="14">
        <v>-5</v>
      </c>
      <c r="L139" s="14">
        <v>-0.36</v>
      </c>
      <c r="M139" s="14">
        <v>-1.5</v>
      </c>
      <c r="N139" s="14">
        <v>-2.67</v>
      </c>
      <c r="O139" s="14">
        <v>-11.22</v>
      </c>
      <c r="P139" s="14">
        <v>-5.59</v>
      </c>
      <c r="Q139" s="14">
        <v>2.67</v>
      </c>
      <c r="R139" s="14">
        <v>3.74</v>
      </c>
      <c r="S139" s="14">
        <v>-9.81</v>
      </c>
      <c r="T139" s="14">
        <v>-3.23</v>
      </c>
      <c r="U139" s="14">
        <v>-2.4300000000000002</v>
      </c>
      <c r="V139" s="14">
        <v>-5.0599999999999996</v>
      </c>
      <c r="W139" s="14">
        <v>-2.77</v>
      </c>
      <c r="X139" s="14">
        <v>-2.1800000000000002</v>
      </c>
      <c r="Y139" s="14">
        <v>-4.01</v>
      </c>
      <c r="Z139" s="14">
        <v>-100</v>
      </c>
    </row>
    <row r="140" spans="1:26">
      <c r="A140" s="268"/>
      <c r="B140" s="268" t="s">
        <v>852</v>
      </c>
      <c r="C140" s="152" t="s">
        <v>887</v>
      </c>
      <c r="D140" s="14">
        <v>3500000</v>
      </c>
      <c r="E140" s="45">
        <v>28029571</v>
      </c>
      <c r="F140" s="14">
        <v>0.61</v>
      </c>
      <c r="G140" s="14">
        <v>12.76</v>
      </c>
      <c r="H140" s="14">
        <v>-2.36</v>
      </c>
      <c r="I140" s="14">
        <v>0.03</v>
      </c>
      <c r="J140" s="14">
        <v>-19.190000000000001</v>
      </c>
      <c r="K140" s="14">
        <v>-5</v>
      </c>
      <c r="L140" s="14">
        <v>-0.36</v>
      </c>
      <c r="M140" s="14">
        <v>-1.5</v>
      </c>
      <c r="N140" s="14">
        <v>-2.67</v>
      </c>
      <c r="O140" s="14">
        <v>-11.22</v>
      </c>
      <c r="P140" s="14">
        <v>-5.59</v>
      </c>
      <c r="Q140" s="14">
        <v>2.67</v>
      </c>
      <c r="R140" s="14">
        <v>3.74</v>
      </c>
      <c r="S140" s="14">
        <v>-9.81</v>
      </c>
      <c r="T140" s="14">
        <v>-3.23</v>
      </c>
      <c r="U140" s="14">
        <v>-2.4300000000000002</v>
      </c>
      <c r="V140" s="14">
        <v>-5.0599999999999996</v>
      </c>
      <c r="W140" s="14">
        <v>-2.77</v>
      </c>
      <c r="X140" s="14">
        <v>-2.1800000000000002</v>
      </c>
      <c r="Y140" s="14">
        <v>-4.01</v>
      </c>
      <c r="Z140" s="14">
        <v>-100</v>
      </c>
    </row>
    <row r="141" spans="1:26">
      <c r="A141" s="268"/>
      <c r="B141" s="268" t="s">
        <v>44</v>
      </c>
      <c r="C141" s="152" t="s">
        <v>888</v>
      </c>
      <c r="D141" s="14">
        <v>100000</v>
      </c>
      <c r="E141" s="45">
        <v>5185000</v>
      </c>
      <c r="F141" s="14">
        <v>0.11</v>
      </c>
      <c r="G141" s="14">
        <v>32.43</v>
      </c>
      <c r="H141" s="14">
        <v>-22.91</v>
      </c>
      <c r="I141" s="14">
        <v>-0.26</v>
      </c>
      <c r="J141" s="14">
        <v>-13.61</v>
      </c>
      <c r="K141" s="14">
        <v>-8.85</v>
      </c>
      <c r="L141" s="14">
        <v>-2.66</v>
      </c>
      <c r="M141" s="14">
        <v>-5.95</v>
      </c>
      <c r="N141" s="14">
        <v>-6.28</v>
      </c>
      <c r="O141" s="14">
        <v>-9.48</v>
      </c>
      <c r="P141" s="14">
        <v>-7.01</v>
      </c>
      <c r="Q141" s="14">
        <v>6.28</v>
      </c>
      <c r="R141" s="14">
        <v>4.22</v>
      </c>
      <c r="S141" s="14">
        <v>-5.89</v>
      </c>
      <c r="T141" s="14">
        <v>-7.54</v>
      </c>
      <c r="U141" s="14">
        <v>-7.97</v>
      </c>
      <c r="V141" s="14">
        <v>-7.88</v>
      </c>
      <c r="W141" s="14">
        <v>4.38</v>
      </c>
      <c r="X141" s="14">
        <v>-1.1000000000000001</v>
      </c>
      <c r="Y141" s="14">
        <v>-9.43</v>
      </c>
      <c r="Z141" s="14">
        <v>95.81</v>
      </c>
    </row>
    <row r="142" spans="1:26">
      <c r="A142" s="268"/>
      <c r="B142" s="268" t="s">
        <v>1972</v>
      </c>
      <c r="C142" s="152" t="s">
        <v>1949</v>
      </c>
      <c r="D142" s="14">
        <v>2000000</v>
      </c>
      <c r="E142" s="45">
        <v>16073810</v>
      </c>
      <c r="F142" s="14">
        <v>0.35</v>
      </c>
      <c r="G142" s="14">
        <v>-6.33</v>
      </c>
      <c r="H142" s="14">
        <v>0.67</v>
      </c>
      <c r="I142" s="14">
        <v>1.1399999999999999</v>
      </c>
      <c r="J142" s="14">
        <v>-19.54</v>
      </c>
      <c r="K142" s="14">
        <v>-1.29</v>
      </c>
      <c r="L142" s="14">
        <v>0.56999999999999995</v>
      </c>
      <c r="M142" s="14">
        <v>3.98</v>
      </c>
      <c r="N142" s="14">
        <v>-3.49</v>
      </c>
      <c r="O142" s="14">
        <v>-18.87</v>
      </c>
      <c r="P142" s="14">
        <v>-7.15</v>
      </c>
      <c r="Q142" s="14">
        <v>3.49</v>
      </c>
      <c r="R142" s="14">
        <v>11.88</v>
      </c>
      <c r="S142" s="14">
        <v>-15.88</v>
      </c>
      <c r="T142" s="14">
        <v>-4.49</v>
      </c>
      <c r="U142" s="14">
        <v>-1.91</v>
      </c>
      <c r="V142" s="14">
        <v>-1.41</v>
      </c>
      <c r="W142" s="14">
        <v>-2.29</v>
      </c>
      <c r="X142" s="14">
        <v>-5.3</v>
      </c>
      <c r="Y142" s="14">
        <v>-5.23</v>
      </c>
      <c r="Z142" s="14">
        <v>-100</v>
      </c>
    </row>
    <row r="143" spans="1:26" ht="15" customHeight="1">
      <c r="A143" s="268"/>
      <c r="B143" s="268" t="s">
        <v>853</v>
      </c>
      <c r="C143" s="152" t="s">
        <v>95</v>
      </c>
      <c r="D143" s="14">
        <v>4000000</v>
      </c>
      <c r="E143" s="45">
        <v>32738006</v>
      </c>
      <c r="F143" s="14">
        <v>0.71</v>
      </c>
      <c r="G143" s="14">
        <v>1.63</v>
      </c>
      <c r="H143" s="14">
        <v>-0.17</v>
      </c>
      <c r="I143" s="14">
        <v>0.12</v>
      </c>
      <c r="J143" s="14">
        <v>-1.57</v>
      </c>
      <c r="K143" s="14">
        <v>-0.28999999999999998</v>
      </c>
      <c r="L143" s="14">
        <v>0.13</v>
      </c>
      <c r="M143" s="14">
        <v>0.02</v>
      </c>
      <c r="N143" s="14">
        <v>-0.2</v>
      </c>
      <c r="O143" s="14">
        <v>-1.77</v>
      </c>
      <c r="P143" s="14">
        <v>-0.99</v>
      </c>
      <c r="Q143" s="14">
        <v>0.2</v>
      </c>
      <c r="R143" s="14">
        <v>0.84</v>
      </c>
      <c r="S143" s="14">
        <v>-1.73</v>
      </c>
      <c r="T143" s="14">
        <v>-0.22</v>
      </c>
      <c r="U143" s="14">
        <v>7.0000000000000007E-2</v>
      </c>
      <c r="V143" s="14">
        <v>-0.1</v>
      </c>
      <c r="W143" s="14">
        <v>0.26</v>
      </c>
      <c r="X143" s="14">
        <v>-0.83</v>
      </c>
      <c r="Y143" s="14">
        <v>-0.28999999999999998</v>
      </c>
      <c r="Z143" s="14">
        <v>-8.6300000000000008</v>
      </c>
    </row>
    <row r="144" spans="1:26">
      <c r="A144" s="268"/>
      <c r="B144" s="268" t="s">
        <v>1337</v>
      </c>
      <c r="C144" s="152" t="s">
        <v>1338</v>
      </c>
      <c r="D144" s="14">
        <v>1500000</v>
      </c>
      <c r="E144" s="45">
        <v>11825264</v>
      </c>
      <c r="F144" s="14">
        <v>0.26</v>
      </c>
      <c r="G144" s="14">
        <v>0.46</v>
      </c>
      <c r="H144" s="14">
        <v>-0.13</v>
      </c>
      <c r="I144" s="14">
        <v>-0.01</v>
      </c>
      <c r="J144" s="14">
        <v>-2.02</v>
      </c>
      <c r="K144" s="14">
        <v>0.17</v>
      </c>
      <c r="L144" s="14">
        <v>0.09</v>
      </c>
      <c r="M144" s="14">
        <v>7.0000000000000007E-2</v>
      </c>
      <c r="N144" s="14">
        <v>-0.13</v>
      </c>
      <c r="O144" s="14">
        <v>-1.33</v>
      </c>
      <c r="P144" s="14">
        <v>-0.3</v>
      </c>
      <c r="Q144" s="14">
        <v>0.13</v>
      </c>
      <c r="R144" s="14">
        <v>0.08</v>
      </c>
      <c r="S144" s="14">
        <v>-0.51</v>
      </c>
      <c r="T144" s="14">
        <v>-0.15</v>
      </c>
      <c r="U144" s="14">
        <v>-0.1</v>
      </c>
      <c r="V144" s="14">
        <v>0.2</v>
      </c>
      <c r="W144" s="14">
        <v>-0.06</v>
      </c>
      <c r="X144" s="14">
        <v>-0.11</v>
      </c>
      <c r="Y144" s="14">
        <v>-0.19</v>
      </c>
      <c r="Z144" s="14">
        <v>-6.09</v>
      </c>
    </row>
    <row r="145" spans="1:26">
      <c r="A145" s="268"/>
      <c r="B145" s="268" t="s">
        <v>1084</v>
      </c>
      <c r="C145" s="152" t="s">
        <v>1072</v>
      </c>
      <c r="D145" s="14">
        <v>6000000</v>
      </c>
      <c r="E145" s="45">
        <v>46802028</v>
      </c>
      <c r="F145" s="14">
        <v>1.02</v>
      </c>
      <c r="G145" s="14">
        <v>9.25</v>
      </c>
      <c r="H145" s="14">
        <v>-1.66</v>
      </c>
      <c r="I145" s="14">
        <v>0.08</v>
      </c>
      <c r="J145" s="14">
        <v>-13.38</v>
      </c>
      <c r="K145" s="14">
        <v>-3.47</v>
      </c>
      <c r="L145" s="14">
        <v>-0.17</v>
      </c>
      <c r="M145" s="14">
        <v>-0.94</v>
      </c>
      <c r="N145" s="14">
        <v>-1.88</v>
      </c>
      <c r="O145" s="14">
        <v>-8.33</v>
      </c>
      <c r="P145" s="14">
        <v>-4.2</v>
      </c>
      <c r="Q145" s="14">
        <v>1.88</v>
      </c>
      <c r="R145" s="14">
        <v>3</v>
      </c>
      <c r="S145" s="14">
        <v>-7.43</v>
      </c>
      <c r="T145" s="14">
        <v>-2.25</v>
      </c>
      <c r="U145" s="14">
        <v>-1.58</v>
      </c>
      <c r="V145" s="14">
        <v>-3.43</v>
      </c>
      <c r="W145" s="14">
        <v>-1.83</v>
      </c>
      <c r="X145" s="14">
        <v>-1.87</v>
      </c>
      <c r="Y145" s="14">
        <v>-2.82</v>
      </c>
      <c r="Z145" s="14">
        <v>-92.13</v>
      </c>
    </row>
    <row r="146" spans="1:26">
      <c r="A146" s="268"/>
      <c r="B146" s="268" t="s">
        <v>1085</v>
      </c>
      <c r="C146" s="152" t="s">
        <v>1074</v>
      </c>
      <c r="D146" s="14">
        <v>1000000</v>
      </c>
      <c r="E146" s="45">
        <v>8077533</v>
      </c>
      <c r="F146" s="14">
        <v>0.18</v>
      </c>
      <c r="G146" s="14">
        <v>2.37</v>
      </c>
      <c r="H146" s="14">
        <v>-0.45</v>
      </c>
      <c r="I146" s="14">
        <v>-0.03</v>
      </c>
      <c r="J146" s="14">
        <v>-4.3</v>
      </c>
      <c r="K146" s="14">
        <v>-0.7</v>
      </c>
      <c r="L146" s="14">
        <v>-0.01</v>
      </c>
      <c r="M146" s="14">
        <v>-0.21</v>
      </c>
      <c r="N146" s="14">
        <v>-0.48</v>
      </c>
      <c r="O146" s="14">
        <v>-2.77</v>
      </c>
      <c r="P146" s="14">
        <v>-1.1100000000000001</v>
      </c>
      <c r="Q146" s="14">
        <v>0.48</v>
      </c>
      <c r="R146" s="14">
        <v>0.47</v>
      </c>
      <c r="S146" s="14">
        <v>-1.89</v>
      </c>
      <c r="T146" s="14">
        <v>-0.57999999999999996</v>
      </c>
      <c r="U146" s="14">
        <v>-0.41</v>
      </c>
      <c r="V146" s="14">
        <v>-0.67</v>
      </c>
      <c r="W146" s="14">
        <v>-0.3</v>
      </c>
      <c r="X146" s="14">
        <v>-0.39</v>
      </c>
      <c r="Y146" s="14">
        <v>-0.72</v>
      </c>
      <c r="Z146" s="14">
        <v>-23.62</v>
      </c>
    </row>
    <row r="147" spans="1:26">
      <c r="A147" s="268"/>
      <c r="B147" s="268" t="s">
        <v>1980</v>
      </c>
      <c r="C147" s="152" t="s">
        <v>1951</v>
      </c>
      <c r="D147" s="14">
        <v>1000000</v>
      </c>
      <c r="E147" s="45">
        <v>8488833</v>
      </c>
      <c r="F147" s="14">
        <v>0.18</v>
      </c>
      <c r="G147" s="14">
        <v>0.52</v>
      </c>
      <c r="H147" s="14">
        <v>-0.28000000000000003</v>
      </c>
      <c r="I147" s="14">
        <v>-0.42</v>
      </c>
      <c r="J147" s="14">
        <v>-7.82</v>
      </c>
      <c r="K147" s="14">
        <v>-0.61</v>
      </c>
      <c r="L147" s="14">
        <v>0.13</v>
      </c>
      <c r="M147" s="14">
        <v>2.73</v>
      </c>
      <c r="N147" s="14">
        <v>-2.84</v>
      </c>
      <c r="O147" s="14">
        <v>-10.1</v>
      </c>
      <c r="P147" s="14">
        <v>-5.65</v>
      </c>
      <c r="Q147" s="14">
        <v>2.84</v>
      </c>
      <c r="R147" s="14">
        <v>6.93</v>
      </c>
      <c r="S147" s="14">
        <v>-8.49</v>
      </c>
      <c r="T147" s="14">
        <v>-3.45</v>
      </c>
      <c r="U147" s="14">
        <v>-2.0499999999999998</v>
      </c>
      <c r="V147" s="14">
        <v>0.21</v>
      </c>
      <c r="W147" s="14">
        <v>-2.5</v>
      </c>
      <c r="X147" s="14">
        <v>-5.78</v>
      </c>
      <c r="Y147" s="14">
        <v>-4.26</v>
      </c>
      <c r="Z147" s="14">
        <v>-22.23</v>
      </c>
    </row>
    <row r="148" spans="1:26">
      <c r="A148" s="268"/>
      <c r="B148" s="268" t="s">
        <v>1118</v>
      </c>
      <c r="C148" s="152" t="s">
        <v>1119</v>
      </c>
      <c r="D148" s="14">
        <v>3700000</v>
      </c>
      <c r="E148" s="45">
        <v>28620993</v>
      </c>
      <c r="F148" s="14">
        <v>0.62</v>
      </c>
      <c r="G148" s="14">
        <v>5.64</v>
      </c>
      <c r="H148" s="14">
        <v>-1.1100000000000001</v>
      </c>
      <c r="I148" s="14">
        <v>-0.08</v>
      </c>
      <c r="J148" s="14">
        <v>-9.5399999999999991</v>
      </c>
      <c r="K148" s="14">
        <v>-2.16</v>
      </c>
      <c r="L148" s="14">
        <v>-0.18</v>
      </c>
      <c r="M148" s="14">
        <v>-0.71</v>
      </c>
      <c r="N148" s="14">
        <v>-1.2</v>
      </c>
      <c r="O148" s="14">
        <v>-5.36</v>
      </c>
      <c r="P148" s="14">
        <v>-2.41</v>
      </c>
      <c r="Q148" s="14">
        <v>1.2</v>
      </c>
      <c r="R148" s="14">
        <v>1.1399999999999999</v>
      </c>
      <c r="S148" s="14">
        <v>-4.16</v>
      </c>
      <c r="T148" s="14">
        <v>-1.46</v>
      </c>
      <c r="U148" s="14">
        <v>-1.1599999999999999</v>
      </c>
      <c r="V148" s="14">
        <v>-2.21</v>
      </c>
      <c r="W148" s="14">
        <v>-1.18</v>
      </c>
      <c r="X148" s="14">
        <v>-0.66</v>
      </c>
      <c r="Y148" s="14">
        <v>-1.8</v>
      </c>
      <c r="Z148" s="14">
        <v>-59.83</v>
      </c>
    </row>
    <row r="149" spans="1:26">
      <c r="A149" s="268"/>
      <c r="B149" s="268" t="s">
        <v>1120</v>
      </c>
      <c r="C149" s="152" t="s">
        <v>1121</v>
      </c>
      <c r="D149" s="14">
        <v>1100000</v>
      </c>
      <c r="E149" s="45">
        <v>9000479</v>
      </c>
      <c r="F149" s="14">
        <v>0.2</v>
      </c>
      <c r="G149" s="14">
        <v>3.64</v>
      </c>
      <c r="H149" s="14">
        <v>-0.74</v>
      </c>
      <c r="I149" s="14">
        <v>-0.06</v>
      </c>
      <c r="J149" s="14">
        <v>-6.85</v>
      </c>
      <c r="K149" s="14">
        <v>-1.26</v>
      </c>
      <c r="L149" s="14">
        <v>-0.08</v>
      </c>
      <c r="M149" s="14">
        <v>-0.42</v>
      </c>
      <c r="N149" s="14">
        <v>-0.79</v>
      </c>
      <c r="O149" s="14">
        <v>-3.9</v>
      </c>
      <c r="P149" s="14">
        <v>-1.6</v>
      </c>
      <c r="Q149" s="14">
        <v>0.79</v>
      </c>
      <c r="R149" s="14">
        <v>0.67</v>
      </c>
      <c r="S149" s="14">
        <v>-2.75</v>
      </c>
      <c r="T149" s="14">
        <v>-0.96</v>
      </c>
      <c r="U149" s="14">
        <v>-0.77</v>
      </c>
      <c r="V149" s="14">
        <v>-1.29</v>
      </c>
      <c r="W149" s="14">
        <v>-0.76</v>
      </c>
      <c r="X149" s="14">
        <v>-0.46</v>
      </c>
      <c r="Y149" s="14">
        <v>-1.18</v>
      </c>
      <c r="Z149" s="14">
        <v>-41.51</v>
      </c>
    </row>
    <row r="150" spans="1:26">
      <c r="A150" s="268"/>
      <c r="B150" s="268" t="s">
        <v>1158</v>
      </c>
      <c r="C150" s="152" t="s">
        <v>1159</v>
      </c>
      <c r="D150" s="14">
        <v>410000</v>
      </c>
      <c r="E150" s="45">
        <v>2958831</v>
      </c>
      <c r="F150" s="14">
        <v>0.06</v>
      </c>
      <c r="G150" s="14">
        <v>12.74</v>
      </c>
      <c r="H150" s="14">
        <v>-2.42</v>
      </c>
      <c r="I150" s="14">
        <v>-0.06</v>
      </c>
      <c r="J150" s="14">
        <v>-19.649999999999999</v>
      </c>
      <c r="K150" s="14">
        <v>-5.14</v>
      </c>
      <c r="L150" s="14">
        <v>-0.46</v>
      </c>
      <c r="M150" s="14">
        <v>-1.64</v>
      </c>
      <c r="N150" s="14">
        <v>-2.67</v>
      </c>
      <c r="O150" s="14">
        <v>-10.87</v>
      </c>
      <c r="P150" s="14">
        <v>-5.39</v>
      </c>
      <c r="Q150" s="14">
        <v>2.67</v>
      </c>
      <c r="R150" s="14">
        <v>3.17</v>
      </c>
      <c r="S150" s="14">
        <v>-9.43</v>
      </c>
      <c r="T150" s="14">
        <v>-3.23</v>
      </c>
      <c r="U150" s="14">
        <v>-2.5299999999999998</v>
      </c>
      <c r="V150" s="14">
        <v>-5.26</v>
      </c>
      <c r="W150" s="14">
        <v>-2.89</v>
      </c>
      <c r="X150" s="14">
        <v>-1.73</v>
      </c>
      <c r="Y150" s="14">
        <v>-4</v>
      </c>
      <c r="Z150" s="14">
        <v>-100</v>
      </c>
    </row>
    <row r="151" spans="1:26">
      <c r="A151" s="268"/>
      <c r="B151" s="268" t="s">
        <v>1278</v>
      </c>
      <c r="C151" s="152" t="s">
        <v>1222</v>
      </c>
      <c r="D151" s="14">
        <v>5000000</v>
      </c>
      <c r="E151" s="45">
        <v>37588247</v>
      </c>
      <c r="F151" s="14">
        <v>0.82</v>
      </c>
      <c r="G151" s="14">
        <v>7.53</v>
      </c>
      <c r="H151" s="14">
        <v>-1.36</v>
      </c>
      <c r="I151" s="14">
        <v>-1.89</v>
      </c>
      <c r="J151" s="14">
        <v>-18.239999999999998</v>
      </c>
      <c r="K151" s="14">
        <v>-2.92</v>
      </c>
      <c r="L151" s="14">
        <v>-0.77</v>
      </c>
      <c r="M151" s="14">
        <v>-1.1599999999999999</v>
      </c>
      <c r="N151" s="14">
        <v>-3.16</v>
      </c>
      <c r="O151" s="14">
        <v>-13.01</v>
      </c>
      <c r="P151" s="14">
        <v>-3.95</v>
      </c>
      <c r="Q151" s="14">
        <v>3.16</v>
      </c>
      <c r="R151" s="14">
        <v>4.87</v>
      </c>
      <c r="S151" s="14">
        <v>-7.28</v>
      </c>
      <c r="T151" s="14">
        <v>-4.2</v>
      </c>
      <c r="U151" s="14">
        <v>-3.86</v>
      </c>
      <c r="V151" s="14">
        <v>-2.74</v>
      </c>
      <c r="W151" s="14">
        <v>0.56000000000000005</v>
      </c>
      <c r="X151" s="14">
        <v>0.99</v>
      </c>
      <c r="Y151" s="14">
        <v>-4.74</v>
      </c>
      <c r="Z151" s="14">
        <v>-100</v>
      </c>
    </row>
    <row r="152" spans="1:26">
      <c r="A152" s="268"/>
      <c r="B152" s="268" t="s">
        <v>1339</v>
      </c>
      <c r="C152" s="152" t="s">
        <v>1340</v>
      </c>
      <c r="D152" s="14">
        <v>1400000</v>
      </c>
      <c r="E152" s="45">
        <v>10475224</v>
      </c>
      <c r="F152" s="14">
        <v>0.23</v>
      </c>
      <c r="G152" s="14">
        <v>11.34</v>
      </c>
      <c r="H152" s="14">
        <v>-1.82</v>
      </c>
      <c r="I152" s="14">
        <v>0.48</v>
      </c>
      <c r="J152" s="14">
        <v>-19.809999999999999</v>
      </c>
      <c r="K152" s="14">
        <v>-4.57</v>
      </c>
      <c r="L152" s="14">
        <v>-0.89</v>
      </c>
      <c r="M152" s="14">
        <v>-0.59</v>
      </c>
      <c r="N152" s="14">
        <v>-1.22</v>
      </c>
      <c r="O152" s="14">
        <v>-13.26</v>
      </c>
      <c r="P152" s="14">
        <v>-4.1500000000000004</v>
      </c>
      <c r="Q152" s="14">
        <v>1.22</v>
      </c>
      <c r="R152" s="14">
        <v>3.09</v>
      </c>
      <c r="S152" s="14">
        <v>-8.39</v>
      </c>
      <c r="T152" s="14">
        <v>-1.42</v>
      </c>
      <c r="U152" s="14">
        <v>-0.43</v>
      </c>
      <c r="V152" s="14">
        <v>-3.49</v>
      </c>
      <c r="W152" s="14">
        <v>-3.01</v>
      </c>
      <c r="X152" s="14">
        <v>-2.1800000000000002</v>
      </c>
      <c r="Y152" s="14">
        <v>-1.83</v>
      </c>
      <c r="Z152" s="14">
        <v>-99.56</v>
      </c>
    </row>
    <row r="153" spans="1:26">
      <c r="A153" s="268"/>
      <c r="B153" s="268" t="s">
        <v>854</v>
      </c>
      <c r="C153" s="152" t="s">
        <v>97</v>
      </c>
      <c r="D153" s="14">
        <v>6000000</v>
      </c>
      <c r="E153" s="45">
        <v>48952120</v>
      </c>
      <c r="F153" s="14">
        <v>1.07</v>
      </c>
      <c r="G153" s="14">
        <v>7.12</v>
      </c>
      <c r="H153" s="14">
        <v>-1.28</v>
      </c>
      <c r="I153" s="14">
        <v>0.04</v>
      </c>
      <c r="J153" s="14">
        <v>-10.48</v>
      </c>
      <c r="K153" s="14">
        <v>-2.67</v>
      </c>
      <c r="L153" s="14">
        <v>-0.16</v>
      </c>
      <c r="M153" s="14">
        <v>-0.79</v>
      </c>
      <c r="N153" s="14">
        <v>-1.41</v>
      </c>
      <c r="O153" s="14">
        <v>-6.26</v>
      </c>
      <c r="P153" s="14">
        <v>-3.17</v>
      </c>
      <c r="Q153" s="14">
        <v>1.41</v>
      </c>
      <c r="R153" s="14">
        <v>2.02</v>
      </c>
      <c r="S153" s="14">
        <v>-5.55</v>
      </c>
      <c r="T153" s="14">
        <v>-1.7</v>
      </c>
      <c r="U153" s="14">
        <v>-1.21</v>
      </c>
      <c r="V153" s="14">
        <v>-2.63</v>
      </c>
      <c r="W153" s="14">
        <v>-1.29</v>
      </c>
      <c r="X153" s="14">
        <v>-1.3</v>
      </c>
      <c r="Y153" s="14">
        <v>-2.12</v>
      </c>
      <c r="Z153" s="14">
        <v>-70.180000000000007</v>
      </c>
    </row>
    <row r="154" spans="1:26">
      <c r="A154" s="268"/>
      <c r="B154" s="268" t="s">
        <v>855</v>
      </c>
      <c r="C154" s="152" t="s">
        <v>527</v>
      </c>
      <c r="D154" s="14">
        <v>4000000</v>
      </c>
      <c r="E154" s="45">
        <v>32902740</v>
      </c>
      <c r="F154" s="14">
        <v>0.72</v>
      </c>
      <c r="G154" s="14">
        <v>4.9800000000000004</v>
      </c>
      <c r="H154" s="14">
        <v>-0.9</v>
      </c>
      <c r="I154" s="14">
        <v>0</v>
      </c>
      <c r="J154" s="14">
        <v>-7.68</v>
      </c>
      <c r="K154" s="14">
        <v>-1.82</v>
      </c>
      <c r="L154" s="14">
        <v>-0.1</v>
      </c>
      <c r="M154" s="14">
        <v>-0.54</v>
      </c>
      <c r="N154" s="14">
        <v>-0.99</v>
      </c>
      <c r="O154" s="14">
        <v>-4.5999999999999996</v>
      </c>
      <c r="P154" s="14">
        <v>-2.23</v>
      </c>
      <c r="Q154" s="14">
        <v>0.99</v>
      </c>
      <c r="R154" s="14">
        <v>1.26</v>
      </c>
      <c r="S154" s="14">
        <v>-3.87</v>
      </c>
      <c r="T154" s="14">
        <v>-1.19</v>
      </c>
      <c r="U154" s="14">
        <v>-0.85</v>
      </c>
      <c r="V154" s="14">
        <v>-1.78</v>
      </c>
      <c r="W154" s="14">
        <v>-0.81</v>
      </c>
      <c r="X154" s="14">
        <v>-0.87</v>
      </c>
      <c r="Y154" s="14">
        <v>-1.48</v>
      </c>
      <c r="Z154" s="14">
        <v>-48.92</v>
      </c>
    </row>
    <row r="155" spans="1:26">
      <c r="A155" s="268"/>
      <c r="B155" s="268" t="s">
        <v>1279</v>
      </c>
      <c r="C155" s="152" t="s">
        <v>1224</v>
      </c>
      <c r="D155" s="14">
        <v>3100000</v>
      </c>
      <c r="E155" s="45">
        <v>24141726</v>
      </c>
      <c r="F155" s="14">
        <v>0.53</v>
      </c>
      <c r="G155" s="14">
        <v>8.8000000000000007</v>
      </c>
      <c r="H155" s="14">
        <v>-1.59</v>
      </c>
      <c r="I155" s="14">
        <v>0.06</v>
      </c>
      <c r="J155" s="14">
        <v>-13.08</v>
      </c>
      <c r="K155" s="14">
        <v>-3.33</v>
      </c>
      <c r="L155" s="14">
        <v>-0.18</v>
      </c>
      <c r="M155" s="14">
        <v>-0.94</v>
      </c>
      <c r="N155" s="14">
        <v>-1.8</v>
      </c>
      <c r="O155" s="14">
        <v>-7.92</v>
      </c>
      <c r="P155" s="14">
        <v>-3.98</v>
      </c>
      <c r="Q155" s="14">
        <v>1.8</v>
      </c>
      <c r="R155" s="14">
        <v>2.71</v>
      </c>
      <c r="S155" s="14">
        <v>-7.01</v>
      </c>
      <c r="T155" s="14">
        <v>-2.16</v>
      </c>
      <c r="U155" s="14">
        <v>-1.54</v>
      </c>
      <c r="V155" s="14">
        <v>-3.3</v>
      </c>
      <c r="W155" s="14">
        <v>-1.73</v>
      </c>
      <c r="X155" s="14">
        <v>-1.75</v>
      </c>
      <c r="Y155" s="14">
        <v>-2.7</v>
      </c>
      <c r="Z155" s="14">
        <v>-89.8</v>
      </c>
    </row>
    <row r="156" spans="1:26">
      <c r="A156" s="268"/>
      <c r="B156" s="268" t="s">
        <v>856</v>
      </c>
      <c r="C156" s="152" t="s">
        <v>99</v>
      </c>
      <c r="D156" s="14">
        <v>1500000</v>
      </c>
      <c r="E156" s="45">
        <v>12919035</v>
      </c>
      <c r="F156" s="14">
        <v>0.28000000000000003</v>
      </c>
      <c r="G156" s="14">
        <v>2.2599999999999998</v>
      </c>
      <c r="H156" s="14">
        <v>-0.1</v>
      </c>
      <c r="I156" s="14">
        <v>0.42</v>
      </c>
      <c r="J156" s="14">
        <v>-2.02</v>
      </c>
      <c r="K156" s="14">
        <v>-0.26</v>
      </c>
      <c r="L156" s="14">
        <v>0.21</v>
      </c>
      <c r="M156" s="14">
        <v>0.56999999999999995</v>
      </c>
      <c r="N156" s="14">
        <v>-0.06</v>
      </c>
      <c r="O156" s="14">
        <v>-4.0199999999999996</v>
      </c>
      <c r="P156" s="14">
        <v>-1.59</v>
      </c>
      <c r="Q156" s="14">
        <v>0.06</v>
      </c>
      <c r="R156" s="14">
        <v>2.35</v>
      </c>
      <c r="S156" s="14">
        <v>-3.25</v>
      </c>
      <c r="T156" s="14">
        <v>-0.01</v>
      </c>
      <c r="U156" s="14">
        <v>0.66</v>
      </c>
      <c r="V156" s="14">
        <v>0.31</v>
      </c>
      <c r="W156" s="14">
        <v>0.04</v>
      </c>
      <c r="X156" s="14">
        <v>-2.11</v>
      </c>
      <c r="Y156" s="14">
        <v>-0.09</v>
      </c>
      <c r="Z156" s="14">
        <v>-8.33</v>
      </c>
    </row>
    <row r="157" spans="1:26">
      <c r="A157" s="268"/>
      <c r="B157" s="268" t="s">
        <v>857</v>
      </c>
      <c r="C157" s="152" t="s">
        <v>101</v>
      </c>
      <c r="D157" s="14">
        <v>1500000</v>
      </c>
      <c r="E157" s="45">
        <v>12195525</v>
      </c>
      <c r="F157" s="14">
        <v>0.27</v>
      </c>
      <c r="G157" s="14">
        <v>5.17</v>
      </c>
      <c r="H157" s="14">
        <v>-0.83</v>
      </c>
      <c r="I157" s="14">
        <v>0.15</v>
      </c>
      <c r="J157" s="14">
        <v>-7.22</v>
      </c>
      <c r="K157" s="14">
        <v>-1.68</v>
      </c>
      <c r="L157" s="14">
        <v>0.06</v>
      </c>
      <c r="M157" s="14">
        <v>-0.32</v>
      </c>
      <c r="N157" s="14">
        <v>-1.03</v>
      </c>
      <c r="O157" s="14">
        <v>-5.22</v>
      </c>
      <c r="P157" s="14">
        <v>-2.69</v>
      </c>
      <c r="Q157" s="14">
        <v>1.03</v>
      </c>
      <c r="R157" s="14">
        <v>2.27</v>
      </c>
      <c r="S157" s="14">
        <v>-4.75</v>
      </c>
      <c r="T157" s="14">
        <v>-1.22</v>
      </c>
      <c r="U157" s="14">
        <v>-0.68</v>
      </c>
      <c r="V157" s="14">
        <v>-1.54</v>
      </c>
      <c r="W157" s="14">
        <v>-0.71</v>
      </c>
      <c r="X157" s="14">
        <v>-1.78</v>
      </c>
      <c r="Y157" s="14">
        <v>-1.54</v>
      </c>
      <c r="Z157" s="14">
        <v>-49.73</v>
      </c>
    </row>
    <row r="158" spans="1:26">
      <c r="A158" s="268"/>
      <c r="B158" s="268" t="s">
        <v>858</v>
      </c>
      <c r="C158" s="152" t="s">
        <v>103</v>
      </c>
      <c r="D158" s="14">
        <v>5000000</v>
      </c>
      <c r="E158" s="45">
        <v>40576533</v>
      </c>
      <c r="F158" s="14">
        <v>0.88</v>
      </c>
      <c r="G158" s="14">
        <v>12.22</v>
      </c>
      <c r="H158" s="14">
        <v>-1.75</v>
      </c>
      <c r="I158" s="14">
        <v>0.42</v>
      </c>
      <c r="J158" s="14">
        <v>-29.33</v>
      </c>
      <c r="K158" s="14">
        <v>-5.57</v>
      </c>
      <c r="L158" s="14">
        <v>-0.19</v>
      </c>
      <c r="M158" s="14">
        <v>0.39</v>
      </c>
      <c r="N158" s="14">
        <v>-1.18</v>
      </c>
      <c r="O158" s="14">
        <v>-13.95</v>
      </c>
      <c r="P158" s="14">
        <v>-3.17</v>
      </c>
      <c r="Q158" s="14">
        <v>1.18</v>
      </c>
      <c r="R158" s="14">
        <v>8.51</v>
      </c>
      <c r="S158" s="14">
        <v>-9.41</v>
      </c>
      <c r="T158" s="14">
        <v>-1.45</v>
      </c>
      <c r="U158" s="14">
        <v>-0.55000000000000004</v>
      </c>
      <c r="V158" s="14">
        <v>-5.12</v>
      </c>
      <c r="W158" s="14">
        <v>-6.01</v>
      </c>
      <c r="X158" s="14">
        <v>-0.84</v>
      </c>
      <c r="Y158" s="14">
        <v>-1.77</v>
      </c>
      <c r="Z158" s="14">
        <v>-100</v>
      </c>
    </row>
    <row r="159" spans="1:26">
      <c r="A159" s="268"/>
      <c r="B159" s="268" t="s">
        <v>859</v>
      </c>
      <c r="C159" s="152" t="s">
        <v>889</v>
      </c>
      <c r="D159" s="14">
        <v>3000000</v>
      </c>
      <c r="E159" s="45">
        <v>23383297</v>
      </c>
      <c r="F159" s="14">
        <v>0.51</v>
      </c>
      <c r="G159" s="14">
        <v>12.85</v>
      </c>
      <c r="H159" s="14">
        <v>-2.58</v>
      </c>
      <c r="I159" s="14">
        <v>-3.35</v>
      </c>
      <c r="J159" s="14">
        <v>-31.49</v>
      </c>
      <c r="K159" s="14">
        <v>-5.77</v>
      </c>
      <c r="L159" s="14">
        <v>-1.71</v>
      </c>
      <c r="M159" s="14">
        <v>-2.89</v>
      </c>
      <c r="N159" s="14">
        <v>-5.19</v>
      </c>
      <c r="O159" s="14">
        <v>-18.88</v>
      </c>
      <c r="P159" s="14">
        <v>-5.59</v>
      </c>
      <c r="Q159" s="14">
        <v>5.19</v>
      </c>
      <c r="R159" s="14">
        <v>5.72</v>
      </c>
      <c r="S159" s="14">
        <v>-10.119999999999999</v>
      </c>
      <c r="T159" s="14">
        <v>-6.94</v>
      </c>
      <c r="U159" s="14">
        <v>-6.9</v>
      </c>
      <c r="V159" s="14">
        <v>-5.69</v>
      </c>
      <c r="W159" s="14">
        <v>0.21</v>
      </c>
      <c r="X159" s="14">
        <v>3.51</v>
      </c>
      <c r="Y159" s="14">
        <v>-7.79</v>
      </c>
      <c r="Z159" s="14">
        <v>-100</v>
      </c>
    </row>
    <row r="160" spans="1:26">
      <c r="A160" s="268"/>
      <c r="B160" s="268" t="s">
        <v>1394</v>
      </c>
      <c r="C160" s="152" t="s">
        <v>1342</v>
      </c>
      <c r="D160" s="14">
        <v>2000000</v>
      </c>
      <c r="E160" s="45">
        <v>8967215</v>
      </c>
      <c r="F160" s="14">
        <v>0.2</v>
      </c>
      <c r="G160" s="14">
        <v>54.83</v>
      </c>
      <c r="H160" s="14">
        <v>-7.25</v>
      </c>
      <c r="I160" s="14">
        <v>-2.1</v>
      </c>
      <c r="J160" s="14">
        <v>-100</v>
      </c>
      <c r="K160" s="14">
        <v>-30.18</v>
      </c>
      <c r="L160" s="14">
        <v>-6.92</v>
      </c>
      <c r="M160" s="14">
        <v>-10.27</v>
      </c>
      <c r="N160" s="14">
        <v>-12.12</v>
      </c>
      <c r="O160" s="14">
        <v>-69.19</v>
      </c>
      <c r="P160" s="14">
        <v>-14.31</v>
      </c>
      <c r="Q160" s="14">
        <v>12.13</v>
      </c>
      <c r="R160" s="14">
        <v>21.55</v>
      </c>
      <c r="S160" s="14">
        <v>-31.1</v>
      </c>
      <c r="T160" s="14">
        <v>-15.54</v>
      </c>
      <c r="U160" s="14">
        <v>-17.09</v>
      </c>
      <c r="V160" s="14">
        <v>-32.64</v>
      </c>
      <c r="W160" s="14">
        <v>-11.21</v>
      </c>
      <c r="X160" s="14">
        <v>8.18</v>
      </c>
      <c r="Y160" s="14">
        <v>-18.190000000000001</v>
      </c>
      <c r="Z160" s="14">
        <v>-100</v>
      </c>
    </row>
    <row r="161" spans="1:26">
      <c r="A161" s="268"/>
      <c r="B161" s="268" t="s">
        <v>1395</v>
      </c>
      <c r="C161" s="152" t="s">
        <v>1226</v>
      </c>
      <c r="D161" s="14">
        <v>3700000</v>
      </c>
      <c r="E161" s="45">
        <v>27071339</v>
      </c>
      <c r="F161" s="14">
        <v>0.59</v>
      </c>
      <c r="G161" s="14">
        <v>14.87</v>
      </c>
      <c r="H161" s="14">
        <v>-2.78</v>
      </c>
      <c r="I161" s="14">
        <v>0.16</v>
      </c>
      <c r="J161" s="14">
        <v>-22.9</v>
      </c>
      <c r="K161" s="14">
        <v>-5.65</v>
      </c>
      <c r="L161" s="14">
        <v>-0.24</v>
      </c>
      <c r="M161" s="14">
        <v>-1.18</v>
      </c>
      <c r="N161" s="14">
        <v>-3.32</v>
      </c>
      <c r="O161" s="14">
        <v>-14.94</v>
      </c>
      <c r="P161" s="14">
        <v>-7.24</v>
      </c>
      <c r="Q161" s="14">
        <v>3.32</v>
      </c>
      <c r="R161" s="14">
        <v>5.83</v>
      </c>
      <c r="S161" s="14">
        <v>-13.01</v>
      </c>
      <c r="T161" s="14">
        <v>-3.96</v>
      </c>
      <c r="U161" s="14">
        <v>-2.77</v>
      </c>
      <c r="V161" s="14">
        <v>-5.75</v>
      </c>
      <c r="W161" s="14">
        <v>-3.79</v>
      </c>
      <c r="X161" s="14">
        <v>-3.82</v>
      </c>
      <c r="Y161" s="14">
        <v>-4.9800000000000004</v>
      </c>
      <c r="Z161" s="14">
        <v>-100</v>
      </c>
    </row>
    <row r="162" spans="1:26">
      <c r="A162" s="268"/>
      <c r="B162" s="268" t="s">
        <v>1396</v>
      </c>
      <c r="C162" s="152" t="s">
        <v>1344</v>
      </c>
      <c r="D162" s="14">
        <v>1000000</v>
      </c>
      <c r="E162" s="45">
        <v>7799760</v>
      </c>
      <c r="F162" s="14">
        <v>0.17</v>
      </c>
      <c r="G162" s="14">
        <v>12.02</v>
      </c>
      <c r="H162" s="14">
        <v>-2.2000000000000002</v>
      </c>
      <c r="I162" s="14">
        <v>0.12</v>
      </c>
      <c r="J162" s="14">
        <v>-17.89</v>
      </c>
      <c r="K162" s="14">
        <v>-4.54</v>
      </c>
      <c r="L162" s="14">
        <v>-0.21</v>
      </c>
      <c r="M162" s="14">
        <v>-1.1000000000000001</v>
      </c>
      <c r="N162" s="14">
        <v>-2.57</v>
      </c>
      <c r="O162" s="14">
        <v>-11.42</v>
      </c>
      <c r="P162" s="14">
        <v>-5.64</v>
      </c>
      <c r="Q162" s="14">
        <v>2.57</v>
      </c>
      <c r="R162" s="14">
        <v>4.3099999999999996</v>
      </c>
      <c r="S162" s="14">
        <v>-10.039999999999999</v>
      </c>
      <c r="T162" s="14">
        <v>-3.08</v>
      </c>
      <c r="U162" s="14">
        <v>-2.16</v>
      </c>
      <c r="V162" s="14">
        <v>-4.55</v>
      </c>
      <c r="W162" s="14">
        <v>-2.7</v>
      </c>
      <c r="X162" s="14">
        <v>-2.75</v>
      </c>
      <c r="Y162" s="14">
        <v>-3.85</v>
      </c>
      <c r="Z162" s="14">
        <v>-100</v>
      </c>
    </row>
    <row r="163" spans="1:26">
      <c r="A163" s="268"/>
      <c r="B163" s="268" t="s">
        <v>860</v>
      </c>
      <c r="C163" s="152" t="s">
        <v>105</v>
      </c>
      <c r="D163" s="14">
        <v>1500000</v>
      </c>
      <c r="E163" s="45">
        <v>11895111</v>
      </c>
      <c r="F163" s="14">
        <v>0.26</v>
      </c>
      <c r="G163" s="14">
        <v>6.01</v>
      </c>
      <c r="H163" s="14">
        <v>-1.07</v>
      </c>
      <c r="I163" s="14">
        <v>0.04</v>
      </c>
      <c r="J163" s="14">
        <v>-9.1300000000000008</v>
      </c>
      <c r="K163" s="14">
        <v>-2.21</v>
      </c>
      <c r="L163" s="14">
        <v>-0.11</v>
      </c>
      <c r="M163" s="14">
        <v>-0.66</v>
      </c>
      <c r="N163" s="14">
        <v>-1.18</v>
      </c>
      <c r="O163" s="14">
        <v>-5.39</v>
      </c>
      <c r="P163" s="14">
        <v>-2.73</v>
      </c>
      <c r="Q163" s="14">
        <v>1.18</v>
      </c>
      <c r="R163" s="14">
        <v>1.69</v>
      </c>
      <c r="S163" s="14">
        <v>-4.78</v>
      </c>
      <c r="T163" s="14">
        <v>-1.42</v>
      </c>
      <c r="U163" s="14">
        <v>-0.99</v>
      </c>
      <c r="V163" s="14">
        <v>-2.16</v>
      </c>
      <c r="W163" s="14">
        <v>-1.01</v>
      </c>
      <c r="X163" s="14">
        <v>-1.23</v>
      </c>
      <c r="Y163" s="14">
        <v>-1.77</v>
      </c>
      <c r="Z163" s="14">
        <v>-62.15</v>
      </c>
    </row>
    <row r="164" spans="1:26">
      <c r="A164" s="268"/>
      <c r="B164" s="268" t="s">
        <v>1160</v>
      </c>
      <c r="C164" s="152" t="s">
        <v>1161</v>
      </c>
      <c r="D164" s="14">
        <v>3000000</v>
      </c>
      <c r="E164" s="45">
        <v>23715201</v>
      </c>
      <c r="F164" s="14">
        <v>0.52</v>
      </c>
      <c r="G164" s="14">
        <v>7.87</v>
      </c>
      <c r="H164" s="14">
        <v>-1.4</v>
      </c>
      <c r="I164" s="14">
        <v>7.0000000000000007E-2</v>
      </c>
      <c r="J164" s="14">
        <v>-11.42</v>
      </c>
      <c r="K164" s="14">
        <v>-2.93</v>
      </c>
      <c r="L164" s="14">
        <v>-0.14000000000000001</v>
      </c>
      <c r="M164" s="14">
        <v>-0.82</v>
      </c>
      <c r="N164" s="14">
        <v>-1.57</v>
      </c>
      <c r="O164" s="14">
        <v>-7.03</v>
      </c>
      <c r="P164" s="14">
        <v>-3.58</v>
      </c>
      <c r="Q164" s="14">
        <v>1.57</v>
      </c>
      <c r="R164" s="14">
        <v>2.46</v>
      </c>
      <c r="S164" s="14">
        <v>-6.3</v>
      </c>
      <c r="T164" s="14">
        <v>-1.89</v>
      </c>
      <c r="U164" s="14">
        <v>-1.31</v>
      </c>
      <c r="V164" s="14">
        <v>-2.87</v>
      </c>
      <c r="W164" s="14">
        <v>-1.46</v>
      </c>
      <c r="X164" s="14">
        <v>-1.6</v>
      </c>
      <c r="Y164" s="14">
        <v>-2.36</v>
      </c>
      <c r="Z164" s="14">
        <v>-78.09</v>
      </c>
    </row>
    <row r="165" spans="1:26">
      <c r="A165" s="268"/>
      <c r="B165" s="268" t="s">
        <v>861</v>
      </c>
      <c r="C165" s="152" t="s">
        <v>107</v>
      </c>
      <c r="D165" s="14">
        <v>2000000</v>
      </c>
      <c r="E165" s="45">
        <v>16060771</v>
      </c>
      <c r="F165" s="14">
        <v>0.35</v>
      </c>
      <c r="G165" s="14">
        <v>2.3199999999999998</v>
      </c>
      <c r="H165" s="14">
        <v>-0.44</v>
      </c>
      <c r="I165" s="14">
        <v>-0.03</v>
      </c>
      <c r="J165" s="14">
        <v>-4.21</v>
      </c>
      <c r="K165" s="14">
        <v>-0.68</v>
      </c>
      <c r="L165" s="14">
        <v>0</v>
      </c>
      <c r="M165" s="14">
        <v>-0.2</v>
      </c>
      <c r="N165" s="14">
        <v>-0.47</v>
      </c>
      <c r="O165" s="14">
        <v>-2.73</v>
      </c>
      <c r="P165" s="14">
        <v>-1.0900000000000001</v>
      </c>
      <c r="Q165" s="14">
        <v>0.47</v>
      </c>
      <c r="R165" s="14">
        <v>0.46</v>
      </c>
      <c r="S165" s="14">
        <v>-1.85</v>
      </c>
      <c r="T165" s="14">
        <v>-0.56999999999999995</v>
      </c>
      <c r="U165" s="14">
        <v>-0.4</v>
      </c>
      <c r="V165" s="14">
        <v>-0.65</v>
      </c>
      <c r="W165" s="14">
        <v>-0.28000000000000003</v>
      </c>
      <c r="X165" s="14">
        <v>-0.38</v>
      </c>
      <c r="Y165" s="14">
        <v>-0.7</v>
      </c>
      <c r="Z165" s="14">
        <v>-22.99</v>
      </c>
    </row>
    <row r="166" spans="1:26">
      <c r="A166" s="268"/>
      <c r="B166" s="268" t="s">
        <v>862</v>
      </c>
      <c r="C166" s="152" t="s">
        <v>109</v>
      </c>
      <c r="D166" s="14">
        <v>2000000</v>
      </c>
      <c r="E166" s="45">
        <v>15934427</v>
      </c>
      <c r="F166" s="14">
        <v>0.35</v>
      </c>
      <c r="G166" s="14">
        <v>0.57999999999999996</v>
      </c>
      <c r="H166" s="14">
        <v>-0.15</v>
      </c>
      <c r="I166" s="14">
        <v>-0.01</v>
      </c>
      <c r="J166" s="14">
        <v>-2.19</v>
      </c>
      <c r="K166" s="14">
        <v>0.11</v>
      </c>
      <c r="L166" s="14">
        <v>0.08</v>
      </c>
      <c r="M166" s="14">
        <v>0.05</v>
      </c>
      <c r="N166" s="14">
        <v>-0.15</v>
      </c>
      <c r="O166" s="14">
        <v>-1.44</v>
      </c>
      <c r="P166" s="14">
        <v>-0.36</v>
      </c>
      <c r="Q166" s="14">
        <v>0.15</v>
      </c>
      <c r="R166" s="14">
        <v>0.1</v>
      </c>
      <c r="S166" s="14">
        <v>-0.6</v>
      </c>
      <c r="T166" s="14">
        <v>-0.18</v>
      </c>
      <c r="U166" s="14">
        <v>-0.13</v>
      </c>
      <c r="V166" s="14">
        <v>0.14000000000000001</v>
      </c>
      <c r="W166" s="14">
        <v>-0.08</v>
      </c>
      <c r="X166" s="14">
        <v>-0.12</v>
      </c>
      <c r="Y166" s="14">
        <v>-0.23</v>
      </c>
      <c r="Z166" s="14">
        <v>-7.35</v>
      </c>
    </row>
    <row r="167" spans="1:26">
      <c r="A167" s="268"/>
      <c r="B167" s="268" t="s">
        <v>1345</v>
      </c>
      <c r="C167" s="152" t="s">
        <v>1346</v>
      </c>
      <c r="D167" s="14">
        <v>263000</v>
      </c>
      <c r="E167" s="45">
        <v>2046828</v>
      </c>
      <c r="F167" s="14">
        <v>0.04</v>
      </c>
      <c r="G167" s="14">
        <v>10.11</v>
      </c>
      <c r="H167" s="14">
        <v>-1.83</v>
      </c>
      <c r="I167" s="14">
        <v>0.1</v>
      </c>
      <c r="J167" s="14">
        <v>-14.93</v>
      </c>
      <c r="K167" s="14">
        <v>-3.79</v>
      </c>
      <c r="L167" s="14">
        <v>-0.18</v>
      </c>
      <c r="M167" s="14">
        <v>-1</v>
      </c>
      <c r="N167" s="14">
        <v>-2.09</v>
      </c>
      <c r="O167" s="14">
        <v>-9.27</v>
      </c>
      <c r="P167" s="14">
        <v>-4.6500000000000004</v>
      </c>
      <c r="Q167" s="14">
        <v>2.09</v>
      </c>
      <c r="R167" s="14">
        <v>3.38</v>
      </c>
      <c r="S167" s="14">
        <v>-8.24</v>
      </c>
      <c r="T167" s="14">
        <v>-2.5099999999999998</v>
      </c>
      <c r="U167" s="14">
        <v>-1.76</v>
      </c>
      <c r="V167" s="14">
        <v>-3.76</v>
      </c>
      <c r="W167" s="14">
        <v>-2.06</v>
      </c>
      <c r="X167" s="14">
        <v>-2.19</v>
      </c>
      <c r="Y167" s="14">
        <v>-3.13</v>
      </c>
      <c r="Z167" s="14">
        <v>-100</v>
      </c>
    </row>
    <row r="168" spans="1:26">
      <c r="A168" s="268"/>
      <c r="B168" s="268" t="s">
        <v>1075</v>
      </c>
      <c r="C168" s="152" t="s">
        <v>1076</v>
      </c>
      <c r="D168" s="14">
        <v>3700000</v>
      </c>
      <c r="E168" s="45">
        <v>29778677</v>
      </c>
      <c r="F168" s="14">
        <v>0.65</v>
      </c>
      <c r="G168" s="14">
        <v>8.34</v>
      </c>
      <c r="H168" s="14">
        <v>-1.57</v>
      </c>
      <c r="I168" s="14">
        <v>-0.03</v>
      </c>
      <c r="J168" s="14">
        <v>-12.95</v>
      </c>
      <c r="K168" s="14">
        <v>-3.26</v>
      </c>
      <c r="L168" s="14">
        <v>-0.26</v>
      </c>
      <c r="M168" s="14">
        <v>-1.02</v>
      </c>
      <c r="N168" s="14">
        <v>-1.72</v>
      </c>
      <c r="O168" s="14">
        <v>-7.34</v>
      </c>
      <c r="P168" s="14">
        <v>-3.59</v>
      </c>
      <c r="Q168" s="14">
        <v>1.72</v>
      </c>
      <c r="R168" s="14">
        <v>2.0699999999999998</v>
      </c>
      <c r="S168" s="14">
        <v>-6.27</v>
      </c>
      <c r="T168" s="14">
        <v>-2.08</v>
      </c>
      <c r="U168" s="14">
        <v>-1.59</v>
      </c>
      <c r="V168" s="14">
        <v>-3.29</v>
      </c>
      <c r="W168" s="14">
        <v>-1.74</v>
      </c>
      <c r="X168" s="14">
        <v>-1.21</v>
      </c>
      <c r="Y168" s="14">
        <v>-2.58</v>
      </c>
      <c r="Z168" s="14">
        <v>-85.78</v>
      </c>
    </row>
    <row r="169" spans="1:26">
      <c r="A169" s="268"/>
      <c r="B169" s="268" t="s">
        <v>1086</v>
      </c>
      <c r="C169" s="152" t="s">
        <v>1078</v>
      </c>
      <c r="D169" s="14">
        <v>2500000</v>
      </c>
      <c r="E169" s="45">
        <v>19248287</v>
      </c>
      <c r="F169" s="14">
        <v>0.42</v>
      </c>
      <c r="G169" s="14">
        <v>9.8000000000000007</v>
      </c>
      <c r="H169" s="14">
        <v>-1.83</v>
      </c>
      <c r="I169" s="14">
        <v>-0.01</v>
      </c>
      <c r="J169" s="14">
        <v>-14.86</v>
      </c>
      <c r="K169" s="14">
        <v>-3.85</v>
      </c>
      <c r="L169" s="14">
        <v>-0.3</v>
      </c>
      <c r="M169" s="14">
        <v>-1.2</v>
      </c>
      <c r="N169" s="14">
        <v>-2.0099999999999998</v>
      </c>
      <c r="O169" s="14">
        <v>-8.4600000000000009</v>
      </c>
      <c r="P169" s="14">
        <v>-4.2300000000000004</v>
      </c>
      <c r="Q169" s="14">
        <v>2.0099999999999998</v>
      </c>
      <c r="R169" s="14">
        <v>2.56</v>
      </c>
      <c r="S169" s="14">
        <v>-7.4</v>
      </c>
      <c r="T169" s="14">
        <v>-2.4300000000000002</v>
      </c>
      <c r="U169" s="14">
        <v>-1.84</v>
      </c>
      <c r="V169" s="14">
        <v>-3.89</v>
      </c>
      <c r="W169" s="14">
        <v>-2.06</v>
      </c>
      <c r="X169" s="14">
        <v>-1.49</v>
      </c>
      <c r="Y169" s="14">
        <v>-3.02</v>
      </c>
      <c r="Z169" s="14">
        <v>-100</v>
      </c>
    </row>
    <row r="170" spans="1:26">
      <c r="A170" s="268"/>
      <c r="B170" s="268" t="s">
        <v>1347</v>
      </c>
      <c r="C170" s="152" t="s">
        <v>1348</v>
      </c>
      <c r="D170" s="14">
        <v>1000000</v>
      </c>
      <c r="E170" s="45">
        <v>8039703</v>
      </c>
      <c r="F170" s="14">
        <v>0.17</v>
      </c>
      <c r="G170" s="14">
        <v>0.91</v>
      </c>
      <c r="H170" s="14">
        <v>-0.22</v>
      </c>
      <c r="I170" s="14">
        <v>-0.02</v>
      </c>
      <c r="J170" s="14">
        <v>-2.87</v>
      </c>
      <c r="K170" s="14">
        <v>-0.03</v>
      </c>
      <c r="L170" s="14">
        <v>0.06</v>
      </c>
      <c r="M170" s="14">
        <v>0</v>
      </c>
      <c r="N170" s="14">
        <v>-0.23</v>
      </c>
      <c r="O170" s="14">
        <v>-1.71</v>
      </c>
      <c r="P170" s="14">
        <v>-0.48</v>
      </c>
      <c r="Q170" s="14">
        <v>0.23</v>
      </c>
      <c r="R170" s="14">
        <v>0.17</v>
      </c>
      <c r="S170" s="14">
        <v>-0.81</v>
      </c>
      <c r="T170" s="14">
        <v>-0.28999999999999998</v>
      </c>
      <c r="U170" s="14">
        <v>-0.23</v>
      </c>
      <c r="V170" s="14">
        <v>-0.01</v>
      </c>
      <c r="W170" s="14">
        <v>-0.23</v>
      </c>
      <c r="X170" s="14">
        <v>-0.13</v>
      </c>
      <c r="Y170" s="14">
        <v>-0.35</v>
      </c>
      <c r="Z170" s="14">
        <v>-11.69</v>
      </c>
    </row>
    <row r="171" spans="1:26">
      <c r="A171" s="268"/>
      <c r="B171" s="268" t="s">
        <v>1397</v>
      </c>
      <c r="C171" s="152" t="s">
        <v>1350</v>
      </c>
      <c r="D171" s="14">
        <v>2200000</v>
      </c>
      <c r="E171" s="45">
        <v>16783251</v>
      </c>
      <c r="F171" s="14">
        <v>0.37</v>
      </c>
      <c r="G171" s="14">
        <v>4.2</v>
      </c>
      <c r="H171" s="14">
        <v>-0.81</v>
      </c>
      <c r="I171" s="14">
        <v>-0.04</v>
      </c>
      <c r="J171" s="14">
        <v>-7.07</v>
      </c>
      <c r="K171" s="14">
        <v>-1.53</v>
      </c>
      <c r="L171" s="14">
        <v>-0.1</v>
      </c>
      <c r="M171" s="14">
        <v>-0.48</v>
      </c>
      <c r="N171" s="14">
        <v>-0.87</v>
      </c>
      <c r="O171" s="14">
        <v>-4.1500000000000004</v>
      </c>
      <c r="P171" s="14">
        <v>-1.85</v>
      </c>
      <c r="Q171" s="14">
        <v>0.87</v>
      </c>
      <c r="R171" s="14">
        <v>0.86</v>
      </c>
      <c r="S171" s="14">
        <v>-3.18</v>
      </c>
      <c r="T171" s="14">
        <v>-1.05</v>
      </c>
      <c r="U171" s="14">
        <v>-0.8</v>
      </c>
      <c r="V171" s="14">
        <v>-1.52</v>
      </c>
      <c r="W171" s="14">
        <v>-0.74</v>
      </c>
      <c r="X171" s="14">
        <v>-0.57999999999999996</v>
      </c>
      <c r="Y171" s="14">
        <v>-1.3</v>
      </c>
      <c r="Z171" s="14">
        <v>-43.07</v>
      </c>
    </row>
    <row r="172" spans="1:26">
      <c r="A172" s="268"/>
      <c r="B172" s="268" t="s">
        <v>1397</v>
      </c>
      <c r="C172" s="152" t="s">
        <v>1350</v>
      </c>
      <c r="D172" s="14">
        <v>12000000</v>
      </c>
      <c r="E172" s="45">
        <v>91545006</v>
      </c>
      <c r="F172" s="14">
        <v>1.99</v>
      </c>
      <c r="G172" s="14">
        <v>4.2</v>
      </c>
      <c r="H172" s="14">
        <v>-0.81</v>
      </c>
      <c r="I172" s="14">
        <v>-0.04</v>
      </c>
      <c r="J172" s="14">
        <v>-7.07</v>
      </c>
      <c r="K172" s="14">
        <v>-1.53</v>
      </c>
      <c r="L172" s="14">
        <v>-0.1</v>
      </c>
      <c r="M172" s="14">
        <v>-0.48</v>
      </c>
      <c r="N172" s="14">
        <v>-0.87</v>
      </c>
      <c r="O172" s="14">
        <v>-4.1500000000000004</v>
      </c>
      <c r="P172" s="14">
        <v>-1.85</v>
      </c>
      <c r="Q172" s="14">
        <v>0.87</v>
      </c>
      <c r="R172" s="14">
        <v>0.86</v>
      </c>
      <c r="S172" s="14">
        <v>-3.18</v>
      </c>
      <c r="T172" s="14">
        <v>-1.05</v>
      </c>
      <c r="U172" s="14">
        <v>-0.8</v>
      </c>
      <c r="V172" s="14">
        <v>-1.52</v>
      </c>
      <c r="W172" s="14">
        <v>-0.74</v>
      </c>
      <c r="X172" s="14">
        <v>-0.57999999999999996</v>
      </c>
      <c r="Y172" s="14">
        <v>-1.3</v>
      </c>
      <c r="Z172" s="14">
        <v>-43.07</v>
      </c>
    </row>
    <row r="173" spans="1:26">
      <c r="A173" s="268"/>
      <c r="B173" s="268" t="s">
        <v>1171</v>
      </c>
      <c r="C173" s="152" t="s">
        <v>1163</v>
      </c>
      <c r="D173" s="14">
        <v>3000000</v>
      </c>
      <c r="E173" s="45">
        <v>21935302</v>
      </c>
      <c r="F173" s="14">
        <v>0.48</v>
      </c>
      <c r="G173" s="14">
        <v>15.62</v>
      </c>
      <c r="H173" s="14">
        <v>-2.96</v>
      </c>
      <c r="I173" s="14">
        <v>0</v>
      </c>
      <c r="J173" s="14">
        <v>-23.9</v>
      </c>
      <c r="K173" s="14">
        <v>-6.21</v>
      </c>
      <c r="L173" s="14">
        <v>-0.48</v>
      </c>
      <c r="M173" s="14">
        <v>-1.82</v>
      </c>
      <c r="N173" s="14">
        <v>-3.32</v>
      </c>
      <c r="O173" s="14">
        <v>-13.82</v>
      </c>
      <c r="P173" s="14">
        <v>-6.81</v>
      </c>
      <c r="Q173" s="14">
        <v>3.32</v>
      </c>
      <c r="R173" s="14">
        <v>4.49</v>
      </c>
      <c r="S173" s="14">
        <v>-12.03</v>
      </c>
      <c r="T173" s="14">
        <v>-4</v>
      </c>
      <c r="U173" s="14">
        <v>-3.06</v>
      </c>
      <c r="V173" s="14">
        <v>-6.34</v>
      </c>
      <c r="W173" s="14">
        <v>-3.65</v>
      </c>
      <c r="X173" s="14">
        <v>-2.5499999999999998</v>
      </c>
      <c r="Y173" s="14">
        <v>-4.97</v>
      </c>
      <c r="Z173" s="14">
        <v>-100</v>
      </c>
    </row>
    <row r="174" spans="1:26">
      <c r="A174" s="268"/>
      <c r="B174" s="268" t="s">
        <v>1087</v>
      </c>
      <c r="C174" s="152" t="s">
        <v>1080</v>
      </c>
      <c r="D174" s="14">
        <v>2350000</v>
      </c>
      <c r="E174" s="45">
        <v>18182581</v>
      </c>
      <c r="F174" s="14">
        <v>0.4</v>
      </c>
      <c r="G174" s="14">
        <v>4.7699999999999996</v>
      </c>
      <c r="H174" s="14">
        <v>-0.91</v>
      </c>
      <c r="I174" s="14">
        <v>-0.05</v>
      </c>
      <c r="J174" s="14">
        <v>-7.92</v>
      </c>
      <c r="K174" s="14">
        <v>-1.78</v>
      </c>
      <c r="L174" s="14">
        <v>-0.13</v>
      </c>
      <c r="M174" s="14">
        <v>-0.56999999999999995</v>
      </c>
      <c r="N174" s="14">
        <v>-0.98</v>
      </c>
      <c r="O174" s="14">
        <v>-4.5599999999999996</v>
      </c>
      <c r="P174" s="14">
        <v>-2.08</v>
      </c>
      <c r="Q174" s="14">
        <v>0.98</v>
      </c>
      <c r="R174" s="14">
        <v>0.99</v>
      </c>
      <c r="S174" s="14">
        <v>-3.58</v>
      </c>
      <c r="T174" s="14">
        <v>-1.2</v>
      </c>
      <c r="U174" s="14">
        <v>-0.92</v>
      </c>
      <c r="V174" s="14">
        <v>-1.79</v>
      </c>
      <c r="W174" s="14">
        <v>-0.87</v>
      </c>
      <c r="X174" s="14">
        <v>-0.65</v>
      </c>
      <c r="Y174" s="14">
        <v>-1.48</v>
      </c>
      <c r="Z174" s="14">
        <v>-49.01</v>
      </c>
    </row>
    <row r="175" spans="1:26">
      <c r="A175" s="268"/>
      <c r="B175" s="268" t="s">
        <v>1280</v>
      </c>
      <c r="C175" s="152" t="s">
        <v>1198</v>
      </c>
      <c r="D175" s="14">
        <v>10000000</v>
      </c>
      <c r="E175" s="45">
        <v>79130345</v>
      </c>
      <c r="F175" s="14">
        <v>1.72</v>
      </c>
      <c r="G175" s="14">
        <v>32.799999999999997</v>
      </c>
      <c r="H175" s="14">
        <v>-5.56</v>
      </c>
      <c r="I175" s="14">
        <v>2.81</v>
      </c>
      <c r="J175" s="14">
        <v>-45.57</v>
      </c>
      <c r="K175" s="14">
        <v>-18.329999999999998</v>
      </c>
      <c r="L175" s="14">
        <v>-4.87</v>
      </c>
      <c r="M175" s="14">
        <v>-9.75</v>
      </c>
      <c r="N175" s="14">
        <v>-14.18</v>
      </c>
      <c r="O175" s="14">
        <v>-28.89</v>
      </c>
      <c r="P175" s="14">
        <v>-23.87</v>
      </c>
      <c r="Q175" s="14">
        <v>14.18</v>
      </c>
      <c r="R175" s="14">
        <v>20.97</v>
      </c>
      <c r="S175" s="14">
        <v>-21.09</v>
      </c>
      <c r="T175" s="14">
        <v>-17.96</v>
      </c>
      <c r="U175" s="14">
        <v>-13.49</v>
      </c>
      <c r="V175" s="14">
        <v>-24.41</v>
      </c>
      <c r="W175" s="14">
        <v>-2.62</v>
      </c>
      <c r="X175" s="14">
        <v>0.04</v>
      </c>
      <c r="Y175" s="14">
        <v>-21.26</v>
      </c>
      <c r="Z175" s="14">
        <v>-96.81</v>
      </c>
    </row>
    <row r="176" spans="1:26">
      <c r="A176" s="268"/>
      <c r="B176" s="268" t="s">
        <v>792</v>
      </c>
      <c r="C176" s="152" t="s">
        <v>890</v>
      </c>
      <c r="D176" s="14">
        <v>43000</v>
      </c>
      <c r="E176" s="45">
        <v>17931000</v>
      </c>
      <c r="F176" s="14">
        <v>0.39</v>
      </c>
      <c r="G176" s="14">
        <v>47.06</v>
      </c>
      <c r="H176" s="14">
        <v>-23.57</v>
      </c>
      <c r="I176" s="14">
        <v>-2.99</v>
      </c>
      <c r="J176" s="14">
        <v>-54.89</v>
      </c>
      <c r="K176" s="14">
        <v>-10.77</v>
      </c>
      <c r="L176" s="14">
        <v>-3.1</v>
      </c>
      <c r="M176" s="14">
        <v>-10.77</v>
      </c>
      <c r="N176" s="14">
        <v>-9.7100000000000009</v>
      </c>
      <c r="O176" s="14">
        <v>-15.62</v>
      </c>
      <c r="P176" s="14">
        <v>-8</v>
      </c>
      <c r="Q176" s="14">
        <v>9.7100000000000009</v>
      </c>
      <c r="R176" s="14">
        <v>-1.1100000000000001</v>
      </c>
      <c r="S176" s="14">
        <v>-4.74</v>
      </c>
      <c r="T176" s="14">
        <v>-11.78</v>
      </c>
      <c r="U176" s="14">
        <v>-14.73</v>
      </c>
      <c r="V176" s="14">
        <v>-10.93</v>
      </c>
      <c r="W176" s="14">
        <v>0.73</v>
      </c>
      <c r="X176" s="14">
        <v>3.66</v>
      </c>
      <c r="Y176" s="14">
        <v>-14.57</v>
      </c>
      <c r="Z176" s="14">
        <v>140.01</v>
      </c>
    </row>
    <row r="177" spans="1:26">
      <c r="A177" s="268"/>
      <c r="B177" s="268" t="s">
        <v>863</v>
      </c>
      <c r="C177" s="152" t="s">
        <v>111</v>
      </c>
      <c r="D177" s="14">
        <v>5000000</v>
      </c>
      <c r="E177" s="45">
        <v>39934737</v>
      </c>
      <c r="F177" s="14">
        <v>0.87</v>
      </c>
      <c r="G177" s="14">
        <v>3.73</v>
      </c>
      <c r="H177" s="14">
        <v>-0.67</v>
      </c>
      <c r="I177" s="14">
        <v>0.01</v>
      </c>
      <c r="J177" s="14">
        <v>-6.23</v>
      </c>
      <c r="K177" s="14">
        <v>-1.28</v>
      </c>
      <c r="L177" s="14">
        <v>-0.04</v>
      </c>
      <c r="M177" s="14">
        <v>-0.39</v>
      </c>
      <c r="N177" s="14">
        <v>-0.74</v>
      </c>
      <c r="O177" s="14">
        <v>-3.69</v>
      </c>
      <c r="P177" s="14">
        <v>-1.75</v>
      </c>
      <c r="Q177" s="14">
        <v>0.74</v>
      </c>
      <c r="R177" s="14">
        <v>0.94</v>
      </c>
      <c r="S177" s="14">
        <v>-3.02</v>
      </c>
      <c r="T177" s="14">
        <v>-0.89</v>
      </c>
      <c r="U177" s="14">
        <v>-0.62</v>
      </c>
      <c r="V177" s="14">
        <v>-1.22</v>
      </c>
      <c r="W177" s="14">
        <v>-0.51</v>
      </c>
      <c r="X177" s="14">
        <v>-0.82</v>
      </c>
      <c r="Y177" s="14">
        <v>-1.1100000000000001</v>
      </c>
      <c r="Z177" s="14">
        <v>-40.35</v>
      </c>
    </row>
    <row r="178" spans="1:26">
      <c r="A178" s="268"/>
      <c r="B178" s="268" t="s">
        <v>1353</v>
      </c>
      <c r="C178" s="152" t="s">
        <v>1354</v>
      </c>
      <c r="D178" s="14">
        <v>2000000</v>
      </c>
      <c r="E178" s="45">
        <v>16226505</v>
      </c>
      <c r="F178" s="14">
        <v>0.35</v>
      </c>
      <c r="G178" s="14">
        <v>-0.18</v>
      </c>
      <c r="H178" s="14">
        <v>-0.05</v>
      </c>
      <c r="I178" s="14">
        <v>-0.01</v>
      </c>
      <c r="J178" s="14">
        <v>-4.28</v>
      </c>
      <c r="K178" s="14">
        <v>0.37</v>
      </c>
      <c r="L178" s="14">
        <v>0.1</v>
      </c>
      <c r="M178" s="14">
        <v>0.04</v>
      </c>
      <c r="N178" s="14">
        <v>-0.03</v>
      </c>
      <c r="O178" s="14">
        <v>-0.91</v>
      </c>
      <c r="P178" s="14">
        <v>-0.17</v>
      </c>
      <c r="Q178" s="14">
        <v>0.01</v>
      </c>
      <c r="R178" s="14">
        <v>-0.42</v>
      </c>
      <c r="S178" s="14">
        <v>-0.47</v>
      </c>
      <c r="T178" s="14">
        <v>-0.05</v>
      </c>
      <c r="U178" s="14">
        <v>-0.13</v>
      </c>
      <c r="V178" s="14">
        <v>0.35</v>
      </c>
      <c r="W178" s="14">
        <v>-0.09</v>
      </c>
      <c r="X178" s="14">
        <v>-0.67</v>
      </c>
      <c r="Y178" s="14">
        <v>-0.05</v>
      </c>
      <c r="Z178" s="14">
        <v>-37.39</v>
      </c>
    </row>
    <row r="179" spans="1:26">
      <c r="A179" s="268"/>
      <c r="B179" s="268" t="s">
        <v>1954</v>
      </c>
      <c r="C179" s="152" t="s">
        <v>1955</v>
      </c>
      <c r="D179" s="14">
        <v>1300000</v>
      </c>
      <c r="E179" s="45">
        <v>9463782</v>
      </c>
      <c r="F179" s="14">
        <v>0.21</v>
      </c>
      <c r="G179" s="14">
        <v>9.77</v>
      </c>
      <c r="H179" s="14">
        <v>-1.67</v>
      </c>
      <c r="I179" s="14">
        <v>0.12</v>
      </c>
      <c r="J179" s="14">
        <v>-19.82</v>
      </c>
      <c r="K179" s="14">
        <v>-4.97</v>
      </c>
      <c r="L179" s="14">
        <v>0.01</v>
      </c>
      <c r="M179" s="14">
        <v>-1.07</v>
      </c>
      <c r="N179" s="14">
        <v>-1.79</v>
      </c>
      <c r="O179" s="14">
        <v>-11.77</v>
      </c>
      <c r="P179" s="14">
        <v>-2.8</v>
      </c>
      <c r="Q179" s="14">
        <v>1.79</v>
      </c>
      <c r="R179" s="14">
        <v>1.66</v>
      </c>
      <c r="S179" s="14">
        <v>-4.88</v>
      </c>
      <c r="T179" s="14">
        <v>-2.21</v>
      </c>
      <c r="U179" s="14">
        <v>-1.66</v>
      </c>
      <c r="V179" s="14">
        <v>-5.43</v>
      </c>
      <c r="W179" s="14">
        <v>-0.94</v>
      </c>
      <c r="X179" s="14">
        <v>-0.76</v>
      </c>
      <c r="Y179" s="14">
        <v>-2.68</v>
      </c>
      <c r="Z179" s="14">
        <v>-71.55</v>
      </c>
    </row>
    <row r="180" spans="1:26">
      <c r="A180" s="268"/>
      <c r="B180" s="268" t="s">
        <v>864</v>
      </c>
      <c r="C180" s="152"/>
      <c r="D180" s="14">
        <v>3561779.65</v>
      </c>
      <c r="E180" s="45">
        <v>27611628</v>
      </c>
      <c r="F180" s="14">
        <v>0.6</v>
      </c>
      <c r="G180" s="14">
        <v>-0.26</v>
      </c>
      <c r="H180" s="14">
        <v>-0.01</v>
      </c>
      <c r="I180" s="14">
        <v>0</v>
      </c>
      <c r="J180" s="14">
        <v>-1.27</v>
      </c>
      <c r="K180" s="14">
        <v>0.5</v>
      </c>
      <c r="L180" s="14">
        <v>0.12</v>
      </c>
      <c r="M180" s="14">
        <v>0.17</v>
      </c>
      <c r="N180" s="14">
        <v>0</v>
      </c>
      <c r="O180" s="14">
        <v>-0.76</v>
      </c>
      <c r="P180" s="14">
        <v>0</v>
      </c>
      <c r="Q180" s="14">
        <v>0</v>
      </c>
      <c r="R180" s="14">
        <v>-0.05</v>
      </c>
      <c r="S180" s="14">
        <v>0</v>
      </c>
      <c r="T180" s="14">
        <v>0</v>
      </c>
      <c r="U180" s="14">
        <v>0</v>
      </c>
      <c r="V180" s="14">
        <v>0.53</v>
      </c>
      <c r="W180" s="14">
        <v>-0.01</v>
      </c>
      <c r="X180" s="14">
        <v>0</v>
      </c>
      <c r="Y180" s="14">
        <v>0</v>
      </c>
      <c r="Z180" s="14">
        <v>0</v>
      </c>
    </row>
    <row r="181" spans="1:26">
      <c r="A181" s="268"/>
      <c r="B181" s="268" t="s">
        <v>864</v>
      </c>
      <c r="C181" s="152"/>
      <c r="D181" s="14">
        <v>1865829.56</v>
      </c>
      <c r="E181" s="45">
        <v>14464284</v>
      </c>
      <c r="F181" s="14">
        <v>0.31</v>
      </c>
      <c r="G181" s="14">
        <v>-0.26</v>
      </c>
      <c r="H181" s="14">
        <v>-0.01</v>
      </c>
      <c r="I181" s="14">
        <v>0</v>
      </c>
      <c r="J181" s="14">
        <v>-1.27</v>
      </c>
      <c r="K181" s="14">
        <v>0.5</v>
      </c>
      <c r="L181" s="14">
        <v>0.12</v>
      </c>
      <c r="M181" s="14">
        <v>0.17</v>
      </c>
      <c r="N181" s="14">
        <v>0</v>
      </c>
      <c r="O181" s="14">
        <v>-0.76</v>
      </c>
      <c r="P181" s="14">
        <v>0</v>
      </c>
      <c r="Q181" s="14">
        <v>0</v>
      </c>
      <c r="R181" s="14">
        <v>-0.05</v>
      </c>
      <c r="S181" s="14">
        <v>0</v>
      </c>
      <c r="T181" s="14">
        <v>0</v>
      </c>
      <c r="U181" s="14">
        <v>0</v>
      </c>
      <c r="V181" s="14">
        <v>0.53</v>
      </c>
      <c r="W181" s="14">
        <v>-0.01</v>
      </c>
      <c r="X181" s="14">
        <v>0</v>
      </c>
      <c r="Y181" s="14">
        <v>0</v>
      </c>
      <c r="Z181" s="14">
        <v>0</v>
      </c>
    </row>
    <row r="182" spans="1:26">
      <c r="A182" s="268"/>
      <c r="B182" s="268" t="s">
        <v>864</v>
      </c>
      <c r="C182" s="152"/>
      <c r="D182" s="14">
        <v>1502460.72</v>
      </c>
      <c r="E182" s="45">
        <v>11647376</v>
      </c>
      <c r="F182" s="14">
        <v>0.25</v>
      </c>
      <c r="G182" s="14">
        <v>-0.26</v>
      </c>
      <c r="H182" s="14">
        <v>-0.01</v>
      </c>
      <c r="I182" s="14">
        <v>0</v>
      </c>
      <c r="J182" s="14">
        <v>-1.27</v>
      </c>
      <c r="K182" s="14">
        <v>0.5</v>
      </c>
      <c r="L182" s="14">
        <v>0.12</v>
      </c>
      <c r="M182" s="14">
        <v>0.17</v>
      </c>
      <c r="N182" s="14">
        <v>0</v>
      </c>
      <c r="O182" s="14">
        <v>-0.76</v>
      </c>
      <c r="P182" s="14">
        <v>0</v>
      </c>
      <c r="Q182" s="14">
        <v>0</v>
      </c>
      <c r="R182" s="14">
        <v>-0.05</v>
      </c>
      <c r="S182" s="14">
        <v>0</v>
      </c>
      <c r="T182" s="14">
        <v>0</v>
      </c>
      <c r="U182" s="14">
        <v>0</v>
      </c>
      <c r="V182" s="14">
        <v>0.53</v>
      </c>
      <c r="W182" s="14">
        <v>-0.01</v>
      </c>
      <c r="X182" s="14">
        <v>0</v>
      </c>
      <c r="Y182" s="14">
        <v>0</v>
      </c>
      <c r="Z182" s="14">
        <v>0</v>
      </c>
    </row>
    <row r="183" spans="1:26">
      <c r="A183" s="268"/>
      <c r="B183" s="268" t="s">
        <v>865</v>
      </c>
      <c r="C183" s="152" t="s">
        <v>768</v>
      </c>
      <c r="D183" s="14">
        <v>5500000</v>
      </c>
      <c r="E183" s="45">
        <v>39611145</v>
      </c>
      <c r="F183" s="14">
        <v>0.86</v>
      </c>
      <c r="G183" s="14">
        <v>9.52</v>
      </c>
      <c r="H183" s="14">
        <v>-1.65</v>
      </c>
      <c r="I183" s="14">
        <v>0.09</v>
      </c>
      <c r="J183" s="14">
        <v>-19.62</v>
      </c>
      <c r="K183" s="14">
        <v>-4.87</v>
      </c>
      <c r="L183" s="14">
        <v>-0.01</v>
      </c>
      <c r="M183" s="14">
        <v>-1.08</v>
      </c>
      <c r="N183" s="14">
        <v>-1.76</v>
      </c>
      <c r="O183" s="14">
        <v>-11.52</v>
      </c>
      <c r="P183" s="14">
        <v>-2.69</v>
      </c>
      <c r="Q183" s="14">
        <v>1.76</v>
      </c>
      <c r="R183" s="14">
        <v>1.47</v>
      </c>
      <c r="S183" s="14">
        <v>-4.67</v>
      </c>
      <c r="T183" s="14">
        <v>-2.1800000000000002</v>
      </c>
      <c r="U183" s="14">
        <v>-1.68</v>
      </c>
      <c r="V183" s="14">
        <v>-5.34</v>
      </c>
      <c r="W183" s="14">
        <v>-0.95</v>
      </c>
      <c r="X183" s="14">
        <v>-0.64</v>
      </c>
      <c r="Y183" s="14">
        <v>-2.64</v>
      </c>
      <c r="Z183" s="14">
        <v>-70.8</v>
      </c>
    </row>
    <row r="184" spans="1:26">
      <c r="A184" s="268"/>
      <c r="B184" s="268" t="s">
        <v>1398</v>
      </c>
      <c r="C184" s="152" t="s">
        <v>1356</v>
      </c>
      <c r="D184" s="14">
        <v>2000000</v>
      </c>
      <c r="E184" s="45">
        <v>15912364</v>
      </c>
      <c r="F184" s="14">
        <v>0.35</v>
      </c>
      <c r="G184" s="14">
        <v>4.45</v>
      </c>
      <c r="H184" s="14">
        <v>-0.5</v>
      </c>
      <c r="I184" s="14">
        <v>0.45</v>
      </c>
      <c r="J184" s="14">
        <v>-7.75</v>
      </c>
      <c r="K184" s="14">
        <v>-1.68</v>
      </c>
      <c r="L184" s="14">
        <v>0.54</v>
      </c>
      <c r="M184" s="14">
        <v>0.45</v>
      </c>
      <c r="N184" s="14">
        <v>-0.77</v>
      </c>
      <c r="O184" s="14">
        <v>-7.88</v>
      </c>
      <c r="P184" s="14">
        <v>-2.25</v>
      </c>
      <c r="Q184" s="14">
        <v>0.77</v>
      </c>
      <c r="R184" s="14">
        <v>3.21</v>
      </c>
      <c r="S184" s="14">
        <v>-4.26</v>
      </c>
      <c r="T184" s="14">
        <v>-0.89</v>
      </c>
      <c r="U184" s="14">
        <v>-0.06</v>
      </c>
      <c r="V184" s="14">
        <v>-1.67</v>
      </c>
      <c r="W184" s="14">
        <v>0.05</v>
      </c>
      <c r="X184" s="14">
        <v>-2.58</v>
      </c>
      <c r="Y184" s="14">
        <v>-1.1599999999999999</v>
      </c>
      <c r="Z184" s="14">
        <v>-21.83</v>
      </c>
    </row>
    <row r="185" spans="1:26">
      <c r="A185" s="268"/>
      <c r="B185" s="268" t="s">
        <v>1973</v>
      </c>
      <c r="C185" s="152" t="s">
        <v>1957</v>
      </c>
      <c r="D185" s="14">
        <v>2000000</v>
      </c>
      <c r="E185" s="45">
        <v>15332766</v>
      </c>
      <c r="F185" s="14">
        <v>0.33</v>
      </c>
      <c r="G185" s="14">
        <v>3.16</v>
      </c>
      <c r="H185" s="14">
        <v>-0.54</v>
      </c>
      <c r="I185" s="14">
        <v>0.97</v>
      </c>
      <c r="J185" s="14">
        <v>-4.96</v>
      </c>
      <c r="K185" s="14">
        <v>-0.23</v>
      </c>
      <c r="L185" s="14">
        <v>0.22</v>
      </c>
      <c r="M185" s="14">
        <v>3.14</v>
      </c>
      <c r="N185" s="14">
        <v>-0.62</v>
      </c>
      <c r="O185" s="14">
        <v>-12.29</v>
      </c>
      <c r="P185" s="14">
        <v>-4.6399999999999997</v>
      </c>
      <c r="Q185" s="14">
        <v>0.62</v>
      </c>
      <c r="R185" s="14">
        <v>6.73</v>
      </c>
      <c r="S185" s="14">
        <v>-9.2100000000000009</v>
      </c>
      <c r="T185" s="14">
        <v>-0.41</v>
      </c>
      <c r="U185" s="14">
        <v>1.44</v>
      </c>
      <c r="V185" s="14">
        <v>0.98</v>
      </c>
      <c r="W185" s="14">
        <v>-2.19</v>
      </c>
      <c r="X185" s="14">
        <v>-7.21</v>
      </c>
      <c r="Y185" s="14">
        <v>-0.93</v>
      </c>
      <c r="Z185" s="14">
        <v>-31.81</v>
      </c>
    </row>
    <row r="186" spans="1:26">
      <c r="A186" s="268"/>
      <c r="B186" s="268" t="s">
        <v>1289</v>
      </c>
      <c r="C186" s="152" t="s">
        <v>1399</v>
      </c>
      <c r="D186" s="14">
        <v>25000</v>
      </c>
      <c r="E186" s="45">
        <v>3025000</v>
      </c>
      <c r="F186" s="14">
        <v>7.0000000000000007E-2</v>
      </c>
      <c r="G186" s="14">
        <v>39.590000000000003</v>
      </c>
      <c r="H186" s="14">
        <v>-28.59</v>
      </c>
      <c r="I186" s="14">
        <v>-3.28</v>
      </c>
      <c r="J186" s="14">
        <v>-47.28</v>
      </c>
      <c r="K186" s="14">
        <v>-14.85</v>
      </c>
      <c r="L186" s="14">
        <v>-1.63</v>
      </c>
      <c r="M186" s="14">
        <v>-10.19</v>
      </c>
      <c r="N186" s="14">
        <v>-7.88</v>
      </c>
      <c r="O186" s="14">
        <v>-17.600000000000001</v>
      </c>
      <c r="P186" s="14">
        <v>-8.65</v>
      </c>
      <c r="Q186" s="14">
        <v>7.88</v>
      </c>
      <c r="R186" s="14">
        <v>4.92</v>
      </c>
      <c r="S186" s="14">
        <v>-10.4</v>
      </c>
      <c r="T186" s="14">
        <v>-9.89</v>
      </c>
      <c r="U186" s="14">
        <v>-8.75</v>
      </c>
      <c r="V186" s="14">
        <v>-12.12</v>
      </c>
      <c r="W186" s="14">
        <v>-2.42</v>
      </c>
      <c r="X186" s="14">
        <v>-2.48</v>
      </c>
      <c r="Y186" s="14">
        <v>-11.82</v>
      </c>
      <c r="Z186" s="14">
        <v>98.29</v>
      </c>
    </row>
    <row r="187" spans="1:26">
      <c r="A187" s="268"/>
      <c r="B187" s="268" t="s">
        <v>866</v>
      </c>
      <c r="C187" s="152" t="s">
        <v>770</v>
      </c>
      <c r="D187" s="14">
        <v>2500000</v>
      </c>
      <c r="E187" s="45">
        <v>19642524</v>
      </c>
      <c r="F187" s="14">
        <v>0.43</v>
      </c>
      <c r="G187" s="14">
        <v>3.76</v>
      </c>
      <c r="H187" s="14">
        <v>-0.49</v>
      </c>
      <c r="I187" s="14">
        <v>0.19</v>
      </c>
      <c r="J187" s="14">
        <v>-6.26</v>
      </c>
      <c r="K187" s="14">
        <v>-1.56</v>
      </c>
      <c r="L187" s="14">
        <v>0.18</v>
      </c>
      <c r="M187" s="14">
        <v>-0.18</v>
      </c>
      <c r="N187" s="14">
        <v>-0.54</v>
      </c>
      <c r="O187" s="14">
        <v>-4.66</v>
      </c>
      <c r="P187" s="14">
        <v>-1.39</v>
      </c>
      <c r="Q187" s="14">
        <v>0.54</v>
      </c>
      <c r="R187" s="14">
        <v>1.22</v>
      </c>
      <c r="S187" s="14">
        <v>-2.4500000000000002</v>
      </c>
      <c r="T187" s="14">
        <v>-0.65</v>
      </c>
      <c r="U187" s="14">
        <v>-0.24</v>
      </c>
      <c r="V187" s="14">
        <v>-1.54</v>
      </c>
      <c r="W187" s="14">
        <v>0.18</v>
      </c>
      <c r="X187" s="14">
        <v>-0.96</v>
      </c>
      <c r="Y187" s="14">
        <v>-0.82</v>
      </c>
      <c r="Z187" s="14">
        <v>-19.420000000000002</v>
      </c>
    </row>
    <row r="188" spans="1:26">
      <c r="A188" s="268"/>
      <c r="B188" s="268" t="s">
        <v>867</v>
      </c>
      <c r="C188" s="152" t="s">
        <v>113</v>
      </c>
      <c r="D188" s="14">
        <v>2000000</v>
      </c>
      <c r="E188" s="45">
        <v>15757178</v>
      </c>
      <c r="F188" s="14">
        <v>0.34</v>
      </c>
      <c r="G188" s="14">
        <v>1.54</v>
      </c>
      <c r="H188" s="14">
        <v>-0.27</v>
      </c>
      <c r="I188" s="14">
        <v>0</v>
      </c>
      <c r="J188" s="14">
        <v>-3.87</v>
      </c>
      <c r="K188" s="14">
        <v>-0.5</v>
      </c>
      <c r="L188" s="14">
        <v>0.09</v>
      </c>
      <c r="M188" s="14">
        <v>-7.0000000000000007E-2</v>
      </c>
      <c r="N188" s="14">
        <v>-0.28000000000000003</v>
      </c>
      <c r="O188" s="14">
        <v>-2.68</v>
      </c>
      <c r="P188" s="14">
        <v>-0.56000000000000005</v>
      </c>
      <c r="Q188" s="14">
        <v>0.28000000000000003</v>
      </c>
      <c r="R188" s="14">
        <v>0.16</v>
      </c>
      <c r="S188" s="14">
        <v>-0.92</v>
      </c>
      <c r="T188" s="14">
        <v>-0.34</v>
      </c>
      <c r="U188" s="14">
        <v>-0.22</v>
      </c>
      <c r="V188" s="14">
        <v>-0.52</v>
      </c>
      <c r="W188" s="14">
        <v>0.05</v>
      </c>
      <c r="X188" s="14">
        <v>-0.18</v>
      </c>
      <c r="Y188" s="14">
        <v>-0.42</v>
      </c>
      <c r="Z188" s="14">
        <v>-10.62</v>
      </c>
    </row>
    <row r="189" spans="1:26">
      <c r="A189" s="268"/>
      <c r="B189" s="268" t="s">
        <v>1400</v>
      </c>
      <c r="C189" s="152" t="s">
        <v>1358</v>
      </c>
      <c r="D189" s="14">
        <v>500000</v>
      </c>
      <c r="E189" s="45">
        <v>3799915</v>
      </c>
      <c r="F189" s="14">
        <v>0.08</v>
      </c>
      <c r="G189" s="14">
        <v>5.05</v>
      </c>
      <c r="H189" s="14">
        <v>-0.86</v>
      </c>
      <c r="I189" s="14">
        <v>0.48</v>
      </c>
      <c r="J189" s="14">
        <v>-13.55</v>
      </c>
      <c r="K189" s="14">
        <v>-2.0299999999999998</v>
      </c>
      <c r="L189" s="14">
        <v>-0.33</v>
      </c>
      <c r="M189" s="14">
        <v>-0.45</v>
      </c>
      <c r="N189" s="14">
        <v>-1.59</v>
      </c>
      <c r="O189" s="14">
        <v>-6.06</v>
      </c>
      <c r="P189" s="14">
        <v>-3.26</v>
      </c>
      <c r="Q189" s="14">
        <v>1.59</v>
      </c>
      <c r="R189" s="14">
        <v>5.0999999999999996</v>
      </c>
      <c r="S189" s="14">
        <v>-5.81</v>
      </c>
      <c r="T189" s="14">
        <v>-1.97</v>
      </c>
      <c r="U189" s="14">
        <v>-1.01</v>
      </c>
      <c r="V189" s="14">
        <v>-1.23</v>
      </c>
      <c r="W189" s="14">
        <v>-1.83</v>
      </c>
      <c r="X189" s="14">
        <v>-1.7</v>
      </c>
      <c r="Y189" s="14">
        <v>-2.39</v>
      </c>
      <c r="Z189" s="14">
        <v>-68.209999999999994</v>
      </c>
    </row>
    <row r="190" spans="1:26">
      <c r="A190" s="268"/>
      <c r="B190" s="268" t="s">
        <v>1359</v>
      </c>
      <c r="C190" s="152" t="s">
        <v>1360</v>
      </c>
      <c r="D190" s="14">
        <v>3000000</v>
      </c>
      <c r="E190" s="45">
        <v>22545620</v>
      </c>
      <c r="F190" s="14">
        <v>0.49</v>
      </c>
      <c r="G190" s="14">
        <v>6.26</v>
      </c>
      <c r="H190" s="14">
        <v>-1.1200000000000001</v>
      </c>
      <c r="I190" s="14">
        <v>0.61</v>
      </c>
      <c r="J190" s="14">
        <v>-17.899999999999999</v>
      </c>
      <c r="K190" s="14">
        <v>-2.62</v>
      </c>
      <c r="L190" s="14">
        <v>-0.45</v>
      </c>
      <c r="M190" s="14">
        <v>-0.49</v>
      </c>
      <c r="N190" s="14">
        <v>-2.15</v>
      </c>
      <c r="O190" s="14">
        <v>-8.08</v>
      </c>
      <c r="P190" s="14">
        <v>-4.22</v>
      </c>
      <c r="Q190" s="14">
        <v>2.15</v>
      </c>
      <c r="R190" s="14">
        <v>6.82</v>
      </c>
      <c r="S190" s="14">
        <v>-7.57</v>
      </c>
      <c r="T190" s="14">
        <v>-2.65</v>
      </c>
      <c r="U190" s="14">
        <v>-1.4</v>
      </c>
      <c r="V190" s="14">
        <v>-1.66</v>
      </c>
      <c r="W190" s="14">
        <v>-2.72</v>
      </c>
      <c r="X190" s="14">
        <v>-2.27</v>
      </c>
      <c r="Y190" s="14">
        <v>-3.22</v>
      </c>
      <c r="Z190" s="14">
        <v>-89.6</v>
      </c>
    </row>
    <row r="191" spans="1:26">
      <c r="A191" s="268"/>
      <c r="B191" s="268" t="s">
        <v>1281</v>
      </c>
      <c r="C191" s="152" t="s">
        <v>1228</v>
      </c>
      <c r="D191" s="14">
        <v>1800000</v>
      </c>
      <c r="E191" s="45">
        <v>14021282</v>
      </c>
      <c r="F191" s="14">
        <v>0.31</v>
      </c>
      <c r="G191" s="14">
        <v>2.96</v>
      </c>
      <c r="H191" s="14">
        <v>-0.55000000000000004</v>
      </c>
      <c r="I191" s="14">
        <v>-0.02</v>
      </c>
      <c r="J191" s="14">
        <v>-5</v>
      </c>
      <c r="K191" s="14">
        <v>-0.98</v>
      </c>
      <c r="L191" s="14">
        <v>-0.03</v>
      </c>
      <c r="M191" s="14">
        <v>-0.28999999999999998</v>
      </c>
      <c r="N191" s="14">
        <v>-0.59</v>
      </c>
      <c r="O191" s="14">
        <v>-3.15</v>
      </c>
      <c r="P191" s="14">
        <v>-1.36</v>
      </c>
      <c r="Q191" s="14">
        <v>0.59</v>
      </c>
      <c r="R191" s="14">
        <v>0.61</v>
      </c>
      <c r="S191" s="14">
        <v>-2.3199999999999998</v>
      </c>
      <c r="T191" s="14">
        <v>-0.71</v>
      </c>
      <c r="U191" s="14">
        <v>-0.5</v>
      </c>
      <c r="V191" s="14">
        <v>-0.94</v>
      </c>
      <c r="W191" s="14">
        <v>-0.38</v>
      </c>
      <c r="X191" s="14">
        <v>-0.49</v>
      </c>
      <c r="Y191" s="14">
        <v>-0.88</v>
      </c>
      <c r="Z191" s="14">
        <v>-28.82</v>
      </c>
    </row>
    <row r="192" spans="1:26">
      <c r="A192" s="268"/>
      <c r="B192" s="268" t="s">
        <v>1401</v>
      </c>
      <c r="C192" s="152" t="s">
        <v>1362</v>
      </c>
      <c r="D192" s="14">
        <v>1000000</v>
      </c>
      <c r="E192" s="45">
        <v>6519794</v>
      </c>
      <c r="F192" s="14">
        <v>0.14000000000000001</v>
      </c>
      <c r="G192" s="14">
        <v>23.65</v>
      </c>
      <c r="H192" s="14">
        <v>-4.6100000000000003</v>
      </c>
      <c r="I192" s="14">
        <v>0.04</v>
      </c>
      <c r="J192" s="14">
        <v>-37.659999999999997</v>
      </c>
      <c r="K192" s="14">
        <v>-9.4600000000000009</v>
      </c>
      <c r="L192" s="14">
        <v>-0.68</v>
      </c>
      <c r="M192" s="14">
        <v>-2.27</v>
      </c>
      <c r="N192" s="14">
        <v>-5.4</v>
      </c>
      <c r="O192" s="14">
        <v>-22.92</v>
      </c>
      <c r="P192" s="14">
        <v>-11.01</v>
      </c>
      <c r="Q192" s="14">
        <v>5.4</v>
      </c>
      <c r="R192" s="14">
        <v>8.0399999999999991</v>
      </c>
      <c r="S192" s="14">
        <v>-19.649999999999999</v>
      </c>
      <c r="T192" s="14">
        <v>-6.47</v>
      </c>
      <c r="U192" s="14">
        <v>-4.87</v>
      </c>
      <c r="V192" s="14">
        <v>-9.83</v>
      </c>
      <c r="W192" s="14">
        <v>-6.52</v>
      </c>
      <c r="X192" s="14">
        <v>-4.97</v>
      </c>
      <c r="Y192" s="14">
        <v>-8.09</v>
      </c>
      <c r="Z192" s="14">
        <v>-100</v>
      </c>
    </row>
    <row r="193" spans="1:26">
      <c r="A193" s="268"/>
      <c r="B193" s="268" t="s">
        <v>1363</v>
      </c>
      <c r="C193" s="152" t="s">
        <v>1364</v>
      </c>
      <c r="D193" s="14">
        <v>5500000</v>
      </c>
      <c r="E193" s="45">
        <v>37222662</v>
      </c>
      <c r="F193" s="14">
        <v>0.81</v>
      </c>
      <c r="G193" s="14">
        <v>20.8</v>
      </c>
      <c r="H193" s="14">
        <v>-4</v>
      </c>
      <c r="I193" s="14">
        <v>0.04</v>
      </c>
      <c r="J193" s="14">
        <v>-32.72</v>
      </c>
      <c r="K193" s="14">
        <v>-8.27</v>
      </c>
      <c r="L193" s="14">
        <v>-0.56999999999999995</v>
      </c>
      <c r="M193" s="14">
        <v>-2.09</v>
      </c>
      <c r="N193" s="14">
        <v>-4.66</v>
      </c>
      <c r="O193" s="14">
        <v>-19.850000000000001</v>
      </c>
      <c r="P193" s="14">
        <v>-9.5500000000000007</v>
      </c>
      <c r="Q193" s="14">
        <v>4.66</v>
      </c>
      <c r="R193" s="14">
        <v>6.97</v>
      </c>
      <c r="S193" s="14">
        <v>-17.059999999999999</v>
      </c>
      <c r="T193" s="14">
        <v>-5.59</v>
      </c>
      <c r="U193" s="14">
        <v>-4.2</v>
      </c>
      <c r="V193" s="14">
        <v>-8.56</v>
      </c>
      <c r="W193" s="14">
        <v>-5.53</v>
      </c>
      <c r="X193" s="14">
        <v>-4.1900000000000004</v>
      </c>
      <c r="Y193" s="14">
        <v>-6.98</v>
      </c>
      <c r="Z193" s="14">
        <v>-100</v>
      </c>
    </row>
    <row r="194" spans="1:26">
      <c r="A194" s="268"/>
      <c r="B194" s="268" t="s">
        <v>1282</v>
      </c>
      <c r="C194" s="152" t="s">
        <v>1230</v>
      </c>
      <c r="D194" s="14">
        <v>4000000</v>
      </c>
      <c r="E194" s="45">
        <v>31842601</v>
      </c>
      <c r="F194" s="14">
        <v>0.69</v>
      </c>
      <c r="G194" s="14">
        <v>6.77</v>
      </c>
      <c r="H194" s="14">
        <v>-1.22</v>
      </c>
      <c r="I194" s="14">
        <v>0.03</v>
      </c>
      <c r="J194" s="14">
        <v>-10.039999999999999</v>
      </c>
      <c r="K194" s="14">
        <v>-2.54</v>
      </c>
      <c r="L194" s="14">
        <v>-0.15</v>
      </c>
      <c r="M194" s="14">
        <v>-0.75</v>
      </c>
      <c r="N194" s="14">
        <v>-1.35</v>
      </c>
      <c r="O194" s="14">
        <v>-5.99</v>
      </c>
      <c r="P194" s="14">
        <v>-3.02</v>
      </c>
      <c r="Q194" s="14">
        <v>1.35</v>
      </c>
      <c r="R194" s="14">
        <v>1.89</v>
      </c>
      <c r="S194" s="14">
        <v>-5.28</v>
      </c>
      <c r="T194" s="14">
        <v>-1.62</v>
      </c>
      <c r="U194" s="14">
        <v>-1.1499999999999999</v>
      </c>
      <c r="V194" s="14">
        <v>-2.5</v>
      </c>
      <c r="W194" s="14">
        <v>-1.22</v>
      </c>
      <c r="X194" s="14">
        <v>-1.22</v>
      </c>
      <c r="Y194" s="14">
        <v>-2.02</v>
      </c>
      <c r="Z194" s="14">
        <v>-66.81</v>
      </c>
    </row>
    <row r="195" spans="1:26">
      <c r="A195" s="268"/>
      <c r="B195" s="268" t="s">
        <v>868</v>
      </c>
      <c r="C195" s="152" t="s">
        <v>795</v>
      </c>
      <c r="D195" s="14">
        <v>5000000</v>
      </c>
      <c r="E195" s="45">
        <v>39474978</v>
      </c>
      <c r="F195" s="14">
        <v>0.86</v>
      </c>
      <c r="G195" s="14">
        <v>4.47</v>
      </c>
      <c r="H195" s="14">
        <v>-0.69</v>
      </c>
      <c r="I195" s="14">
        <v>0.13</v>
      </c>
      <c r="J195" s="14">
        <v>-5.63</v>
      </c>
      <c r="K195" s="14">
        <v>-1.44</v>
      </c>
      <c r="L195" s="14">
        <v>0.04</v>
      </c>
      <c r="M195" s="14">
        <v>-0.32</v>
      </c>
      <c r="N195" s="14">
        <v>-0.79</v>
      </c>
      <c r="O195" s="14">
        <v>-4.08</v>
      </c>
      <c r="P195" s="14">
        <v>-2.21</v>
      </c>
      <c r="Q195" s="14">
        <v>0.79</v>
      </c>
      <c r="R195" s="14">
        <v>1.74</v>
      </c>
      <c r="S195" s="14">
        <v>-3.9</v>
      </c>
      <c r="T195" s="14">
        <v>-0.93</v>
      </c>
      <c r="U195" s="14">
        <v>-0.47</v>
      </c>
      <c r="V195" s="14">
        <v>-1.28</v>
      </c>
      <c r="W195" s="14">
        <v>-0.45</v>
      </c>
      <c r="X195" s="14">
        <v>-1.31</v>
      </c>
      <c r="Y195" s="14">
        <v>-1.19</v>
      </c>
      <c r="Z195" s="14">
        <v>-38.35</v>
      </c>
    </row>
    <row r="196" spans="1:26">
      <c r="A196" s="268"/>
      <c r="B196" s="268" t="s">
        <v>1402</v>
      </c>
      <c r="C196" s="152" t="s">
        <v>1366</v>
      </c>
      <c r="D196" s="14">
        <v>1300000</v>
      </c>
      <c r="E196" s="45">
        <v>9396026</v>
      </c>
      <c r="F196" s="14">
        <v>0.2</v>
      </c>
      <c r="G196" s="14">
        <v>35.950000000000003</v>
      </c>
      <c r="H196" s="14">
        <v>-7.42</v>
      </c>
      <c r="I196" s="14">
        <v>-0.63</v>
      </c>
      <c r="J196" s="14">
        <v>-58.76</v>
      </c>
      <c r="K196" s="14">
        <v>-15.65</v>
      </c>
      <c r="L196" s="14">
        <v>-1.96</v>
      </c>
      <c r="M196" s="14">
        <v>-5.22</v>
      </c>
      <c r="N196" s="14">
        <v>-8.09</v>
      </c>
      <c r="O196" s="14">
        <v>-29.87</v>
      </c>
      <c r="P196" s="14">
        <v>-14.62</v>
      </c>
      <c r="Q196" s="14">
        <v>8.09</v>
      </c>
      <c r="R196" s="14">
        <v>7.02</v>
      </c>
      <c r="S196" s="14">
        <v>-25.12</v>
      </c>
      <c r="T196" s="14">
        <v>-9.82</v>
      </c>
      <c r="U196" s="14">
        <v>-8.44</v>
      </c>
      <c r="V196" s="14">
        <v>-16.47</v>
      </c>
      <c r="W196" s="14">
        <v>-9.6999999999999993</v>
      </c>
      <c r="X196" s="14">
        <v>-3.24</v>
      </c>
      <c r="Y196" s="14">
        <v>-12.14</v>
      </c>
      <c r="Z196" s="14">
        <v>-100</v>
      </c>
    </row>
    <row r="197" spans="1:26">
      <c r="A197" s="268"/>
      <c r="B197" s="268" t="s">
        <v>1231</v>
      </c>
      <c r="C197" s="152" t="s">
        <v>1232</v>
      </c>
      <c r="D197" s="14">
        <v>3000000</v>
      </c>
      <c r="E197" s="45">
        <v>23048518</v>
      </c>
      <c r="F197" s="14">
        <v>0.5</v>
      </c>
      <c r="G197" s="14">
        <v>3.1</v>
      </c>
      <c r="H197" s="14">
        <v>-0.59</v>
      </c>
      <c r="I197" s="14">
        <v>-0.03</v>
      </c>
      <c r="J197" s="14">
        <v>-5.38</v>
      </c>
      <c r="K197" s="14">
        <v>-1.04</v>
      </c>
      <c r="L197" s="14">
        <v>-0.04</v>
      </c>
      <c r="M197" s="14">
        <v>-0.32</v>
      </c>
      <c r="N197" s="14">
        <v>-0.63</v>
      </c>
      <c r="O197" s="14">
        <v>-3.31</v>
      </c>
      <c r="P197" s="14">
        <v>-1.41</v>
      </c>
      <c r="Q197" s="14">
        <v>0.63</v>
      </c>
      <c r="R197" s="14">
        <v>0.63</v>
      </c>
      <c r="S197" s="14">
        <v>-2.41</v>
      </c>
      <c r="T197" s="14">
        <v>-0.77</v>
      </c>
      <c r="U197" s="14">
        <v>-0.56000000000000005</v>
      </c>
      <c r="V197" s="14">
        <v>-1.01</v>
      </c>
      <c r="W197" s="14">
        <v>-0.45</v>
      </c>
      <c r="X197" s="14">
        <v>-0.48</v>
      </c>
      <c r="Y197" s="14">
        <v>-0.95</v>
      </c>
      <c r="Z197" s="14">
        <v>-31.31</v>
      </c>
    </row>
    <row r="198" spans="1:26">
      <c r="A198" s="268"/>
      <c r="B198" s="268" t="s">
        <v>1233</v>
      </c>
      <c r="C198" s="152" t="s">
        <v>1234</v>
      </c>
      <c r="D198" s="14">
        <v>2191000</v>
      </c>
      <c r="E198" s="45">
        <v>17009151</v>
      </c>
      <c r="F198" s="14">
        <v>0.37</v>
      </c>
      <c r="G198" s="14">
        <v>11</v>
      </c>
      <c r="H198" s="14">
        <v>-2.02</v>
      </c>
      <c r="I198" s="14">
        <v>0.06</v>
      </c>
      <c r="J198" s="14">
        <v>-16.350000000000001</v>
      </c>
      <c r="K198" s="14">
        <v>-4.22</v>
      </c>
      <c r="L198" s="14">
        <v>-0.25</v>
      </c>
      <c r="M198" s="14">
        <v>-1.17</v>
      </c>
      <c r="N198" s="14">
        <v>-2.2799999999999998</v>
      </c>
      <c r="O198" s="14">
        <v>-9.89</v>
      </c>
      <c r="P198" s="14">
        <v>-4.93</v>
      </c>
      <c r="Q198" s="14">
        <v>2.2799999999999998</v>
      </c>
      <c r="R198" s="14">
        <v>3.42</v>
      </c>
      <c r="S198" s="14">
        <v>-8.7200000000000006</v>
      </c>
      <c r="T198" s="14">
        <v>-2.74</v>
      </c>
      <c r="U198" s="14">
        <v>-1.99</v>
      </c>
      <c r="V198" s="14">
        <v>-4.22</v>
      </c>
      <c r="W198" s="14">
        <v>-2.33</v>
      </c>
      <c r="X198" s="14">
        <v>-2.09</v>
      </c>
      <c r="Y198" s="14">
        <v>-3.42</v>
      </c>
      <c r="Z198" s="14">
        <v>-100</v>
      </c>
    </row>
    <row r="199" spans="1:26">
      <c r="A199" s="268"/>
      <c r="B199" s="268" t="s">
        <v>528</v>
      </c>
      <c r="C199" s="152" t="s">
        <v>529</v>
      </c>
      <c r="D199" s="14">
        <v>3500000</v>
      </c>
      <c r="E199" s="45">
        <v>27643631</v>
      </c>
      <c r="F199" s="14">
        <v>0.6</v>
      </c>
      <c r="G199" s="14">
        <v>7.45</v>
      </c>
      <c r="H199" s="14">
        <v>-1.35</v>
      </c>
      <c r="I199" s="14">
        <v>0.03</v>
      </c>
      <c r="J199" s="14">
        <v>-11.09</v>
      </c>
      <c r="K199" s="14">
        <v>-2.82</v>
      </c>
      <c r="L199" s="14">
        <v>-0.18</v>
      </c>
      <c r="M199" s="14">
        <v>-0.85</v>
      </c>
      <c r="N199" s="14">
        <v>-1.49</v>
      </c>
      <c r="O199" s="14">
        <v>-6.54</v>
      </c>
      <c r="P199" s="14">
        <v>-3.3</v>
      </c>
      <c r="Q199" s="14">
        <v>1.49</v>
      </c>
      <c r="R199" s="14">
        <v>2.06</v>
      </c>
      <c r="S199" s="14">
        <v>-5.77</v>
      </c>
      <c r="T199" s="14">
        <v>-1.8</v>
      </c>
      <c r="U199" s="14">
        <v>-1.3</v>
      </c>
      <c r="V199" s="14">
        <v>-2.8</v>
      </c>
      <c r="W199" s="14">
        <v>-1.39</v>
      </c>
      <c r="X199" s="14">
        <v>-1.32</v>
      </c>
      <c r="Y199" s="14">
        <v>-2.2400000000000002</v>
      </c>
      <c r="Z199" s="14">
        <v>-74.42</v>
      </c>
    </row>
    <row r="200" spans="1:26">
      <c r="A200" s="268"/>
      <c r="B200" s="268" t="s">
        <v>114</v>
      </c>
      <c r="C200" s="152" t="s">
        <v>115</v>
      </c>
      <c r="D200" s="14">
        <v>4000000</v>
      </c>
      <c r="E200" s="45">
        <v>32083341</v>
      </c>
      <c r="F200" s="14">
        <v>0.7</v>
      </c>
      <c r="G200" s="14">
        <v>5.3</v>
      </c>
      <c r="H200" s="14">
        <v>-0.97</v>
      </c>
      <c r="I200" s="14">
        <v>-0.01</v>
      </c>
      <c r="J200" s="14">
        <v>-8.23</v>
      </c>
      <c r="K200" s="14">
        <v>-1.97</v>
      </c>
      <c r="L200" s="14">
        <v>-0.12</v>
      </c>
      <c r="M200" s="14">
        <v>-0.59</v>
      </c>
      <c r="N200" s="14">
        <v>-1.06</v>
      </c>
      <c r="O200" s="14">
        <v>-4.87</v>
      </c>
      <c r="P200" s="14">
        <v>-2.36</v>
      </c>
      <c r="Q200" s="14">
        <v>1.06</v>
      </c>
      <c r="R200" s="14">
        <v>1.32</v>
      </c>
      <c r="S200" s="14">
        <v>-4.0999999999999996</v>
      </c>
      <c r="T200" s="14">
        <v>-1.28</v>
      </c>
      <c r="U200" s="14">
        <v>-0.93</v>
      </c>
      <c r="V200" s="14">
        <v>-1.94</v>
      </c>
      <c r="W200" s="14">
        <v>-0.9</v>
      </c>
      <c r="X200" s="14">
        <v>-0.89</v>
      </c>
      <c r="Y200" s="14">
        <v>-1.59</v>
      </c>
      <c r="Z200" s="14">
        <v>-52.63</v>
      </c>
    </row>
  </sheetData>
  <sortState xmlns:xlrd2="http://schemas.microsoft.com/office/spreadsheetml/2017/richdata2" ref="B12:Z187">
    <sortCondition ref="B12:B187"/>
  </sortState>
  <pageMargins left="0.75" right="0.75" top="1" bottom="1" header="0.5" footer="0.5"/>
  <pageSetup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9AA48-A393-4182-8FE7-4B5E24459199}">
  <sheetPr codeName="Sheet5">
    <tabColor theme="5" tint="0.59999389629810485"/>
  </sheetPr>
  <dimension ref="A1:Q218"/>
  <sheetViews>
    <sheetView topLeftCell="A22" workbookViewId="0">
      <selection activeCell="G40" sqref="G40"/>
    </sheetView>
  </sheetViews>
  <sheetFormatPr defaultRowHeight="14.4"/>
  <cols>
    <col min="1" max="1" width="38.6640625" bestFit="1" customWidth="1"/>
    <col min="2" max="2" width="14.44140625" bestFit="1" customWidth="1"/>
    <col min="3" max="3" width="12.33203125" bestFit="1" customWidth="1"/>
    <col min="4" max="4" width="23.33203125" bestFit="1" customWidth="1"/>
    <col min="5" max="5" width="18" customWidth="1"/>
    <col min="6" max="6" width="29" bestFit="1" customWidth="1"/>
    <col min="7" max="7" width="22.88671875" bestFit="1" customWidth="1"/>
    <col min="9" max="9" width="32.6640625" bestFit="1" customWidth="1"/>
    <col min="10" max="10" width="33.109375" bestFit="1" customWidth="1"/>
    <col min="11" max="11" width="24.5546875" bestFit="1" customWidth="1"/>
    <col min="12" max="12" width="33.88671875" bestFit="1" customWidth="1"/>
    <col min="13" max="13" width="25.5546875" bestFit="1" customWidth="1"/>
    <col min="14" max="14" width="32.44140625" bestFit="1" customWidth="1"/>
    <col min="15" max="15" width="30" bestFit="1" customWidth="1"/>
    <col min="16" max="16" width="29.44140625" bestFit="1" customWidth="1"/>
    <col min="17" max="17" width="21.5546875" bestFit="1" customWidth="1"/>
  </cols>
  <sheetData>
    <row r="1" spans="1:1">
      <c r="A1" t="s">
        <v>127</v>
      </c>
    </row>
    <row r="2" spans="1:1">
      <c r="A2" t="s">
        <v>1982</v>
      </c>
    </row>
    <row r="3" spans="1:1">
      <c r="A3" t="s">
        <v>128</v>
      </c>
    </row>
    <row r="5" spans="1:1">
      <c r="A5" t="s">
        <v>129</v>
      </c>
    </row>
    <row r="6" spans="1:1">
      <c r="A6" t="s">
        <v>130</v>
      </c>
    </row>
    <row r="7" spans="1:1">
      <c r="A7" t="s">
        <v>131</v>
      </c>
    </row>
    <row r="8" spans="1:1">
      <c r="A8" t="s">
        <v>132</v>
      </c>
    </row>
    <row r="9" spans="1:1">
      <c r="A9" t="s">
        <v>1983</v>
      </c>
    </row>
    <row r="10" spans="1:1">
      <c r="A10" t="s">
        <v>133</v>
      </c>
    </row>
    <row r="11" spans="1:1">
      <c r="A11" t="s">
        <v>134</v>
      </c>
    </row>
    <row r="12" spans="1:1">
      <c r="A12" t="s">
        <v>135</v>
      </c>
    </row>
    <row r="13" spans="1:1">
      <c r="A13" t="s">
        <v>136</v>
      </c>
    </row>
    <row r="14" spans="1:1">
      <c r="A14" t="s">
        <v>137</v>
      </c>
    </row>
    <row r="15" spans="1:1">
      <c r="A15" t="s">
        <v>138</v>
      </c>
    </row>
    <row r="18" spans="1:1">
      <c r="A18" t="s">
        <v>139</v>
      </c>
    </row>
    <row r="20" spans="1:1">
      <c r="A20" t="s">
        <v>140</v>
      </c>
    </row>
    <row r="21" spans="1:1">
      <c r="A21" t="s">
        <v>141</v>
      </c>
    </row>
    <row r="22" spans="1:1">
      <c r="A22" t="s">
        <v>142</v>
      </c>
    </row>
    <row r="23" spans="1:1">
      <c r="A23" t="s">
        <v>143</v>
      </c>
    </row>
    <row r="24" spans="1:1">
      <c r="A24" t="s">
        <v>144</v>
      </c>
    </row>
    <row r="25" spans="1:1">
      <c r="A25" t="s">
        <v>145</v>
      </c>
    </row>
    <row r="26" spans="1:1">
      <c r="A26" t="s">
        <v>146</v>
      </c>
    </row>
    <row r="27" spans="1:1">
      <c r="A27" t="s">
        <v>147</v>
      </c>
    </row>
    <row r="28" spans="1:1">
      <c r="A28" t="s">
        <v>148</v>
      </c>
    </row>
    <row r="29" spans="1:1">
      <c r="A29" t="s">
        <v>149</v>
      </c>
    </row>
    <row r="30" spans="1:1">
      <c r="A30" t="s">
        <v>150</v>
      </c>
    </row>
    <row r="31" spans="1:1">
      <c r="A31" t="s">
        <v>151</v>
      </c>
    </row>
    <row r="32" spans="1:1">
      <c r="A32" t="s">
        <v>152</v>
      </c>
    </row>
    <row r="33" spans="1:17">
      <c r="A33" t="s">
        <v>153</v>
      </c>
    </row>
    <row r="35" spans="1:17">
      <c r="A35" t="s">
        <v>154</v>
      </c>
    </row>
    <row r="37" spans="1:17">
      <c r="A37" t="s">
        <v>1984</v>
      </c>
    </row>
    <row r="38" spans="1:17">
      <c r="A38" t="s">
        <v>155</v>
      </c>
    </row>
    <row r="39" spans="1:17">
      <c r="A39" t="s">
        <v>156</v>
      </c>
      <c r="B39" t="s">
        <v>157</v>
      </c>
      <c r="C39" t="s">
        <v>158</v>
      </c>
      <c r="D39" t="s">
        <v>140</v>
      </c>
      <c r="E39" t="s">
        <v>141</v>
      </c>
      <c r="F39" t="s">
        <v>142</v>
      </c>
      <c r="G39" t="s">
        <v>143</v>
      </c>
      <c r="H39" t="s">
        <v>144</v>
      </c>
      <c r="I39" t="s">
        <v>145</v>
      </c>
      <c r="J39" t="s">
        <v>146</v>
      </c>
      <c r="K39" t="s">
        <v>147</v>
      </c>
      <c r="L39" t="s">
        <v>148</v>
      </c>
      <c r="M39" t="s">
        <v>149</v>
      </c>
      <c r="N39" t="s">
        <v>150</v>
      </c>
      <c r="O39" t="s">
        <v>151</v>
      </c>
      <c r="P39" t="s">
        <v>152</v>
      </c>
      <c r="Q39" t="s">
        <v>153</v>
      </c>
    </row>
    <row r="40" spans="1:17">
      <c r="A40" t="s">
        <v>1198</v>
      </c>
      <c r="B40">
        <v>0</v>
      </c>
      <c r="C40">
        <v>14</v>
      </c>
      <c r="D40" t="s">
        <v>159</v>
      </c>
      <c r="E40" t="s">
        <v>1235</v>
      </c>
      <c r="F40" t="s">
        <v>1236</v>
      </c>
      <c r="G40" t="s">
        <v>160</v>
      </c>
      <c r="H40" t="s">
        <v>19</v>
      </c>
      <c r="I40">
        <v>92.063999999999993</v>
      </c>
      <c r="J40">
        <v>10000000</v>
      </c>
      <c r="K40" t="s">
        <v>1405</v>
      </c>
      <c r="L40">
        <v>1</v>
      </c>
      <c r="M40">
        <v>1.6903000000000001E-2</v>
      </c>
      <c r="N40">
        <v>156043.85</v>
      </c>
      <c r="O40">
        <v>5.4260000000000003E-3</v>
      </c>
      <c r="P40">
        <v>0.5</v>
      </c>
      <c r="Q40">
        <v>3</v>
      </c>
    </row>
    <row r="41" spans="1:17">
      <c r="A41" t="s">
        <v>1292</v>
      </c>
      <c r="B41">
        <v>0</v>
      </c>
      <c r="C41">
        <v>14</v>
      </c>
      <c r="D41" t="s">
        <v>159</v>
      </c>
      <c r="E41" t="s">
        <v>1406</v>
      </c>
      <c r="F41" t="s">
        <v>1407</v>
      </c>
      <c r="G41" t="s">
        <v>160</v>
      </c>
      <c r="H41" t="s">
        <v>23</v>
      </c>
      <c r="I41">
        <v>88.367999999999995</v>
      </c>
      <c r="J41">
        <v>3000000</v>
      </c>
      <c r="K41" t="s">
        <v>164</v>
      </c>
      <c r="L41">
        <v>1</v>
      </c>
      <c r="M41">
        <v>1.7609E-2</v>
      </c>
      <c r="N41">
        <v>46721.334000000003</v>
      </c>
      <c r="O41">
        <v>9.9749999999999995E-3</v>
      </c>
      <c r="P41">
        <v>0.3</v>
      </c>
      <c r="Q41">
        <v>3</v>
      </c>
    </row>
    <row r="42" spans="1:17">
      <c r="A42" t="s">
        <v>523</v>
      </c>
      <c r="B42">
        <v>0</v>
      </c>
      <c r="C42">
        <v>14</v>
      </c>
      <c r="D42" t="s">
        <v>159</v>
      </c>
      <c r="E42" t="s">
        <v>531</v>
      </c>
      <c r="F42" t="s">
        <v>532</v>
      </c>
      <c r="G42" t="s">
        <v>160</v>
      </c>
      <c r="H42" t="s">
        <v>23</v>
      </c>
      <c r="I42">
        <v>99.665999999999997</v>
      </c>
      <c r="J42">
        <v>5000000</v>
      </c>
      <c r="K42" t="s">
        <v>164</v>
      </c>
      <c r="L42">
        <v>1</v>
      </c>
      <c r="M42">
        <v>6.5409999999999999E-3</v>
      </c>
      <c r="N42">
        <v>32596.489000000001</v>
      </c>
      <c r="O42">
        <v>5.1809999999999998E-3</v>
      </c>
      <c r="P42">
        <v>0.3</v>
      </c>
      <c r="Q42">
        <v>3</v>
      </c>
    </row>
    <row r="43" spans="1:17">
      <c r="A43" t="s">
        <v>1920</v>
      </c>
      <c r="B43">
        <v>0</v>
      </c>
      <c r="C43">
        <v>14</v>
      </c>
      <c r="D43" t="s">
        <v>159</v>
      </c>
      <c r="E43" t="s">
        <v>1985</v>
      </c>
      <c r="F43" t="s">
        <v>532</v>
      </c>
      <c r="G43" t="s">
        <v>160</v>
      </c>
      <c r="H43" t="s">
        <v>23</v>
      </c>
      <c r="I43">
        <v>91.204999999999998</v>
      </c>
      <c r="J43">
        <v>3400000</v>
      </c>
      <c r="K43" t="s">
        <v>164</v>
      </c>
      <c r="L43">
        <v>1</v>
      </c>
      <c r="M43">
        <v>2.1676000000000001E-2</v>
      </c>
      <c r="N43">
        <v>67336.805999999997</v>
      </c>
      <c r="O43">
        <v>9.2879999999999994E-3</v>
      </c>
      <c r="P43">
        <v>0.3</v>
      </c>
      <c r="Q43">
        <v>3</v>
      </c>
    </row>
    <row r="44" spans="1:17">
      <c r="A44" t="s">
        <v>1370</v>
      </c>
      <c r="B44">
        <v>0</v>
      </c>
      <c r="C44">
        <v>14</v>
      </c>
      <c r="D44" t="s">
        <v>159</v>
      </c>
      <c r="E44" t="s">
        <v>1986</v>
      </c>
      <c r="F44" t="s">
        <v>26</v>
      </c>
      <c r="G44" t="s">
        <v>160</v>
      </c>
      <c r="H44" t="s">
        <v>23</v>
      </c>
      <c r="I44">
        <v>108.008</v>
      </c>
      <c r="J44">
        <v>2000000</v>
      </c>
      <c r="K44" t="s">
        <v>173</v>
      </c>
      <c r="L44">
        <v>1</v>
      </c>
      <c r="M44">
        <v>1.2966999999999999E-2</v>
      </c>
      <c r="N44">
        <v>28012.164000000001</v>
      </c>
      <c r="O44">
        <v>3.6120000000000002E-3</v>
      </c>
      <c r="P44">
        <v>0.3</v>
      </c>
      <c r="Q44">
        <v>3</v>
      </c>
    </row>
    <row r="45" spans="1:17">
      <c r="A45" t="s">
        <v>49</v>
      </c>
      <c r="B45">
        <v>0</v>
      </c>
      <c r="C45">
        <v>14</v>
      </c>
      <c r="D45" t="s">
        <v>159</v>
      </c>
      <c r="E45" t="s">
        <v>197</v>
      </c>
      <c r="F45" t="s">
        <v>198</v>
      </c>
      <c r="G45" t="s">
        <v>160</v>
      </c>
      <c r="H45" t="s">
        <v>23</v>
      </c>
      <c r="I45">
        <v>101.751</v>
      </c>
      <c r="J45">
        <v>8000000</v>
      </c>
      <c r="K45" t="s">
        <v>173</v>
      </c>
      <c r="L45">
        <v>1</v>
      </c>
      <c r="M45">
        <v>5.5149999999999999E-3</v>
      </c>
      <c r="N45">
        <v>44935.724000000002</v>
      </c>
      <c r="O45">
        <v>3.9699999999999996E-3</v>
      </c>
      <c r="P45">
        <v>1.4</v>
      </c>
      <c r="Q45">
        <v>4</v>
      </c>
    </row>
    <row r="46" spans="1:17">
      <c r="A46" t="s">
        <v>1200</v>
      </c>
      <c r="B46">
        <v>0</v>
      </c>
      <c r="C46">
        <v>14</v>
      </c>
      <c r="D46" t="s">
        <v>159</v>
      </c>
      <c r="E46" t="s">
        <v>1237</v>
      </c>
      <c r="F46" t="s">
        <v>1238</v>
      </c>
      <c r="G46" t="s">
        <v>160</v>
      </c>
      <c r="H46" t="s">
        <v>23</v>
      </c>
      <c r="I46">
        <v>125.923</v>
      </c>
      <c r="J46">
        <v>3200000</v>
      </c>
      <c r="K46" t="s">
        <v>173</v>
      </c>
      <c r="L46">
        <v>1</v>
      </c>
      <c r="M46">
        <v>2.7265999999999999E-2</v>
      </c>
      <c r="N46">
        <v>109873.338</v>
      </c>
      <c r="O46">
        <v>1.2241999999999999E-2</v>
      </c>
      <c r="P46">
        <v>0.3</v>
      </c>
      <c r="Q46">
        <v>3</v>
      </c>
    </row>
    <row r="47" spans="1:17">
      <c r="A47" t="s">
        <v>1145</v>
      </c>
      <c r="B47">
        <v>0</v>
      </c>
      <c r="C47">
        <v>14</v>
      </c>
      <c r="D47" t="s">
        <v>159</v>
      </c>
      <c r="E47" t="s">
        <v>1174</v>
      </c>
      <c r="F47" t="s">
        <v>1175</v>
      </c>
      <c r="G47" t="s">
        <v>160</v>
      </c>
      <c r="H47" t="s">
        <v>23</v>
      </c>
      <c r="I47">
        <v>89</v>
      </c>
      <c r="J47">
        <v>3800000</v>
      </c>
      <c r="K47" t="s">
        <v>164</v>
      </c>
      <c r="L47">
        <v>1</v>
      </c>
      <c r="M47">
        <v>8.4060000000000003E-3</v>
      </c>
      <c r="N47">
        <v>28430.434000000001</v>
      </c>
      <c r="O47">
        <v>1.0596E-2</v>
      </c>
      <c r="P47">
        <v>0.3</v>
      </c>
      <c r="Q47">
        <v>3</v>
      </c>
    </row>
    <row r="48" spans="1:17">
      <c r="A48" t="s">
        <v>1202</v>
      </c>
      <c r="B48">
        <v>0</v>
      </c>
      <c r="C48">
        <v>14</v>
      </c>
      <c r="D48" t="s">
        <v>159</v>
      </c>
      <c r="E48" t="s">
        <v>1239</v>
      </c>
      <c r="F48" t="s">
        <v>1240</v>
      </c>
      <c r="G48" t="s">
        <v>160</v>
      </c>
      <c r="H48" t="s">
        <v>23</v>
      </c>
      <c r="I48">
        <v>98.632999999999996</v>
      </c>
      <c r="J48">
        <v>12600000</v>
      </c>
      <c r="K48" t="s">
        <v>164</v>
      </c>
      <c r="L48">
        <v>1</v>
      </c>
      <c r="M48">
        <v>5.5789999999999998E-3</v>
      </c>
      <c r="N48">
        <v>69385.232000000004</v>
      </c>
      <c r="O48">
        <v>5.5789999999999998E-3</v>
      </c>
      <c r="P48">
        <v>0.5</v>
      </c>
      <c r="Q48">
        <v>3</v>
      </c>
    </row>
    <row r="49" spans="1:17">
      <c r="A49" t="s">
        <v>1294</v>
      </c>
      <c r="B49">
        <v>0</v>
      </c>
      <c r="C49">
        <v>14</v>
      </c>
      <c r="D49" t="s">
        <v>159</v>
      </c>
      <c r="E49" t="s">
        <v>1408</v>
      </c>
      <c r="F49" t="s">
        <v>1409</v>
      </c>
      <c r="G49" t="s">
        <v>160</v>
      </c>
      <c r="H49" t="s">
        <v>23</v>
      </c>
      <c r="I49">
        <v>99.108999999999995</v>
      </c>
      <c r="J49">
        <v>10000000</v>
      </c>
      <c r="K49" t="s">
        <v>173</v>
      </c>
      <c r="L49">
        <v>1</v>
      </c>
      <c r="M49">
        <v>5.7780000000000001E-3</v>
      </c>
      <c r="N49">
        <v>57343.855000000003</v>
      </c>
      <c r="O49">
        <v>3.5490000000000001E-3</v>
      </c>
      <c r="P49">
        <v>1.8</v>
      </c>
      <c r="Q49">
        <v>4</v>
      </c>
    </row>
    <row r="50" spans="1:17">
      <c r="A50" t="s">
        <v>1296</v>
      </c>
      <c r="B50">
        <v>0</v>
      </c>
      <c r="C50">
        <v>14</v>
      </c>
      <c r="D50" t="s">
        <v>159</v>
      </c>
      <c r="E50" t="s">
        <v>1410</v>
      </c>
      <c r="F50" t="s">
        <v>1241</v>
      </c>
      <c r="G50" t="s">
        <v>160</v>
      </c>
      <c r="H50" t="s">
        <v>23</v>
      </c>
      <c r="I50">
        <v>90.159000000000006</v>
      </c>
      <c r="J50">
        <v>5375000</v>
      </c>
      <c r="K50" t="s">
        <v>164</v>
      </c>
      <c r="L50">
        <v>1</v>
      </c>
      <c r="M50">
        <v>1.8931E-2</v>
      </c>
      <c r="N50">
        <v>91887.06</v>
      </c>
      <c r="O50">
        <v>9.2510000000000005E-3</v>
      </c>
      <c r="P50">
        <v>0.3</v>
      </c>
      <c r="Q50">
        <v>3</v>
      </c>
    </row>
    <row r="51" spans="1:17">
      <c r="A51" t="s">
        <v>1923</v>
      </c>
      <c r="B51">
        <v>0</v>
      </c>
      <c r="C51">
        <v>14</v>
      </c>
      <c r="D51" t="s">
        <v>159</v>
      </c>
      <c r="E51" t="s">
        <v>1987</v>
      </c>
      <c r="F51" t="s">
        <v>1988</v>
      </c>
      <c r="G51" t="s">
        <v>160</v>
      </c>
      <c r="H51" t="s">
        <v>23</v>
      </c>
      <c r="I51">
        <v>100.545</v>
      </c>
      <c r="J51">
        <v>5300000</v>
      </c>
      <c r="K51" t="s">
        <v>173</v>
      </c>
      <c r="L51">
        <v>1</v>
      </c>
      <c r="M51">
        <v>5.3499999999999997E-3</v>
      </c>
      <c r="N51">
        <v>28534.577000000001</v>
      </c>
      <c r="O51">
        <v>1.743E-3</v>
      </c>
      <c r="P51">
        <v>0.5</v>
      </c>
      <c r="Q51">
        <v>3</v>
      </c>
    </row>
    <row r="52" spans="1:17">
      <c r="A52" t="s">
        <v>1147</v>
      </c>
      <c r="B52">
        <v>0</v>
      </c>
      <c r="C52">
        <v>14</v>
      </c>
      <c r="D52" t="s">
        <v>159</v>
      </c>
      <c r="E52" t="s">
        <v>1176</v>
      </c>
      <c r="F52" t="s">
        <v>1177</v>
      </c>
      <c r="G52" t="s">
        <v>160</v>
      </c>
      <c r="H52" t="s">
        <v>23</v>
      </c>
      <c r="I52">
        <v>77.507000000000005</v>
      </c>
      <c r="J52">
        <v>3000000</v>
      </c>
      <c r="K52" t="s">
        <v>164</v>
      </c>
      <c r="L52">
        <v>1</v>
      </c>
      <c r="M52">
        <v>4.2373000000000001E-2</v>
      </c>
      <c r="N52">
        <v>98819.547000000006</v>
      </c>
      <c r="O52">
        <v>1.7916999999999999E-2</v>
      </c>
      <c r="P52">
        <v>0.3</v>
      </c>
      <c r="Q52">
        <v>3</v>
      </c>
    </row>
    <row r="53" spans="1:17">
      <c r="A53" t="s">
        <v>1925</v>
      </c>
      <c r="B53">
        <v>0</v>
      </c>
      <c r="C53">
        <v>14</v>
      </c>
      <c r="D53" t="s">
        <v>159</v>
      </c>
      <c r="E53" t="s">
        <v>1989</v>
      </c>
      <c r="F53" t="s">
        <v>1990</v>
      </c>
      <c r="G53" t="s">
        <v>160</v>
      </c>
      <c r="H53" t="s">
        <v>23</v>
      </c>
      <c r="I53">
        <v>104.625</v>
      </c>
      <c r="J53">
        <v>5000000</v>
      </c>
      <c r="K53" t="s">
        <v>173</v>
      </c>
      <c r="L53">
        <v>1</v>
      </c>
      <c r="M53">
        <v>1.073E-2</v>
      </c>
      <c r="N53">
        <v>56150.633000000002</v>
      </c>
      <c r="O53">
        <v>2.4269999999999999E-3</v>
      </c>
      <c r="P53">
        <v>0.3</v>
      </c>
      <c r="Q53">
        <v>3</v>
      </c>
    </row>
    <row r="54" spans="1:17">
      <c r="A54" t="s">
        <v>1204</v>
      </c>
      <c r="B54">
        <v>0</v>
      </c>
      <c r="C54">
        <v>14</v>
      </c>
      <c r="D54" t="s">
        <v>159</v>
      </c>
      <c r="E54" t="s">
        <v>1242</v>
      </c>
      <c r="F54" t="s">
        <v>180</v>
      </c>
      <c r="G54" t="s">
        <v>160</v>
      </c>
      <c r="H54" t="s">
        <v>23</v>
      </c>
      <c r="I54">
        <v>98.608999999999995</v>
      </c>
      <c r="J54">
        <v>4200000</v>
      </c>
      <c r="K54" t="s">
        <v>164</v>
      </c>
      <c r="L54">
        <v>1</v>
      </c>
      <c r="M54">
        <v>5.2490000000000002E-3</v>
      </c>
      <c r="N54">
        <v>21754.129000000001</v>
      </c>
      <c r="O54">
        <v>5.1240000000000001E-3</v>
      </c>
      <c r="P54">
        <v>0.5</v>
      </c>
      <c r="Q54">
        <v>3</v>
      </c>
    </row>
    <row r="55" spans="1:17">
      <c r="A55" t="s">
        <v>51</v>
      </c>
      <c r="B55">
        <v>0</v>
      </c>
      <c r="C55">
        <v>14</v>
      </c>
      <c r="D55" t="s">
        <v>159</v>
      </c>
      <c r="E55" t="s">
        <v>200</v>
      </c>
      <c r="F55" t="s">
        <v>180</v>
      </c>
      <c r="G55" t="s">
        <v>160</v>
      </c>
      <c r="H55" t="s">
        <v>23</v>
      </c>
      <c r="I55">
        <v>100.67100000000001</v>
      </c>
      <c r="J55">
        <v>10000000</v>
      </c>
      <c r="K55" t="s">
        <v>164</v>
      </c>
      <c r="L55">
        <v>1</v>
      </c>
      <c r="M55">
        <v>5.398E-3</v>
      </c>
      <c r="N55">
        <v>54349.462</v>
      </c>
      <c r="O55">
        <v>6.8300000000000001E-3</v>
      </c>
      <c r="P55">
        <v>0.3</v>
      </c>
      <c r="Q55">
        <v>3</v>
      </c>
    </row>
    <row r="56" spans="1:17">
      <c r="A56" t="s">
        <v>53</v>
      </c>
      <c r="B56">
        <v>0</v>
      </c>
      <c r="C56">
        <v>14</v>
      </c>
      <c r="D56" t="s">
        <v>159</v>
      </c>
      <c r="E56" t="s">
        <v>179</v>
      </c>
      <c r="F56" t="s">
        <v>180</v>
      </c>
      <c r="G56" t="s">
        <v>160</v>
      </c>
      <c r="H56" t="s">
        <v>23</v>
      </c>
      <c r="I56">
        <v>102.001</v>
      </c>
      <c r="J56">
        <v>6000000</v>
      </c>
      <c r="K56" t="s">
        <v>164</v>
      </c>
      <c r="L56">
        <v>1</v>
      </c>
      <c r="M56">
        <v>7.5100000000000002E-3</v>
      </c>
      <c r="N56">
        <v>45972.569000000003</v>
      </c>
      <c r="O56">
        <v>7.0039999999999998E-3</v>
      </c>
      <c r="P56">
        <v>0.3</v>
      </c>
      <c r="Q56">
        <v>3</v>
      </c>
    </row>
    <row r="57" spans="1:17">
      <c r="A57" t="s">
        <v>1105</v>
      </c>
      <c r="B57">
        <v>0</v>
      </c>
      <c r="C57">
        <v>14</v>
      </c>
      <c r="D57" t="s">
        <v>159</v>
      </c>
      <c r="E57" t="s">
        <v>1129</v>
      </c>
      <c r="F57" t="s">
        <v>1130</v>
      </c>
      <c r="G57" t="s">
        <v>160</v>
      </c>
      <c r="H57" t="s">
        <v>23</v>
      </c>
      <c r="I57">
        <v>99.745000000000005</v>
      </c>
      <c r="J57">
        <v>2200000</v>
      </c>
      <c r="K57" t="s">
        <v>164</v>
      </c>
      <c r="L57">
        <v>1</v>
      </c>
      <c r="M57">
        <v>3.9110000000000004E-3</v>
      </c>
      <c r="N57">
        <v>8585.65</v>
      </c>
      <c r="O57">
        <v>5.372E-3</v>
      </c>
      <c r="P57">
        <v>0.2</v>
      </c>
      <c r="Q57">
        <v>3</v>
      </c>
    </row>
    <row r="58" spans="1:17">
      <c r="A58" t="s">
        <v>55</v>
      </c>
      <c r="B58">
        <v>0</v>
      </c>
      <c r="C58">
        <v>14</v>
      </c>
      <c r="D58" t="s">
        <v>159</v>
      </c>
      <c r="E58" t="s">
        <v>219</v>
      </c>
      <c r="F58" t="s">
        <v>220</v>
      </c>
      <c r="G58" t="s">
        <v>160</v>
      </c>
      <c r="H58" t="s">
        <v>23</v>
      </c>
      <c r="I58">
        <v>25.413</v>
      </c>
      <c r="J58">
        <v>5000000</v>
      </c>
      <c r="K58" t="s">
        <v>221</v>
      </c>
      <c r="L58">
        <v>1</v>
      </c>
      <c r="M58">
        <v>0.356265</v>
      </c>
      <c r="N58">
        <v>467632.47899999999</v>
      </c>
      <c r="O58">
        <v>0.115024</v>
      </c>
      <c r="P58">
        <v>45</v>
      </c>
      <c r="Q58">
        <v>47</v>
      </c>
    </row>
    <row r="59" spans="1:17">
      <c r="A59" t="s">
        <v>1068</v>
      </c>
      <c r="B59">
        <v>0</v>
      </c>
      <c r="C59">
        <v>14</v>
      </c>
      <c r="D59" t="s">
        <v>159</v>
      </c>
      <c r="E59" t="s">
        <v>1089</v>
      </c>
      <c r="F59" t="s">
        <v>1090</v>
      </c>
      <c r="G59" t="s">
        <v>160</v>
      </c>
      <c r="H59" t="s">
        <v>23</v>
      </c>
      <c r="I59">
        <v>96.864000000000004</v>
      </c>
      <c r="J59">
        <v>11000000</v>
      </c>
      <c r="K59" t="s">
        <v>164</v>
      </c>
      <c r="L59">
        <v>1</v>
      </c>
      <c r="M59">
        <v>1.7413000000000001E-2</v>
      </c>
      <c r="N59">
        <v>185805.66800000001</v>
      </c>
      <c r="O59">
        <v>1.2171E-2</v>
      </c>
      <c r="P59">
        <v>1.4</v>
      </c>
      <c r="Q59">
        <v>4</v>
      </c>
    </row>
    <row r="60" spans="1:17">
      <c r="A60" t="s">
        <v>1298</v>
      </c>
      <c r="B60">
        <v>0</v>
      </c>
      <c r="C60">
        <v>14</v>
      </c>
      <c r="D60" t="s">
        <v>159</v>
      </c>
      <c r="E60" t="s">
        <v>1411</v>
      </c>
      <c r="F60" t="s">
        <v>1412</v>
      </c>
      <c r="G60" t="s">
        <v>160</v>
      </c>
      <c r="H60" t="s">
        <v>23</v>
      </c>
      <c r="I60">
        <v>97.86</v>
      </c>
      <c r="J60">
        <v>3350000</v>
      </c>
      <c r="K60" t="s">
        <v>173</v>
      </c>
      <c r="L60">
        <v>1</v>
      </c>
      <c r="M60">
        <v>6.3020000000000003E-3</v>
      </c>
      <c r="N60">
        <v>20660.152999999998</v>
      </c>
      <c r="O60">
        <v>5.8830000000000002E-3</v>
      </c>
      <c r="P60">
        <v>0.3</v>
      </c>
      <c r="Q60">
        <v>3</v>
      </c>
    </row>
    <row r="61" spans="1:17">
      <c r="A61" t="s">
        <v>1300</v>
      </c>
      <c r="B61">
        <v>0</v>
      </c>
      <c r="C61">
        <v>14</v>
      </c>
      <c r="D61" t="s">
        <v>159</v>
      </c>
      <c r="E61" t="s">
        <v>1413</v>
      </c>
      <c r="F61" t="s">
        <v>1414</v>
      </c>
      <c r="G61" t="s">
        <v>160</v>
      </c>
      <c r="H61" t="s">
        <v>23</v>
      </c>
      <c r="I61">
        <v>85.090999999999994</v>
      </c>
      <c r="J61">
        <v>2970000</v>
      </c>
      <c r="K61" t="s">
        <v>164</v>
      </c>
      <c r="L61">
        <v>1</v>
      </c>
      <c r="M61">
        <v>1.9768999999999998E-2</v>
      </c>
      <c r="N61">
        <v>50020.567000000003</v>
      </c>
      <c r="O61">
        <v>1.5509999999999999E-2</v>
      </c>
      <c r="P61">
        <v>0.3</v>
      </c>
      <c r="Q61">
        <v>3</v>
      </c>
    </row>
    <row r="62" spans="1:17">
      <c r="A62" t="s">
        <v>962</v>
      </c>
      <c r="B62">
        <v>0</v>
      </c>
      <c r="C62">
        <v>14</v>
      </c>
      <c r="D62" t="s">
        <v>159</v>
      </c>
      <c r="E62" t="s">
        <v>978</v>
      </c>
      <c r="F62" t="s">
        <v>194</v>
      </c>
      <c r="G62" t="s">
        <v>160</v>
      </c>
      <c r="H62" t="s">
        <v>23</v>
      </c>
      <c r="I62">
        <v>99.77</v>
      </c>
      <c r="J62">
        <v>4000000</v>
      </c>
      <c r="K62" t="s">
        <v>164</v>
      </c>
      <c r="L62">
        <v>1</v>
      </c>
      <c r="M62">
        <v>7.1440000000000002E-3</v>
      </c>
      <c r="N62">
        <v>28513.921999999999</v>
      </c>
      <c r="O62">
        <v>6.3990000000000002E-3</v>
      </c>
      <c r="P62">
        <v>0.3</v>
      </c>
      <c r="Q62">
        <v>3</v>
      </c>
    </row>
    <row r="63" spans="1:17">
      <c r="A63" t="s">
        <v>57</v>
      </c>
      <c r="B63">
        <v>0</v>
      </c>
      <c r="C63">
        <v>14</v>
      </c>
      <c r="D63" t="s">
        <v>159</v>
      </c>
      <c r="E63" t="s">
        <v>193</v>
      </c>
      <c r="F63" t="s">
        <v>194</v>
      </c>
      <c r="G63" t="s">
        <v>160</v>
      </c>
      <c r="H63" t="s">
        <v>23</v>
      </c>
      <c r="I63">
        <v>100.55500000000001</v>
      </c>
      <c r="J63">
        <v>6000000</v>
      </c>
      <c r="K63" t="s">
        <v>164</v>
      </c>
      <c r="L63">
        <v>1</v>
      </c>
      <c r="M63">
        <v>4.6299999999999996E-3</v>
      </c>
      <c r="N63">
        <v>27934.598000000002</v>
      </c>
      <c r="O63">
        <v>5.5059999999999996E-3</v>
      </c>
      <c r="P63">
        <v>0.3</v>
      </c>
      <c r="Q63">
        <v>3</v>
      </c>
    </row>
    <row r="64" spans="1:17">
      <c r="A64" t="s">
        <v>1206</v>
      </c>
      <c r="B64">
        <v>0</v>
      </c>
      <c r="C64">
        <v>14</v>
      </c>
      <c r="D64" t="s">
        <v>159</v>
      </c>
      <c r="E64" t="s">
        <v>1244</v>
      </c>
      <c r="F64" t="s">
        <v>1243</v>
      </c>
      <c r="G64" t="s">
        <v>160</v>
      </c>
      <c r="H64" t="s">
        <v>23</v>
      </c>
      <c r="I64">
        <v>99.307000000000002</v>
      </c>
      <c r="J64">
        <v>2500000</v>
      </c>
      <c r="K64" t="s">
        <v>173</v>
      </c>
      <c r="L64">
        <v>1</v>
      </c>
      <c r="M64">
        <v>1.1516E-2</v>
      </c>
      <c r="N64">
        <v>28592.022000000001</v>
      </c>
      <c r="O64">
        <v>8.7790000000000003E-3</v>
      </c>
      <c r="P64">
        <v>0.3</v>
      </c>
      <c r="Q64">
        <v>3</v>
      </c>
    </row>
    <row r="65" spans="1:17">
      <c r="A65" t="s">
        <v>933</v>
      </c>
      <c r="B65">
        <v>0</v>
      </c>
      <c r="C65">
        <v>14</v>
      </c>
      <c r="D65" t="s">
        <v>159</v>
      </c>
      <c r="E65" t="s">
        <v>941</v>
      </c>
      <c r="F65" t="s">
        <v>942</v>
      </c>
      <c r="G65" t="s">
        <v>160</v>
      </c>
      <c r="H65" t="s">
        <v>23</v>
      </c>
      <c r="I65">
        <v>90.022000000000006</v>
      </c>
      <c r="J65">
        <v>6000000</v>
      </c>
      <c r="K65" t="s">
        <v>164</v>
      </c>
      <c r="L65">
        <v>1</v>
      </c>
      <c r="M65">
        <v>3.9120000000000002E-2</v>
      </c>
      <c r="N65">
        <v>213597.799</v>
      </c>
      <c r="O65">
        <v>2.2543000000000001E-2</v>
      </c>
      <c r="P65">
        <v>1.5</v>
      </c>
      <c r="Q65">
        <v>4</v>
      </c>
    </row>
    <row r="66" spans="1:17">
      <c r="A66" t="s">
        <v>877</v>
      </c>
      <c r="B66">
        <v>0</v>
      </c>
      <c r="C66">
        <v>14</v>
      </c>
      <c r="D66" t="s">
        <v>159</v>
      </c>
      <c r="E66" t="s">
        <v>906</v>
      </c>
      <c r="F66" t="s">
        <v>907</v>
      </c>
      <c r="G66" t="s">
        <v>160</v>
      </c>
      <c r="H66" t="s">
        <v>23</v>
      </c>
      <c r="I66">
        <v>99.825000000000003</v>
      </c>
      <c r="J66">
        <v>4000000</v>
      </c>
      <c r="K66" t="s">
        <v>173</v>
      </c>
      <c r="L66">
        <v>1</v>
      </c>
      <c r="M66">
        <v>8.1130000000000004E-3</v>
      </c>
      <c r="N66">
        <v>32414.616999999998</v>
      </c>
      <c r="O66">
        <v>7.0169999999999998E-3</v>
      </c>
      <c r="P66">
        <v>0.4</v>
      </c>
      <c r="Q66">
        <v>3</v>
      </c>
    </row>
    <row r="67" spans="1:17">
      <c r="A67" t="s">
        <v>59</v>
      </c>
      <c r="B67">
        <v>0</v>
      </c>
      <c r="C67">
        <v>14</v>
      </c>
      <c r="D67" t="s">
        <v>159</v>
      </c>
      <c r="E67" t="s">
        <v>188</v>
      </c>
      <c r="F67" t="s">
        <v>189</v>
      </c>
      <c r="G67" t="s">
        <v>160</v>
      </c>
      <c r="H67" t="s">
        <v>23</v>
      </c>
      <c r="I67">
        <v>102.515</v>
      </c>
      <c r="J67">
        <v>1500000</v>
      </c>
      <c r="K67" t="s">
        <v>173</v>
      </c>
      <c r="L67">
        <v>1</v>
      </c>
      <c r="M67">
        <v>6.156E-3</v>
      </c>
      <c r="N67">
        <v>9486.24</v>
      </c>
      <c r="O67">
        <v>4.4929999999999996E-3</v>
      </c>
      <c r="P67">
        <v>0.4</v>
      </c>
      <c r="Q67">
        <v>3</v>
      </c>
    </row>
    <row r="68" spans="1:17">
      <c r="A68" t="s">
        <v>61</v>
      </c>
      <c r="B68">
        <v>0</v>
      </c>
      <c r="C68">
        <v>14</v>
      </c>
      <c r="D68" t="s">
        <v>159</v>
      </c>
      <c r="E68" t="s">
        <v>208</v>
      </c>
      <c r="F68" t="s">
        <v>943</v>
      </c>
      <c r="G68" t="s">
        <v>160</v>
      </c>
      <c r="H68" t="s">
        <v>23</v>
      </c>
      <c r="I68">
        <v>99.616</v>
      </c>
      <c r="J68">
        <v>1500000</v>
      </c>
      <c r="K68" t="s">
        <v>173</v>
      </c>
      <c r="L68">
        <v>1</v>
      </c>
      <c r="M68">
        <v>1.4751E-2</v>
      </c>
      <c r="N68">
        <v>22172.677</v>
      </c>
      <c r="O68">
        <v>8.4419999999999999E-3</v>
      </c>
      <c r="P68">
        <v>1</v>
      </c>
      <c r="Q68">
        <v>3</v>
      </c>
    </row>
    <row r="69" spans="1:17">
      <c r="A69" t="s">
        <v>964</v>
      </c>
      <c r="B69">
        <v>0</v>
      </c>
      <c r="C69">
        <v>14</v>
      </c>
      <c r="D69" t="s">
        <v>159</v>
      </c>
      <c r="E69" t="s">
        <v>979</v>
      </c>
      <c r="F69" t="s">
        <v>183</v>
      </c>
      <c r="G69" t="s">
        <v>160</v>
      </c>
      <c r="H69" t="s">
        <v>23</v>
      </c>
      <c r="I69">
        <v>100.575</v>
      </c>
      <c r="J69">
        <v>3000000</v>
      </c>
      <c r="K69" t="s">
        <v>164</v>
      </c>
      <c r="L69">
        <v>1</v>
      </c>
      <c r="M69">
        <v>4.6909999999999999E-3</v>
      </c>
      <c r="N69">
        <v>14154.375</v>
      </c>
      <c r="O69">
        <v>5.3410000000000003E-3</v>
      </c>
      <c r="P69">
        <v>0.3</v>
      </c>
      <c r="Q69">
        <v>3</v>
      </c>
    </row>
    <row r="70" spans="1:17">
      <c r="A70" t="s">
        <v>63</v>
      </c>
      <c r="B70">
        <v>0</v>
      </c>
      <c r="C70">
        <v>14</v>
      </c>
      <c r="D70" t="s">
        <v>159</v>
      </c>
      <c r="E70" t="s">
        <v>182</v>
      </c>
      <c r="F70" t="s">
        <v>183</v>
      </c>
      <c r="G70" t="s">
        <v>160</v>
      </c>
      <c r="H70" t="s">
        <v>23</v>
      </c>
      <c r="I70">
        <v>101.221</v>
      </c>
      <c r="J70">
        <v>5000000</v>
      </c>
      <c r="K70" t="s">
        <v>164</v>
      </c>
      <c r="L70">
        <v>1</v>
      </c>
      <c r="M70">
        <v>3.8909999999999999E-3</v>
      </c>
      <c r="N70">
        <v>19693.496999999999</v>
      </c>
      <c r="O70">
        <v>5.006E-3</v>
      </c>
      <c r="P70">
        <v>0.3</v>
      </c>
      <c r="Q70">
        <v>3</v>
      </c>
    </row>
    <row r="71" spans="1:17">
      <c r="A71" t="s">
        <v>65</v>
      </c>
      <c r="B71">
        <v>0</v>
      </c>
      <c r="C71">
        <v>14</v>
      </c>
      <c r="D71" t="s">
        <v>159</v>
      </c>
      <c r="E71" t="s">
        <v>191</v>
      </c>
      <c r="F71" t="s">
        <v>192</v>
      </c>
      <c r="G71" t="s">
        <v>160</v>
      </c>
      <c r="H71" t="s">
        <v>23</v>
      </c>
      <c r="I71">
        <v>100.97</v>
      </c>
      <c r="J71">
        <v>6500000</v>
      </c>
      <c r="K71" t="s">
        <v>173</v>
      </c>
      <c r="L71">
        <v>1</v>
      </c>
      <c r="M71">
        <v>7.7320000000000002E-3</v>
      </c>
      <c r="N71">
        <v>50772.110999999997</v>
      </c>
      <c r="O71">
        <v>4.8789999999999997E-3</v>
      </c>
      <c r="P71">
        <v>1.1000000000000001</v>
      </c>
      <c r="Q71">
        <v>4</v>
      </c>
    </row>
    <row r="72" spans="1:17">
      <c r="A72" t="s">
        <v>966</v>
      </c>
      <c r="B72">
        <v>0</v>
      </c>
      <c r="C72">
        <v>14</v>
      </c>
      <c r="D72" t="s">
        <v>159</v>
      </c>
      <c r="E72" t="s">
        <v>980</v>
      </c>
      <c r="F72" t="s">
        <v>981</v>
      </c>
      <c r="G72" t="s">
        <v>160</v>
      </c>
      <c r="H72" t="s">
        <v>23</v>
      </c>
      <c r="I72">
        <v>99.507000000000005</v>
      </c>
      <c r="J72">
        <v>5000000</v>
      </c>
      <c r="K72" t="s">
        <v>164</v>
      </c>
      <c r="L72">
        <v>1</v>
      </c>
      <c r="M72">
        <v>5.7600000000000004E-3</v>
      </c>
      <c r="N72">
        <v>28727.331999999999</v>
      </c>
      <c r="O72">
        <v>7.7279999999999996E-3</v>
      </c>
      <c r="P72">
        <v>0.4</v>
      </c>
      <c r="Q72">
        <v>3</v>
      </c>
    </row>
    <row r="73" spans="1:17">
      <c r="A73" t="s">
        <v>67</v>
      </c>
      <c r="B73">
        <v>0</v>
      </c>
      <c r="C73">
        <v>14</v>
      </c>
      <c r="D73" t="s">
        <v>159</v>
      </c>
      <c r="E73" t="s">
        <v>205</v>
      </c>
      <c r="F73" t="s">
        <v>204</v>
      </c>
      <c r="G73" t="s">
        <v>160</v>
      </c>
      <c r="H73" t="s">
        <v>23</v>
      </c>
      <c r="I73">
        <v>107.58</v>
      </c>
      <c r="J73">
        <v>2500000</v>
      </c>
      <c r="K73" t="s">
        <v>173</v>
      </c>
      <c r="L73">
        <v>1</v>
      </c>
      <c r="M73">
        <v>1.7149999999999999E-3</v>
      </c>
      <c r="N73">
        <v>4612.6610000000001</v>
      </c>
      <c r="O73">
        <v>1.7440000000000001E-3</v>
      </c>
      <c r="P73">
        <v>0.5</v>
      </c>
      <c r="Q73">
        <v>3</v>
      </c>
    </row>
    <row r="74" spans="1:17">
      <c r="A74" t="s">
        <v>69</v>
      </c>
      <c r="B74">
        <v>0</v>
      </c>
      <c r="C74">
        <v>14</v>
      </c>
      <c r="D74" t="s">
        <v>159</v>
      </c>
      <c r="E74" t="s">
        <v>203</v>
      </c>
      <c r="F74" t="s">
        <v>204</v>
      </c>
      <c r="G74" t="s">
        <v>160</v>
      </c>
      <c r="H74" t="s">
        <v>23</v>
      </c>
      <c r="I74">
        <v>112.867</v>
      </c>
      <c r="J74">
        <v>10000000</v>
      </c>
      <c r="K74" t="s">
        <v>173</v>
      </c>
      <c r="L74">
        <v>1</v>
      </c>
      <c r="M74">
        <v>1.2364999999999999E-2</v>
      </c>
      <c r="N74">
        <v>139840.30499999999</v>
      </c>
      <c r="O74">
        <v>4.1580000000000002E-3</v>
      </c>
      <c r="P74">
        <v>0.5</v>
      </c>
      <c r="Q74">
        <v>3</v>
      </c>
    </row>
    <row r="75" spans="1:17">
      <c r="A75" t="s">
        <v>71</v>
      </c>
      <c r="B75">
        <v>0</v>
      </c>
      <c r="C75">
        <v>14</v>
      </c>
      <c r="D75" t="s">
        <v>159</v>
      </c>
      <c r="E75" t="s">
        <v>230</v>
      </c>
      <c r="F75" t="s">
        <v>231</v>
      </c>
      <c r="G75" t="s">
        <v>160</v>
      </c>
      <c r="H75" t="s">
        <v>23</v>
      </c>
      <c r="I75">
        <v>107.238</v>
      </c>
      <c r="J75">
        <v>3000000</v>
      </c>
      <c r="K75" t="s">
        <v>173</v>
      </c>
      <c r="L75">
        <v>1</v>
      </c>
      <c r="M75">
        <v>7.5050000000000004E-3</v>
      </c>
      <c r="N75">
        <v>24146.313999999998</v>
      </c>
      <c r="O75">
        <v>1.1733E-2</v>
      </c>
      <c r="P75">
        <v>1.5</v>
      </c>
      <c r="Q75">
        <v>4</v>
      </c>
    </row>
    <row r="76" spans="1:17">
      <c r="A76" t="s">
        <v>1149</v>
      </c>
      <c r="B76">
        <v>0</v>
      </c>
      <c r="C76">
        <v>14</v>
      </c>
      <c r="D76" t="s">
        <v>159</v>
      </c>
      <c r="E76" t="s">
        <v>1178</v>
      </c>
      <c r="F76" t="s">
        <v>994</v>
      </c>
      <c r="G76" t="s">
        <v>160</v>
      </c>
      <c r="H76" t="s">
        <v>23</v>
      </c>
      <c r="I76">
        <v>94.543000000000006</v>
      </c>
      <c r="J76">
        <v>1300000</v>
      </c>
      <c r="K76" t="s">
        <v>164</v>
      </c>
      <c r="L76">
        <v>1</v>
      </c>
      <c r="M76">
        <v>1.3808000000000001E-2</v>
      </c>
      <c r="N76">
        <v>16971.245999999999</v>
      </c>
      <c r="O76">
        <v>8.2319999999999997E-3</v>
      </c>
      <c r="P76">
        <v>0.2</v>
      </c>
      <c r="Q76">
        <v>3</v>
      </c>
    </row>
    <row r="77" spans="1:17">
      <c r="A77" t="s">
        <v>1151</v>
      </c>
      <c r="B77">
        <v>0</v>
      </c>
      <c r="C77">
        <v>14</v>
      </c>
      <c r="D77" t="s">
        <v>159</v>
      </c>
      <c r="E77" t="s">
        <v>1179</v>
      </c>
      <c r="F77" t="s">
        <v>994</v>
      </c>
      <c r="G77" t="s">
        <v>160</v>
      </c>
      <c r="H77" t="s">
        <v>23</v>
      </c>
      <c r="I77">
        <v>95.745000000000005</v>
      </c>
      <c r="J77">
        <v>800000</v>
      </c>
      <c r="K77" t="s">
        <v>164</v>
      </c>
      <c r="L77">
        <v>1</v>
      </c>
      <c r="M77">
        <v>1.3207999999999999E-2</v>
      </c>
      <c r="N77">
        <v>10117.16</v>
      </c>
      <c r="O77">
        <v>8.0789999999999994E-3</v>
      </c>
      <c r="P77">
        <v>0.1</v>
      </c>
      <c r="Q77">
        <v>3</v>
      </c>
    </row>
    <row r="78" spans="1:17">
      <c r="A78" t="s">
        <v>1302</v>
      </c>
      <c r="B78">
        <v>0</v>
      </c>
      <c r="C78">
        <v>14</v>
      </c>
      <c r="D78" t="s">
        <v>159</v>
      </c>
      <c r="E78" t="s">
        <v>1415</v>
      </c>
      <c r="F78" t="s">
        <v>994</v>
      </c>
      <c r="G78" t="s">
        <v>160</v>
      </c>
      <c r="H78" t="s">
        <v>23</v>
      </c>
      <c r="I78">
        <v>100.889</v>
      </c>
      <c r="J78">
        <v>2950000</v>
      </c>
      <c r="K78" t="s">
        <v>164</v>
      </c>
      <c r="L78">
        <v>1</v>
      </c>
      <c r="M78">
        <v>2.7039999999999998E-3</v>
      </c>
      <c r="N78">
        <v>8049.8519999999999</v>
      </c>
      <c r="O78">
        <v>4.2319999999999997E-3</v>
      </c>
      <c r="P78">
        <v>0.3</v>
      </c>
      <c r="Q78">
        <v>3</v>
      </c>
    </row>
    <row r="79" spans="1:17">
      <c r="A79" t="s">
        <v>73</v>
      </c>
      <c r="B79">
        <v>0</v>
      </c>
      <c r="C79">
        <v>14</v>
      </c>
      <c r="D79" t="s">
        <v>159</v>
      </c>
      <c r="E79" t="s">
        <v>209</v>
      </c>
      <c r="F79" t="s">
        <v>210</v>
      </c>
      <c r="G79" t="s">
        <v>160</v>
      </c>
      <c r="H79" t="s">
        <v>23</v>
      </c>
      <c r="I79">
        <v>102.621</v>
      </c>
      <c r="J79">
        <v>7100000</v>
      </c>
      <c r="K79" t="s">
        <v>173</v>
      </c>
      <c r="L79">
        <v>1</v>
      </c>
      <c r="M79">
        <v>2.4849999999999998E-3</v>
      </c>
      <c r="N79">
        <v>18112.963</v>
      </c>
      <c r="O79">
        <v>9.1100000000000003E-4</v>
      </c>
      <c r="P79">
        <v>0.5</v>
      </c>
      <c r="Q79">
        <v>3</v>
      </c>
    </row>
    <row r="80" spans="1:17">
      <c r="A80" t="s">
        <v>1153</v>
      </c>
      <c r="B80">
        <v>0</v>
      </c>
      <c r="C80">
        <v>14</v>
      </c>
      <c r="D80" t="s">
        <v>159</v>
      </c>
      <c r="E80" t="s">
        <v>1180</v>
      </c>
      <c r="F80" t="s">
        <v>1092</v>
      </c>
      <c r="G80" t="s">
        <v>160</v>
      </c>
      <c r="H80" t="s">
        <v>23</v>
      </c>
      <c r="I80">
        <v>88.495000000000005</v>
      </c>
      <c r="J80">
        <v>5500000</v>
      </c>
      <c r="K80" t="s">
        <v>164</v>
      </c>
      <c r="L80">
        <v>1</v>
      </c>
      <c r="M80">
        <v>2.7556000000000001E-2</v>
      </c>
      <c r="N80">
        <v>134569.742</v>
      </c>
      <c r="O80">
        <v>1.1157E-2</v>
      </c>
      <c r="P80">
        <v>0.4</v>
      </c>
      <c r="Q80">
        <v>3</v>
      </c>
    </row>
    <row r="81" spans="1:17">
      <c r="A81" t="s">
        <v>1070</v>
      </c>
      <c r="B81">
        <v>0</v>
      </c>
      <c r="C81">
        <v>14</v>
      </c>
      <c r="D81" t="s">
        <v>159</v>
      </c>
      <c r="E81" t="s">
        <v>1091</v>
      </c>
      <c r="F81" t="s">
        <v>1092</v>
      </c>
      <c r="G81" t="s">
        <v>160</v>
      </c>
      <c r="H81" t="s">
        <v>23</v>
      </c>
      <c r="I81">
        <v>91.492000000000004</v>
      </c>
      <c r="J81">
        <v>3800000</v>
      </c>
      <c r="K81" t="s">
        <v>164</v>
      </c>
      <c r="L81">
        <v>1</v>
      </c>
      <c r="M81">
        <v>2.5128999999999999E-2</v>
      </c>
      <c r="N81">
        <v>87672.595000000001</v>
      </c>
      <c r="O81">
        <v>1.0404999999999999E-2</v>
      </c>
      <c r="P81">
        <v>0.4</v>
      </c>
      <c r="Q81">
        <v>3</v>
      </c>
    </row>
    <row r="82" spans="1:17">
      <c r="A82" t="s">
        <v>1208</v>
      </c>
      <c r="B82">
        <v>0</v>
      </c>
      <c r="C82">
        <v>14</v>
      </c>
      <c r="D82" t="s">
        <v>159</v>
      </c>
      <c r="E82" t="s">
        <v>1245</v>
      </c>
      <c r="F82" t="s">
        <v>1246</v>
      </c>
      <c r="G82" t="s">
        <v>160</v>
      </c>
      <c r="H82" t="s">
        <v>23</v>
      </c>
      <c r="I82">
        <v>92.768000000000001</v>
      </c>
      <c r="J82">
        <v>7500000</v>
      </c>
      <c r="K82" t="s">
        <v>173</v>
      </c>
      <c r="L82">
        <v>1</v>
      </c>
      <c r="M82">
        <v>9.8169999999999993E-3</v>
      </c>
      <c r="N82">
        <v>68348.297999999995</v>
      </c>
      <c r="O82">
        <v>8.2310000000000005E-3</v>
      </c>
      <c r="P82">
        <v>0.3</v>
      </c>
      <c r="Q82">
        <v>3</v>
      </c>
    </row>
    <row r="83" spans="1:17">
      <c r="A83" t="s">
        <v>1927</v>
      </c>
      <c r="B83">
        <v>0</v>
      </c>
      <c r="C83">
        <v>14</v>
      </c>
      <c r="D83" t="s">
        <v>159</v>
      </c>
      <c r="E83" t="s">
        <v>1991</v>
      </c>
      <c r="F83" t="s">
        <v>1992</v>
      </c>
      <c r="G83" t="s">
        <v>160</v>
      </c>
      <c r="H83" t="s">
        <v>23</v>
      </c>
      <c r="I83">
        <v>98.927999999999997</v>
      </c>
      <c r="J83">
        <v>15000000</v>
      </c>
      <c r="K83" t="s">
        <v>164</v>
      </c>
      <c r="L83">
        <v>1</v>
      </c>
      <c r="M83">
        <v>1.9984999999999999E-2</v>
      </c>
      <c r="N83">
        <v>296814.89500000002</v>
      </c>
      <c r="O83">
        <v>4.7260000000000002E-3</v>
      </c>
      <c r="P83">
        <v>0.3</v>
      </c>
      <c r="Q83">
        <v>3</v>
      </c>
    </row>
    <row r="84" spans="1:17">
      <c r="A84" t="s">
        <v>1929</v>
      </c>
      <c r="B84">
        <v>0</v>
      </c>
      <c r="C84">
        <v>14</v>
      </c>
      <c r="D84" t="s">
        <v>159</v>
      </c>
      <c r="E84" t="s">
        <v>1993</v>
      </c>
      <c r="F84" t="s">
        <v>1992</v>
      </c>
      <c r="G84" t="s">
        <v>160</v>
      </c>
      <c r="H84" t="s">
        <v>23</v>
      </c>
      <c r="I84">
        <v>97.253</v>
      </c>
      <c r="J84">
        <v>3000000</v>
      </c>
      <c r="K84" t="s">
        <v>164</v>
      </c>
      <c r="L84">
        <v>1</v>
      </c>
      <c r="M84">
        <v>2.5694000000000002E-2</v>
      </c>
      <c r="N84">
        <v>74982.599000000002</v>
      </c>
      <c r="O84">
        <v>5.9550000000000002E-3</v>
      </c>
      <c r="P84">
        <v>0.3</v>
      </c>
      <c r="Q84">
        <v>3</v>
      </c>
    </row>
    <row r="85" spans="1:17">
      <c r="A85" t="s">
        <v>1107</v>
      </c>
      <c r="B85">
        <v>0</v>
      </c>
      <c r="C85">
        <v>14</v>
      </c>
      <c r="D85" t="s">
        <v>159</v>
      </c>
      <c r="E85" t="s">
        <v>1131</v>
      </c>
      <c r="F85" t="s">
        <v>1132</v>
      </c>
      <c r="G85" t="s">
        <v>160</v>
      </c>
      <c r="H85" t="s">
        <v>23</v>
      </c>
      <c r="I85">
        <v>99.397999999999996</v>
      </c>
      <c r="J85">
        <v>500000</v>
      </c>
      <c r="K85" t="s">
        <v>164</v>
      </c>
      <c r="L85">
        <v>1</v>
      </c>
      <c r="M85">
        <v>1.8391000000000001E-2</v>
      </c>
      <c r="N85">
        <v>9149.3919999999998</v>
      </c>
      <c r="O85">
        <v>9.6900000000000007E-3</v>
      </c>
      <c r="P85">
        <v>0.2</v>
      </c>
      <c r="Q85">
        <v>3</v>
      </c>
    </row>
    <row r="86" spans="1:17">
      <c r="A86" t="s">
        <v>1109</v>
      </c>
      <c r="B86">
        <v>0</v>
      </c>
      <c r="C86">
        <v>14</v>
      </c>
      <c r="D86" t="s">
        <v>159</v>
      </c>
      <c r="E86" t="s">
        <v>1133</v>
      </c>
      <c r="F86" t="s">
        <v>1132</v>
      </c>
      <c r="G86" t="s">
        <v>160</v>
      </c>
      <c r="H86" t="s">
        <v>23</v>
      </c>
      <c r="I86">
        <v>98.787999999999997</v>
      </c>
      <c r="J86">
        <v>2000000</v>
      </c>
      <c r="K86" t="s">
        <v>164</v>
      </c>
      <c r="L86">
        <v>1</v>
      </c>
      <c r="M86">
        <v>2.1649999999999999E-2</v>
      </c>
      <c r="N86">
        <v>42845.892999999996</v>
      </c>
      <c r="O86">
        <v>1.0170999999999999E-2</v>
      </c>
      <c r="P86">
        <v>0.3</v>
      </c>
      <c r="Q86">
        <v>3</v>
      </c>
    </row>
    <row r="87" spans="1:17">
      <c r="A87" t="s">
        <v>1111</v>
      </c>
      <c r="B87">
        <v>0</v>
      </c>
      <c r="C87">
        <v>14</v>
      </c>
      <c r="D87" t="s">
        <v>159</v>
      </c>
      <c r="E87" t="s">
        <v>1134</v>
      </c>
      <c r="F87" t="s">
        <v>1132</v>
      </c>
      <c r="G87" t="s">
        <v>160</v>
      </c>
      <c r="H87" t="s">
        <v>23</v>
      </c>
      <c r="I87">
        <v>104.191</v>
      </c>
      <c r="J87">
        <v>1100000</v>
      </c>
      <c r="K87" t="s">
        <v>164</v>
      </c>
      <c r="L87">
        <v>1</v>
      </c>
      <c r="M87">
        <v>1.5207E-2</v>
      </c>
      <c r="N87">
        <v>17473.967000000001</v>
      </c>
      <c r="O87">
        <v>9.3989999999999994E-3</v>
      </c>
      <c r="P87">
        <v>0.3</v>
      </c>
      <c r="Q87">
        <v>3</v>
      </c>
    </row>
    <row r="88" spans="1:17">
      <c r="A88" t="s">
        <v>1113</v>
      </c>
      <c r="B88">
        <v>0</v>
      </c>
      <c r="C88">
        <v>14</v>
      </c>
      <c r="D88" t="s">
        <v>159</v>
      </c>
      <c r="E88" t="s">
        <v>1135</v>
      </c>
      <c r="F88" t="s">
        <v>1132</v>
      </c>
      <c r="G88" t="s">
        <v>160</v>
      </c>
      <c r="H88" t="s">
        <v>23</v>
      </c>
      <c r="I88">
        <v>98.052999999999997</v>
      </c>
      <c r="J88">
        <v>3000000</v>
      </c>
      <c r="K88" t="s">
        <v>164</v>
      </c>
      <c r="L88">
        <v>1</v>
      </c>
      <c r="M88">
        <v>9.6200000000000001E-3</v>
      </c>
      <c r="N88">
        <v>28321.714</v>
      </c>
      <c r="O88">
        <v>9.7249999999999993E-3</v>
      </c>
      <c r="P88">
        <v>0.3</v>
      </c>
      <c r="Q88">
        <v>3</v>
      </c>
    </row>
    <row r="89" spans="1:17">
      <c r="A89" t="s">
        <v>1304</v>
      </c>
      <c r="B89">
        <v>0</v>
      </c>
      <c r="C89">
        <v>14</v>
      </c>
      <c r="D89" t="s">
        <v>159</v>
      </c>
      <c r="E89" t="s">
        <v>1416</v>
      </c>
      <c r="F89" t="s">
        <v>1417</v>
      </c>
      <c r="G89" t="s">
        <v>160</v>
      </c>
      <c r="H89" t="s">
        <v>23</v>
      </c>
      <c r="I89">
        <v>98.257999999999996</v>
      </c>
      <c r="J89">
        <v>800000</v>
      </c>
      <c r="K89" t="s">
        <v>164</v>
      </c>
      <c r="L89">
        <v>1</v>
      </c>
      <c r="M89">
        <v>7.8189999999999996E-3</v>
      </c>
      <c r="N89">
        <v>6146.7269999999999</v>
      </c>
      <c r="O89">
        <v>7.025E-3</v>
      </c>
      <c r="P89">
        <v>0.3</v>
      </c>
      <c r="Q89">
        <v>3</v>
      </c>
    </row>
    <row r="90" spans="1:17">
      <c r="A90" t="s">
        <v>1306</v>
      </c>
      <c r="B90">
        <v>0</v>
      </c>
      <c r="C90">
        <v>14</v>
      </c>
      <c r="D90" t="s">
        <v>159</v>
      </c>
      <c r="E90" t="s">
        <v>1418</v>
      </c>
      <c r="F90" t="s">
        <v>1417</v>
      </c>
      <c r="G90" t="s">
        <v>160</v>
      </c>
      <c r="H90" t="s">
        <v>23</v>
      </c>
      <c r="I90">
        <v>100.223</v>
      </c>
      <c r="J90">
        <v>2200000</v>
      </c>
      <c r="K90" t="s">
        <v>164</v>
      </c>
      <c r="L90">
        <v>1</v>
      </c>
      <c r="M90">
        <v>5.1159999999999999E-3</v>
      </c>
      <c r="N90">
        <v>11287.478999999999</v>
      </c>
      <c r="O90">
        <v>6.0039999999999998E-3</v>
      </c>
      <c r="P90">
        <v>0.3</v>
      </c>
      <c r="Q90">
        <v>3</v>
      </c>
    </row>
    <row r="91" spans="1:17">
      <c r="A91" t="s">
        <v>1308</v>
      </c>
      <c r="B91">
        <v>0</v>
      </c>
      <c r="C91">
        <v>14</v>
      </c>
      <c r="D91" t="s">
        <v>159</v>
      </c>
      <c r="E91" t="s">
        <v>1419</v>
      </c>
      <c r="F91" t="s">
        <v>1420</v>
      </c>
      <c r="G91" t="s">
        <v>160</v>
      </c>
      <c r="H91" t="s">
        <v>23</v>
      </c>
      <c r="I91">
        <v>89.619</v>
      </c>
      <c r="J91">
        <v>1000000</v>
      </c>
      <c r="K91" t="s">
        <v>164</v>
      </c>
      <c r="L91">
        <v>1</v>
      </c>
      <c r="M91">
        <v>2.2818999999999999E-2</v>
      </c>
      <c r="N91">
        <v>20461.538</v>
      </c>
      <c r="O91">
        <v>1.2322E-2</v>
      </c>
      <c r="P91">
        <v>0.3</v>
      </c>
      <c r="Q91">
        <v>3</v>
      </c>
    </row>
    <row r="92" spans="1:17">
      <c r="A92" t="s">
        <v>75</v>
      </c>
      <c r="B92">
        <v>0</v>
      </c>
      <c r="C92">
        <v>14</v>
      </c>
      <c r="D92" t="s">
        <v>159</v>
      </c>
      <c r="E92" t="s">
        <v>176</v>
      </c>
      <c r="F92" t="s">
        <v>177</v>
      </c>
      <c r="G92" t="s">
        <v>160</v>
      </c>
      <c r="H92" t="s">
        <v>23</v>
      </c>
      <c r="I92">
        <v>97.034000000000006</v>
      </c>
      <c r="J92">
        <v>9600000</v>
      </c>
      <c r="K92" t="s">
        <v>164</v>
      </c>
      <c r="L92">
        <v>1</v>
      </c>
      <c r="M92">
        <v>5.8060000000000004E-3</v>
      </c>
      <c r="N92">
        <v>54113.728999999999</v>
      </c>
      <c r="O92">
        <v>5.9560000000000004E-3</v>
      </c>
      <c r="P92">
        <v>2</v>
      </c>
      <c r="Q92">
        <v>4</v>
      </c>
    </row>
    <row r="93" spans="1:17">
      <c r="A93" t="s">
        <v>1310</v>
      </c>
      <c r="B93">
        <v>0</v>
      </c>
      <c r="C93">
        <v>14</v>
      </c>
      <c r="D93" t="s">
        <v>159</v>
      </c>
      <c r="E93" t="s">
        <v>1421</v>
      </c>
      <c r="F93" t="s">
        <v>1422</v>
      </c>
      <c r="G93" t="s">
        <v>160</v>
      </c>
      <c r="H93" t="s">
        <v>23</v>
      </c>
      <c r="I93">
        <v>89.093000000000004</v>
      </c>
      <c r="J93">
        <v>400000</v>
      </c>
      <c r="K93" t="s">
        <v>164</v>
      </c>
      <c r="L93">
        <v>1</v>
      </c>
      <c r="M93">
        <v>2.3300999999999999E-2</v>
      </c>
      <c r="N93">
        <v>8324.4680000000008</v>
      </c>
      <c r="O93">
        <v>1.1364000000000001E-2</v>
      </c>
      <c r="P93">
        <v>0.2</v>
      </c>
      <c r="Q93">
        <v>3</v>
      </c>
    </row>
    <row r="94" spans="1:17">
      <c r="A94" t="s">
        <v>1931</v>
      </c>
      <c r="B94">
        <v>0</v>
      </c>
      <c r="C94">
        <v>14</v>
      </c>
      <c r="D94" t="s">
        <v>159</v>
      </c>
      <c r="E94" t="s">
        <v>1994</v>
      </c>
      <c r="F94" t="s">
        <v>1424</v>
      </c>
      <c r="G94" t="s">
        <v>160</v>
      </c>
      <c r="H94" t="s">
        <v>23</v>
      </c>
      <c r="I94">
        <v>88.593999999999994</v>
      </c>
      <c r="J94">
        <v>500000</v>
      </c>
      <c r="K94" t="s">
        <v>164</v>
      </c>
      <c r="L94">
        <v>1</v>
      </c>
      <c r="M94">
        <v>2.4313999999999999E-2</v>
      </c>
      <c r="N94">
        <v>10770.766</v>
      </c>
      <c r="O94">
        <v>1.3226E-2</v>
      </c>
      <c r="P94">
        <v>0.2</v>
      </c>
      <c r="Q94">
        <v>3</v>
      </c>
    </row>
    <row r="95" spans="1:17">
      <c r="A95" t="s">
        <v>1312</v>
      </c>
      <c r="B95">
        <v>0</v>
      </c>
      <c r="C95">
        <v>14</v>
      </c>
      <c r="D95" t="s">
        <v>159</v>
      </c>
      <c r="E95" t="s">
        <v>1423</v>
      </c>
      <c r="F95" t="s">
        <v>1424</v>
      </c>
      <c r="G95" t="s">
        <v>160</v>
      </c>
      <c r="H95" t="s">
        <v>23</v>
      </c>
      <c r="I95">
        <v>88.424999999999997</v>
      </c>
      <c r="J95">
        <v>300000</v>
      </c>
      <c r="K95" t="s">
        <v>164</v>
      </c>
      <c r="L95">
        <v>1</v>
      </c>
      <c r="M95">
        <v>2.5832999999999998E-2</v>
      </c>
      <c r="N95">
        <v>6853.0619999999999</v>
      </c>
      <c r="O95">
        <v>1.2112E-2</v>
      </c>
      <c r="P95">
        <v>0.2</v>
      </c>
      <c r="Q95">
        <v>3</v>
      </c>
    </row>
    <row r="96" spans="1:17">
      <c r="A96" t="s">
        <v>77</v>
      </c>
      <c r="B96">
        <v>0</v>
      </c>
      <c r="C96">
        <v>14</v>
      </c>
      <c r="D96" t="s">
        <v>159</v>
      </c>
      <c r="E96" t="s">
        <v>211</v>
      </c>
      <c r="F96" t="s">
        <v>212</v>
      </c>
      <c r="G96" t="s">
        <v>160</v>
      </c>
      <c r="H96" t="s">
        <v>23</v>
      </c>
      <c r="I96">
        <v>106.06</v>
      </c>
      <c r="J96">
        <v>8000000</v>
      </c>
      <c r="K96" t="s">
        <v>173</v>
      </c>
      <c r="L96">
        <v>1</v>
      </c>
      <c r="M96">
        <v>2.8449999999999999E-3</v>
      </c>
      <c r="N96">
        <v>24144.415000000001</v>
      </c>
      <c r="O96">
        <v>2.8379999999999998E-3</v>
      </c>
      <c r="P96">
        <v>1.8</v>
      </c>
      <c r="Q96">
        <v>4</v>
      </c>
    </row>
    <row r="97" spans="1:17">
      <c r="A97" t="s">
        <v>935</v>
      </c>
      <c r="B97">
        <v>0</v>
      </c>
      <c r="C97">
        <v>14</v>
      </c>
      <c r="D97" t="s">
        <v>159</v>
      </c>
      <c r="E97" t="s">
        <v>944</v>
      </c>
      <c r="F97" t="s">
        <v>945</v>
      </c>
      <c r="G97" t="s">
        <v>160</v>
      </c>
      <c r="H97" t="s">
        <v>23</v>
      </c>
      <c r="I97">
        <v>84.891000000000005</v>
      </c>
      <c r="J97">
        <v>7450000</v>
      </c>
      <c r="K97" t="s">
        <v>164</v>
      </c>
      <c r="L97">
        <v>1</v>
      </c>
      <c r="M97">
        <v>1.4635E-2</v>
      </c>
      <c r="N97">
        <v>92629.584000000003</v>
      </c>
      <c r="O97">
        <v>1.3452E-2</v>
      </c>
      <c r="P97">
        <v>0.5</v>
      </c>
      <c r="Q97">
        <v>3</v>
      </c>
    </row>
    <row r="98" spans="1:17">
      <c r="A98" t="s">
        <v>1210</v>
      </c>
      <c r="B98">
        <v>0</v>
      </c>
      <c r="C98">
        <v>14</v>
      </c>
      <c r="D98" t="s">
        <v>159</v>
      </c>
      <c r="E98" t="s">
        <v>1247</v>
      </c>
      <c r="F98" t="s">
        <v>1248</v>
      </c>
      <c r="G98" t="s">
        <v>160</v>
      </c>
      <c r="H98" t="s">
        <v>23</v>
      </c>
      <c r="I98">
        <v>92.918999999999997</v>
      </c>
      <c r="J98">
        <v>3000000</v>
      </c>
      <c r="K98" t="s">
        <v>164</v>
      </c>
      <c r="L98">
        <v>1</v>
      </c>
      <c r="M98">
        <v>2.1895000000000001E-2</v>
      </c>
      <c r="N98">
        <v>61616.436000000002</v>
      </c>
      <c r="O98">
        <v>7.6039999999999996E-3</v>
      </c>
      <c r="P98">
        <v>0.7</v>
      </c>
      <c r="Q98">
        <v>3</v>
      </c>
    </row>
    <row r="99" spans="1:17">
      <c r="A99" t="s">
        <v>937</v>
      </c>
      <c r="B99">
        <v>0</v>
      </c>
      <c r="C99">
        <v>14</v>
      </c>
      <c r="D99" t="s">
        <v>159</v>
      </c>
      <c r="E99" t="s">
        <v>946</v>
      </c>
      <c r="F99" t="s">
        <v>947</v>
      </c>
      <c r="G99" t="s">
        <v>160</v>
      </c>
      <c r="H99" t="s">
        <v>23</v>
      </c>
      <c r="I99">
        <v>98.206000000000003</v>
      </c>
      <c r="J99">
        <v>5000000</v>
      </c>
      <c r="K99" t="s">
        <v>164</v>
      </c>
      <c r="L99">
        <v>1</v>
      </c>
      <c r="M99">
        <v>4.633E-3</v>
      </c>
      <c r="N99">
        <v>22754.338</v>
      </c>
      <c r="O99">
        <v>9.2020000000000001E-3</v>
      </c>
      <c r="P99">
        <v>0.3</v>
      </c>
      <c r="Q99">
        <v>3</v>
      </c>
    </row>
    <row r="100" spans="1:17">
      <c r="A100" t="s">
        <v>881</v>
      </c>
      <c r="B100">
        <v>0</v>
      </c>
      <c r="C100">
        <v>14</v>
      </c>
      <c r="D100" t="s">
        <v>159</v>
      </c>
      <c r="E100" t="s">
        <v>908</v>
      </c>
      <c r="F100" t="s">
        <v>909</v>
      </c>
      <c r="G100" t="s">
        <v>160</v>
      </c>
      <c r="H100" t="s">
        <v>23</v>
      </c>
      <c r="I100">
        <v>94.254000000000005</v>
      </c>
      <c r="J100">
        <v>3000000</v>
      </c>
      <c r="K100" t="s">
        <v>164</v>
      </c>
      <c r="L100">
        <v>1</v>
      </c>
      <c r="M100">
        <v>8.2620000000000002E-3</v>
      </c>
      <c r="N100">
        <v>23364.489000000001</v>
      </c>
      <c r="O100">
        <v>8.9020000000000002E-3</v>
      </c>
      <c r="P100">
        <v>0.3</v>
      </c>
      <c r="Q100">
        <v>3</v>
      </c>
    </row>
    <row r="101" spans="1:17">
      <c r="A101" t="s">
        <v>1314</v>
      </c>
      <c r="B101">
        <v>0</v>
      </c>
      <c r="C101">
        <v>14</v>
      </c>
      <c r="D101" t="s">
        <v>159</v>
      </c>
      <c r="E101" t="s">
        <v>1425</v>
      </c>
      <c r="F101" t="s">
        <v>1426</v>
      </c>
      <c r="G101" t="s">
        <v>160</v>
      </c>
      <c r="H101" t="s">
        <v>23</v>
      </c>
      <c r="I101">
        <v>99.4</v>
      </c>
      <c r="J101">
        <v>10000000</v>
      </c>
      <c r="K101" t="s">
        <v>164</v>
      </c>
      <c r="L101">
        <v>1</v>
      </c>
      <c r="M101">
        <v>7.731E-3</v>
      </c>
      <c r="N101">
        <v>76848.861999999994</v>
      </c>
      <c r="O101">
        <v>8.1639999999999994E-3</v>
      </c>
      <c r="P101">
        <v>13.1</v>
      </c>
      <c r="Q101">
        <v>16</v>
      </c>
    </row>
    <row r="102" spans="1:17">
      <c r="A102" t="s">
        <v>1212</v>
      </c>
      <c r="B102">
        <v>0</v>
      </c>
      <c r="C102">
        <v>14</v>
      </c>
      <c r="D102" t="s">
        <v>159</v>
      </c>
      <c r="E102" t="s">
        <v>1249</v>
      </c>
      <c r="F102" t="s">
        <v>1250</v>
      </c>
      <c r="G102" t="s">
        <v>160</v>
      </c>
      <c r="H102" t="s">
        <v>23</v>
      </c>
      <c r="I102">
        <v>93.441000000000003</v>
      </c>
      <c r="J102">
        <v>1500000</v>
      </c>
      <c r="K102" t="s">
        <v>173</v>
      </c>
      <c r="L102">
        <v>1</v>
      </c>
      <c r="M102">
        <v>7.7279999999999996E-3</v>
      </c>
      <c r="N102">
        <v>10833.83</v>
      </c>
      <c r="O102">
        <v>9.1730000000000006E-3</v>
      </c>
      <c r="P102">
        <v>0.3</v>
      </c>
      <c r="Q102">
        <v>3</v>
      </c>
    </row>
    <row r="103" spans="1:17">
      <c r="A103" t="s">
        <v>1214</v>
      </c>
      <c r="B103">
        <v>0</v>
      </c>
      <c r="C103">
        <v>14</v>
      </c>
      <c r="D103" t="s">
        <v>159</v>
      </c>
      <c r="E103" t="s">
        <v>1251</v>
      </c>
      <c r="F103" t="s">
        <v>1252</v>
      </c>
      <c r="G103" t="s">
        <v>160</v>
      </c>
      <c r="H103" t="s">
        <v>23</v>
      </c>
      <c r="I103">
        <v>99.997</v>
      </c>
      <c r="J103">
        <v>5000000</v>
      </c>
      <c r="K103" t="s">
        <v>173</v>
      </c>
      <c r="L103">
        <v>1</v>
      </c>
      <c r="M103">
        <v>3.2200000000000002E-4</v>
      </c>
      <c r="N103">
        <v>1610.325</v>
      </c>
      <c r="O103">
        <v>2.9599999999999998E-4</v>
      </c>
      <c r="P103">
        <v>2</v>
      </c>
      <c r="Q103">
        <v>4</v>
      </c>
    </row>
    <row r="104" spans="1:17">
      <c r="A104" t="s">
        <v>79</v>
      </c>
      <c r="B104">
        <v>0</v>
      </c>
      <c r="C104">
        <v>14</v>
      </c>
      <c r="D104" t="s">
        <v>159</v>
      </c>
      <c r="E104" t="s">
        <v>186</v>
      </c>
      <c r="F104" t="s">
        <v>187</v>
      </c>
      <c r="G104" t="s">
        <v>160</v>
      </c>
      <c r="H104" t="s">
        <v>23</v>
      </c>
      <c r="I104">
        <v>100.196</v>
      </c>
      <c r="J104">
        <v>1000000</v>
      </c>
      <c r="K104" t="s">
        <v>173</v>
      </c>
      <c r="L104">
        <v>1</v>
      </c>
      <c r="M104">
        <v>1.2982E-2</v>
      </c>
      <c r="N104">
        <v>13124.754999999999</v>
      </c>
      <c r="O104">
        <v>8.2819999999999994E-3</v>
      </c>
      <c r="P104">
        <v>0.5</v>
      </c>
      <c r="Q104">
        <v>3</v>
      </c>
    </row>
    <row r="105" spans="1:17">
      <c r="A105" t="s">
        <v>883</v>
      </c>
      <c r="B105">
        <v>0</v>
      </c>
      <c r="C105">
        <v>14</v>
      </c>
      <c r="D105" t="s">
        <v>159</v>
      </c>
      <c r="E105" t="s">
        <v>910</v>
      </c>
      <c r="F105" t="s">
        <v>911</v>
      </c>
      <c r="G105" t="s">
        <v>160</v>
      </c>
      <c r="H105" t="s">
        <v>23</v>
      </c>
      <c r="I105">
        <v>96.149000000000001</v>
      </c>
      <c r="J105">
        <v>13000000</v>
      </c>
      <c r="K105" t="s">
        <v>164</v>
      </c>
      <c r="L105">
        <v>1</v>
      </c>
      <c r="M105">
        <v>1.0024E-2</v>
      </c>
      <c r="N105">
        <v>125520.91899999999</v>
      </c>
      <c r="O105">
        <v>7.672E-3</v>
      </c>
      <c r="P105">
        <v>4.5</v>
      </c>
      <c r="Q105">
        <v>7</v>
      </c>
    </row>
    <row r="106" spans="1:17">
      <c r="A106" t="s">
        <v>1155</v>
      </c>
      <c r="B106">
        <v>0</v>
      </c>
      <c r="C106">
        <v>14</v>
      </c>
      <c r="D106" t="s">
        <v>159</v>
      </c>
      <c r="E106" t="s">
        <v>1181</v>
      </c>
      <c r="F106" t="s">
        <v>1182</v>
      </c>
      <c r="G106" t="s">
        <v>160</v>
      </c>
      <c r="H106" t="s">
        <v>23</v>
      </c>
      <c r="I106">
        <v>66.397000000000006</v>
      </c>
      <c r="J106">
        <v>3000000</v>
      </c>
      <c r="K106" t="s">
        <v>164</v>
      </c>
      <c r="L106">
        <v>1</v>
      </c>
      <c r="M106">
        <v>2.1104000000000001E-2</v>
      </c>
      <c r="N106">
        <v>42038.578999999998</v>
      </c>
      <c r="O106">
        <v>1.883E-2</v>
      </c>
      <c r="P106">
        <v>0.3</v>
      </c>
      <c r="Q106">
        <v>3</v>
      </c>
    </row>
    <row r="107" spans="1:17">
      <c r="A107" t="s">
        <v>1933</v>
      </c>
      <c r="B107">
        <v>0</v>
      </c>
      <c r="C107">
        <v>14</v>
      </c>
      <c r="D107" t="s">
        <v>159</v>
      </c>
      <c r="E107" t="s">
        <v>1995</v>
      </c>
      <c r="F107" t="s">
        <v>1996</v>
      </c>
      <c r="G107" t="s">
        <v>228</v>
      </c>
      <c r="H107" t="s">
        <v>23</v>
      </c>
      <c r="I107">
        <v>100.277</v>
      </c>
      <c r="J107">
        <v>1000000</v>
      </c>
      <c r="K107" t="s">
        <v>1450</v>
      </c>
      <c r="L107">
        <v>1</v>
      </c>
      <c r="M107">
        <v>1.1401E-2</v>
      </c>
      <c r="N107">
        <v>11433.273999999999</v>
      </c>
      <c r="O107">
        <v>2.8530000000000001E-3</v>
      </c>
      <c r="P107">
        <v>0.4</v>
      </c>
      <c r="Q107">
        <v>3</v>
      </c>
    </row>
    <row r="108" spans="1:17">
      <c r="A108" t="s">
        <v>1935</v>
      </c>
      <c r="B108">
        <v>0</v>
      </c>
      <c r="C108">
        <v>14</v>
      </c>
      <c r="D108" t="s">
        <v>159</v>
      </c>
      <c r="E108" t="s">
        <v>1997</v>
      </c>
      <c r="F108" t="s">
        <v>1996</v>
      </c>
      <c r="G108" t="s">
        <v>228</v>
      </c>
      <c r="H108" t="s">
        <v>23</v>
      </c>
      <c r="I108">
        <v>99.567999999999998</v>
      </c>
      <c r="J108">
        <v>3000000</v>
      </c>
      <c r="K108" t="s">
        <v>1450</v>
      </c>
      <c r="L108">
        <v>1</v>
      </c>
      <c r="M108">
        <v>2.3366999999999999E-2</v>
      </c>
      <c r="N108">
        <v>69800.134000000005</v>
      </c>
      <c r="O108">
        <v>2.931E-3</v>
      </c>
      <c r="P108">
        <v>0.5</v>
      </c>
      <c r="Q108">
        <v>3</v>
      </c>
    </row>
    <row r="109" spans="1:17">
      <c r="A109" t="s">
        <v>1216</v>
      </c>
      <c r="B109">
        <v>0</v>
      </c>
      <c r="C109">
        <v>14</v>
      </c>
      <c r="D109" t="s">
        <v>159</v>
      </c>
      <c r="E109" t="s">
        <v>1253</v>
      </c>
      <c r="F109" t="s">
        <v>190</v>
      </c>
      <c r="G109" t="s">
        <v>160</v>
      </c>
      <c r="H109" t="s">
        <v>23</v>
      </c>
      <c r="I109">
        <v>98.006</v>
      </c>
      <c r="J109">
        <v>3000000</v>
      </c>
      <c r="K109" t="s">
        <v>164</v>
      </c>
      <c r="L109">
        <v>1</v>
      </c>
      <c r="M109">
        <v>7.5659999999999998E-3</v>
      </c>
      <c r="N109">
        <v>22247.816999999999</v>
      </c>
      <c r="O109">
        <v>6.7809999999999997E-3</v>
      </c>
      <c r="P109">
        <v>0.3</v>
      </c>
      <c r="Q109">
        <v>3</v>
      </c>
    </row>
    <row r="110" spans="1:17">
      <c r="A110" t="s">
        <v>1316</v>
      </c>
      <c r="B110">
        <v>0</v>
      </c>
      <c r="C110">
        <v>14</v>
      </c>
      <c r="D110" t="s">
        <v>159</v>
      </c>
      <c r="E110" t="s">
        <v>1427</v>
      </c>
      <c r="F110" t="s">
        <v>190</v>
      </c>
      <c r="G110" t="s">
        <v>160</v>
      </c>
      <c r="H110" t="s">
        <v>23</v>
      </c>
      <c r="I110">
        <v>96.887</v>
      </c>
      <c r="J110">
        <v>3300000</v>
      </c>
      <c r="K110" t="s">
        <v>164</v>
      </c>
      <c r="L110">
        <v>1</v>
      </c>
      <c r="M110">
        <v>1.0734E-2</v>
      </c>
      <c r="N110">
        <v>34324.139000000003</v>
      </c>
      <c r="O110">
        <v>8.2470000000000009E-3</v>
      </c>
      <c r="P110">
        <v>0.2</v>
      </c>
      <c r="Q110">
        <v>3</v>
      </c>
    </row>
    <row r="111" spans="1:17">
      <c r="A111" t="s">
        <v>1218</v>
      </c>
      <c r="B111">
        <v>0</v>
      </c>
      <c r="C111">
        <v>14</v>
      </c>
      <c r="D111" t="s">
        <v>159</v>
      </c>
      <c r="E111" t="s">
        <v>1254</v>
      </c>
      <c r="F111" t="s">
        <v>1255</v>
      </c>
      <c r="G111" t="s">
        <v>160</v>
      </c>
      <c r="H111" t="s">
        <v>23</v>
      </c>
      <c r="I111">
        <v>97.313999999999993</v>
      </c>
      <c r="J111">
        <v>3500000</v>
      </c>
      <c r="K111" t="s">
        <v>164</v>
      </c>
      <c r="L111">
        <v>1</v>
      </c>
      <c r="M111">
        <v>1.3662000000000001E-2</v>
      </c>
      <c r="N111">
        <v>46644.368999999999</v>
      </c>
      <c r="O111">
        <v>7.3010000000000002E-3</v>
      </c>
      <c r="P111">
        <v>0.5</v>
      </c>
      <c r="Q111">
        <v>3</v>
      </c>
    </row>
    <row r="112" spans="1:17">
      <c r="A112" t="s">
        <v>1318</v>
      </c>
      <c r="B112">
        <v>0</v>
      </c>
      <c r="C112">
        <v>14</v>
      </c>
      <c r="D112" t="s">
        <v>159</v>
      </c>
      <c r="E112" t="s">
        <v>1428</v>
      </c>
      <c r="F112" t="s">
        <v>166</v>
      </c>
      <c r="G112" t="s">
        <v>160</v>
      </c>
      <c r="H112" t="s">
        <v>23</v>
      </c>
      <c r="I112">
        <v>96.918999999999997</v>
      </c>
      <c r="J112">
        <v>2000000</v>
      </c>
      <c r="K112" t="s">
        <v>164</v>
      </c>
      <c r="L112">
        <v>1</v>
      </c>
      <c r="M112">
        <v>9.1800000000000007E-3</v>
      </c>
      <c r="N112">
        <v>17798.02</v>
      </c>
      <c r="O112">
        <v>6.8669999999999998E-3</v>
      </c>
      <c r="P112">
        <v>0.2</v>
      </c>
      <c r="Q112">
        <v>3</v>
      </c>
    </row>
    <row r="113" spans="1:17">
      <c r="A113" t="s">
        <v>1320</v>
      </c>
      <c r="B113">
        <v>0</v>
      </c>
      <c r="C113">
        <v>14</v>
      </c>
      <c r="D113" t="s">
        <v>159</v>
      </c>
      <c r="E113" t="s">
        <v>1429</v>
      </c>
      <c r="F113" t="s">
        <v>166</v>
      </c>
      <c r="G113" t="s">
        <v>160</v>
      </c>
      <c r="H113" t="s">
        <v>23</v>
      </c>
      <c r="I113">
        <v>96.105000000000004</v>
      </c>
      <c r="J113">
        <v>800000</v>
      </c>
      <c r="K113" t="s">
        <v>164</v>
      </c>
      <c r="L113">
        <v>1</v>
      </c>
      <c r="M113">
        <v>1.3467E-2</v>
      </c>
      <c r="N113">
        <v>10354.758</v>
      </c>
      <c r="O113">
        <v>8.8999999999999999E-3</v>
      </c>
      <c r="P113">
        <v>0.1</v>
      </c>
      <c r="Q113">
        <v>3</v>
      </c>
    </row>
    <row r="114" spans="1:17">
      <c r="A114" t="s">
        <v>968</v>
      </c>
      <c r="B114">
        <v>0</v>
      </c>
      <c r="C114">
        <v>14</v>
      </c>
      <c r="D114" t="s">
        <v>159</v>
      </c>
      <c r="E114" t="s">
        <v>982</v>
      </c>
      <c r="F114" t="s">
        <v>166</v>
      </c>
      <c r="G114" t="s">
        <v>160</v>
      </c>
      <c r="H114" t="s">
        <v>23</v>
      </c>
      <c r="I114">
        <v>100.07899999999999</v>
      </c>
      <c r="J114">
        <v>2000000</v>
      </c>
      <c r="K114" t="s">
        <v>164</v>
      </c>
      <c r="L114">
        <v>1</v>
      </c>
      <c r="M114">
        <v>6.2300000000000003E-3</v>
      </c>
      <c r="N114">
        <v>12470.79</v>
      </c>
      <c r="O114">
        <v>7.1830000000000001E-3</v>
      </c>
      <c r="P114">
        <v>0.3</v>
      </c>
      <c r="Q114">
        <v>3</v>
      </c>
    </row>
    <row r="115" spans="1:17">
      <c r="A115" t="s">
        <v>1322</v>
      </c>
      <c r="B115">
        <v>0</v>
      </c>
      <c r="C115">
        <v>14</v>
      </c>
      <c r="D115" t="s">
        <v>159</v>
      </c>
      <c r="E115" t="s">
        <v>1430</v>
      </c>
      <c r="F115" t="s">
        <v>166</v>
      </c>
      <c r="G115" t="s">
        <v>160</v>
      </c>
      <c r="H115" t="s">
        <v>23</v>
      </c>
      <c r="I115">
        <v>100.598</v>
      </c>
      <c r="J115">
        <v>1000000</v>
      </c>
      <c r="K115" t="s">
        <v>164</v>
      </c>
      <c r="L115">
        <v>1</v>
      </c>
      <c r="M115">
        <v>4.7739999999999996E-3</v>
      </c>
      <c r="N115">
        <v>4802.8310000000001</v>
      </c>
      <c r="O115">
        <v>6.1619999999999999E-3</v>
      </c>
      <c r="P115">
        <v>0.2</v>
      </c>
      <c r="Q115">
        <v>3</v>
      </c>
    </row>
    <row r="116" spans="1:17">
      <c r="A116" t="s">
        <v>81</v>
      </c>
      <c r="B116">
        <v>0</v>
      </c>
      <c r="C116">
        <v>14</v>
      </c>
      <c r="D116" t="s">
        <v>159</v>
      </c>
      <c r="E116" t="s">
        <v>165</v>
      </c>
      <c r="F116" t="s">
        <v>166</v>
      </c>
      <c r="G116" t="s">
        <v>160</v>
      </c>
      <c r="H116" t="s">
        <v>23</v>
      </c>
      <c r="I116">
        <v>101.928</v>
      </c>
      <c r="J116">
        <v>5000000</v>
      </c>
      <c r="K116" t="s">
        <v>164</v>
      </c>
      <c r="L116">
        <v>1</v>
      </c>
      <c r="M116">
        <v>7.6899999999999998E-3</v>
      </c>
      <c r="N116">
        <v>39211.226999999999</v>
      </c>
      <c r="O116">
        <v>7.8490000000000001E-3</v>
      </c>
      <c r="P116">
        <v>0.3</v>
      </c>
      <c r="Q116">
        <v>3</v>
      </c>
    </row>
    <row r="117" spans="1:17">
      <c r="A117" t="s">
        <v>83</v>
      </c>
      <c r="B117">
        <v>0</v>
      </c>
      <c r="C117">
        <v>14</v>
      </c>
      <c r="D117" t="s">
        <v>159</v>
      </c>
      <c r="E117" t="s">
        <v>201</v>
      </c>
      <c r="F117" t="s">
        <v>166</v>
      </c>
      <c r="G117" t="s">
        <v>160</v>
      </c>
      <c r="H117" t="s">
        <v>23</v>
      </c>
      <c r="I117">
        <v>101.521</v>
      </c>
      <c r="J117">
        <v>5000000</v>
      </c>
      <c r="K117" t="s">
        <v>164</v>
      </c>
      <c r="L117">
        <v>1</v>
      </c>
      <c r="M117">
        <v>6.3160000000000004E-3</v>
      </c>
      <c r="N117">
        <v>32062.152999999998</v>
      </c>
      <c r="O117">
        <v>6.4819999999999999E-3</v>
      </c>
      <c r="P117">
        <v>0.3</v>
      </c>
      <c r="Q117">
        <v>3</v>
      </c>
    </row>
    <row r="118" spans="1:17">
      <c r="A118" t="s">
        <v>1324</v>
      </c>
      <c r="B118">
        <v>0</v>
      </c>
      <c r="C118">
        <v>14</v>
      </c>
      <c r="D118" t="s">
        <v>159</v>
      </c>
      <c r="E118" t="s">
        <v>1431</v>
      </c>
      <c r="F118" t="s">
        <v>1184</v>
      </c>
      <c r="G118" t="s">
        <v>160</v>
      </c>
      <c r="H118" t="s">
        <v>23</v>
      </c>
      <c r="I118">
        <v>68.564999999999998</v>
      </c>
      <c r="J118">
        <v>1800000</v>
      </c>
      <c r="K118" t="s">
        <v>164</v>
      </c>
      <c r="L118">
        <v>1</v>
      </c>
      <c r="M118">
        <v>3.5632999999999998E-2</v>
      </c>
      <c r="N118">
        <v>44106.603999999999</v>
      </c>
      <c r="O118">
        <v>2.5725000000000001E-2</v>
      </c>
      <c r="P118">
        <v>0.3</v>
      </c>
      <c r="Q118">
        <v>3</v>
      </c>
    </row>
    <row r="119" spans="1:17">
      <c r="A119" t="s">
        <v>1157</v>
      </c>
      <c r="B119">
        <v>0</v>
      </c>
      <c r="C119">
        <v>14</v>
      </c>
      <c r="D119" t="s">
        <v>159</v>
      </c>
      <c r="E119" t="s">
        <v>1183</v>
      </c>
      <c r="F119" t="s">
        <v>1184</v>
      </c>
      <c r="G119" t="s">
        <v>160</v>
      </c>
      <c r="H119" t="s">
        <v>23</v>
      </c>
      <c r="I119">
        <v>77.016000000000005</v>
      </c>
      <c r="J119">
        <v>1500000</v>
      </c>
      <c r="K119" t="s">
        <v>164</v>
      </c>
      <c r="L119">
        <v>1</v>
      </c>
      <c r="M119">
        <v>4.2731999999999999E-2</v>
      </c>
      <c r="N119">
        <v>49366.521999999997</v>
      </c>
      <c r="O119">
        <v>1.7287E-2</v>
      </c>
      <c r="P119">
        <v>0.2</v>
      </c>
      <c r="Q119">
        <v>3</v>
      </c>
    </row>
    <row r="120" spans="1:17">
      <c r="A120" t="s">
        <v>1937</v>
      </c>
      <c r="B120">
        <v>0</v>
      </c>
      <c r="C120">
        <v>14</v>
      </c>
      <c r="D120" t="s">
        <v>159</v>
      </c>
      <c r="E120" t="s">
        <v>1998</v>
      </c>
      <c r="F120" t="s">
        <v>1999</v>
      </c>
      <c r="G120" t="s">
        <v>160</v>
      </c>
      <c r="H120" t="s">
        <v>23</v>
      </c>
      <c r="I120">
        <v>100.114</v>
      </c>
      <c r="J120">
        <v>1300000</v>
      </c>
      <c r="K120" t="s">
        <v>173</v>
      </c>
      <c r="L120">
        <v>1</v>
      </c>
      <c r="M120">
        <v>2.6559999999999999E-3</v>
      </c>
      <c r="N120">
        <v>3458.2570000000001</v>
      </c>
      <c r="O120">
        <v>2.2699999999999999E-3</v>
      </c>
      <c r="P120">
        <v>0.3</v>
      </c>
      <c r="Q120">
        <v>3</v>
      </c>
    </row>
    <row r="121" spans="1:17">
      <c r="A121" t="s">
        <v>1326</v>
      </c>
      <c r="B121">
        <v>0</v>
      </c>
      <c r="C121">
        <v>14</v>
      </c>
      <c r="D121" t="s">
        <v>159</v>
      </c>
      <c r="E121" t="s">
        <v>1432</v>
      </c>
      <c r="F121" t="s">
        <v>1433</v>
      </c>
      <c r="G121" t="s">
        <v>160</v>
      </c>
      <c r="H121" t="s">
        <v>23</v>
      </c>
      <c r="I121">
        <v>80.323999999999998</v>
      </c>
      <c r="J121">
        <v>3200000</v>
      </c>
      <c r="K121" t="s">
        <v>164</v>
      </c>
      <c r="L121">
        <v>1</v>
      </c>
      <c r="M121">
        <v>1.0588E-2</v>
      </c>
      <c r="N121">
        <v>27248.087</v>
      </c>
      <c r="O121">
        <v>1.2633999999999999E-2</v>
      </c>
      <c r="P121">
        <v>1.8</v>
      </c>
      <c r="Q121">
        <v>4</v>
      </c>
    </row>
    <row r="122" spans="1:17">
      <c r="A122" t="s">
        <v>1115</v>
      </c>
      <c r="B122">
        <v>0</v>
      </c>
      <c r="C122">
        <v>14</v>
      </c>
      <c r="D122" t="s">
        <v>159</v>
      </c>
      <c r="E122" t="s">
        <v>1136</v>
      </c>
      <c r="F122" t="s">
        <v>1137</v>
      </c>
      <c r="G122" t="s">
        <v>160</v>
      </c>
      <c r="H122" t="s">
        <v>23</v>
      </c>
      <c r="I122">
        <v>63.497</v>
      </c>
      <c r="J122">
        <v>4653000</v>
      </c>
      <c r="K122" t="s">
        <v>164</v>
      </c>
      <c r="L122">
        <v>1</v>
      </c>
      <c r="M122">
        <v>3.0758000000000001E-2</v>
      </c>
      <c r="N122">
        <v>90877.876000000004</v>
      </c>
      <c r="O122">
        <v>1.9289000000000001E-2</v>
      </c>
      <c r="P122">
        <v>1.5</v>
      </c>
      <c r="Q122">
        <v>4</v>
      </c>
    </row>
    <row r="123" spans="1:17">
      <c r="A123" t="s">
        <v>1328</v>
      </c>
      <c r="B123">
        <v>0</v>
      </c>
      <c r="C123">
        <v>14</v>
      </c>
      <c r="D123" t="s">
        <v>159</v>
      </c>
      <c r="E123" t="s">
        <v>1434</v>
      </c>
      <c r="F123" t="s">
        <v>1435</v>
      </c>
      <c r="G123" t="s">
        <v>160</v>
      </c>
      <c r="H123" t="s">
        <v>23</v>
      </c>
      <c r="I123">
        <v>62.384999999999998</v>
      </c>
      <c r="J123">
        <v>3200000</v>
      </c>
      <c r="K123" t="s">
        <v>164</v>
      </c>
      <c r="L123">
        <v>1</v>
      </c>
      <c r="M123">
        <v>5.4140000000000001E-2</v>
      </c>
      <c r="N123">
        <v>108858.808</v>
      </c>
      <c r="O123">
        <v>2.9148E-2</v>
      </c>
      <c r="P123">
        <v>0.3</v>
      </c>
      <c r="Q123">
        <v>3</v>
      </c>
    </row>
    <row r="124" spans="1:17">
      <c r="A124" t="s">
        <v>1330</v>
      </c>
      <c r="B124">
        <v>0</v>
      </c>
      <c r="C124">
        <v>14</v>
      </c>
      <c r="D124" t="s">
        <v>159</v>
      </c>
      <c r="E124" t="s">
        <v>1436</v>
      </c>
      <c r="F124" t="s">
        <v>1437</v>
      </c>
      <c r="G124" t="s">
        <v>160</v>
      </c>
      <c r="H124" t="s">
        <v>23</v>
      </c>
      <c r="I124">
        <v>96.16</v>
      </c>
      <c r="J124">
        <v>1000000</v>
      </c>
      <c r="K124" t="s">
        <v>164</v>
      </c>
      <c r="L124">
        <v>1</v>
      </c>
      <c r="M124">
        <v>1.2978999999999999E-2</v>
      </c>
      <c r="N124">
        <v>12523.33</v>
      </c>
      <c r="O124">
        <v>9.4699999999999993E-3</v>
      </c>
      <c r="P124">
        <v>4.7</v>
      </c>
      <c r="Q124">
        <v>7</v>
      </c>
    </row>
    <row r="125" spans="1:17">
      <c r="A125" t="s">
        <v>1332</v>
      </c>
      <c r="B125">
        <v>0</v>
      </c>
      <c r="C125">
        <v>14</v>
      </c>
      <c r="D125" t="s">
        <v>159</v>
      </c>
      <c r="E125" t="s">
        <v>1438</v>
      </c>
      <c r="F125" t="s">
        <v>1439</v>
      </c>
      <c r="G125" t="s">
        <v>160</v>
      </c>
      <c r="H125" t="s">
        <v>23</v>
      </c>
      <c r="I125">
        <v>97.218999999999994</v>
      </c>
      <c r="J125">
        <v>5000000</v>
      </c>
      <c r="K125" t="s">
        <v>164</v>
      </c>
      <c r="L125">
        <v>1</v>
      </c>
      <c r="M125">
        <v>1.7897E-2</v>
      </c>
      <c r="N125">
        <v>86998.815000000002</v>
      </c>
      <c r="O125">
        <v>1.2347E-2</v>
      </c>
      <c r="P125">
        <v>0.3</v>
      </c>
      <c r="Q125">
        <v>3</v>
      </c>
    </row>
    <row r="126" spans="1:17">
      <c r="A126" t="s">
        <v>1220</v>
      </c>
      <c r="B126">
        <v>0</v>
      </c>
      <c r="C126">
        <v>14</v>
      </c>
      <c r="D126" t="s">
        <v>159</v>
      </c>
      <c r="E126" t="s">
        <v>1256</v>
      </c>
      <c r="F126" t="s">
        <v>1257</v>
      </c>
      <c r="G126" t="s">
        <v>160</v>
      </c>
      <c r="H126" t="s">
        <v>23</v>
      </c>
      <c r="I126">
        <v>96.093999999999994</v>
      </c>
      <c r="J126">
        <v>1000000</v>
      </c>
      <c r="K126" t="s">
        <v>173</v>
      </c>
      <c r="L126">
        <v>1</v>
      </c>
      <c r="M126">
        <v>5.7219999999999997E-3</v>
      </c>
      <c r="N126">
        <v>5499.15</v>
      </c>
      <c r="O126">
        <v>8.9350000000000002E-3</v>
      </c>
      <c r="P126">
        <v>0.3</v>
      </c>
      <c r="Q126">
        <v>3</v>
      </c>
    </row>
    <row r="127" spans="1:17">
      <c r="A127" t="s">
        <v>85</v>
      </c>
      <c r="B127">
        <v>0</v>
      </c>
      <c r="C127">
        <v>14</v>
      </c>
      <c r="D127" t="s">
        <v>159</v>
      </c>
      <c r="E127" t="s">
        <v>222</v>
      </c>
      <c r="F127" t="s">
        <v>223</v>
      </c>
      <c r="G127" t="s">
        <v>160</v>
      </c>
      <c r="H127" t="s">
        <v>23</v>
      </c>
      <c r="I127">
        <v>111.371</v>
      </c>
      <c r="J127">
        <v>7500000</v>
      </c>
      <c r="K127" t="s">
        <v>173</v>
      </c>
      <c r="L127">
        <v>1</v>
      </c>
      <c r="M127">
        <v>1.141E-2</v>
      </c>
      <c r="N127">
        <v>95422.278000000006</v>
      </c>
      <c r="O127">
        <v>7.1929999999999997E-3</v>
      </c>
      <c r="P127">
        <v>1.3</v>
      </c>
      <c r="Q127">
        <v>4</v>
      </c>
    </row>
    <row r="128" spans="1:17">
      <c r="A128" t="s">
        <v>87</v>
      </c>
      <c r="B128">
        <v>0</v>
      </c>
      <c r="C128">
        <v>14</v>
      </c>
      <c r="D128" t="s">
        <v>159</v>
      </c>
      <c r="E128" t="s">
        <v>224</v>
      </c>
      <c r="F128" t="s">
        <v>225</v>
      </c>
      <c r="G128" t="s">
        <v>160</v>
      </c>
      <c r="H128" t="s">
        <v>23</v>
      </c>
      <c r="I128">
        <v>109.65900000000001</v>
      </c>
      <c r="J128">
        <v>1500000</v>
      </c>
      <c r="K128" t="s">
        <v>173</v>
      </c>
      <c r="L128">
        <v>1</v>
      </c>
      <c r="M128">
        <v>6.8349999999999999E-3</v>
      </c>
      <c r="N128">
        <v>11243.742</v>
      </c>
      <c r="O128">
        <v>7.1879999999999999E-3</v>
      </c>
      <c r="P128">
        <v>0.3</v>
      </c>
      <c r="Q128">
        <v>3</v>
      </c>
    </row>
    <row r="129" spans="1:17">
      <c r="A129" t="s">
        <v>1117</v>
      </c>
      <c r="B129">
        <v>0</v>
      </c>
      <c r="C129">
        <v>14</v>
      </c>
      <c r="D129" t="s">
        <v>159</v>
      </c>
      <c r="E129" t="s">
        <v>1138</v>
      </c>
      <c r="F129" t="s">
        <v>1093</v>
      </c>
      <c r="G129" t="s">
        <v>160</v>
      </c>
      <c r="H129" t="s">
        <v>23</v>
      </c>
      <c r="I129">
        <v>94.968000000000004</v>
      </c>
      <c r="J129">
        <v>4500000</v>
      </c>
      <c r="K129" t="s">
        <v>164</v>
      </c>
      <c r="L129">
        <v>1</v>
      </c>
      <c r="M129">
        <v>1.1563E-2</v>
      </c>
      <c r="N129">
        <v>49432.762999999999</v>
      </c>
      <c r="O129">
        <v>9.639E-3</v>
      </c>
      <c r="P129">
        <v>0.3</v>
      </c>
      <c r="Q129">
        <v>3</v>
      </c>
    </row>
    <row r="130" spans="1:17">
      <c r="A130" t="s">
        <v>1939</v>
      </c>
      <c r="B130">
        <v>0</v>
      </c>
      <c r="C130">
        <v>14</v>
      </c>
      <c r="D130" t="s">
        <v>159</v>
      </c>
      <c r="E130" t="s">
        <v>2000</v>
      </c>
      <c r="F130" t="s">
        <v>2001</v>
      </c>
      <c r="G130" t="s">
        <v>160</v>
      </c>
      <c r="H130" t="s">
        <v>23</v>
      </c>
      <c r="I130">
        <v>99.153999999999996</v>
      </c>
      <c r="J130">
        <v>2000000</v>
      </c>
      <c r="K130" t="s">
        <v>173</v>
      </c>
      <c r="L130">
        <v>1</v>
      </c>
      <c r="M130">
        <v>2.5621000000000001E-2</v>
      </c>
      <c r="N130">
        <v>50995.307999999997</v>
      </c>
      <c r="O130">
        <v>6.6670000000000002E-3</v>
      </c>
      <c r="P130">
        <v>0.5</v>
      </c>
      <c r="Q130">
        <v>3</v>
      </c>
    </row>
    <row r="131" spans="1:17">
      <c r="A131" t="s">
        <v>1334</v>
      </c>
      <c r="B131">
        <v>0</v>
      </c>
      <c r="C131">
        <v>14</v>
      </c>
      <c r="D131" t="s">
        <v>159</v>
      </c>
      <c r="E131" t="s">
        <v>1440</v>
      </c>
      <c r="F131" t="s">
        <v>1441</v>
      </c>
      <c r="G131" t="s">
        <v>160</v>
      </c>
      <c r="H131" t="s">
        <v>23</v>
      </c>
      <c r="I131">
        <v>100.99</v>
      </c>
      <c r="J131">
        <v>1235000</v>
      </c>
      <c r="K131" t="s">
        <v>173</v>
      </c>
      <c r="L131">
        <v>1</v>
      </c>
      <c r="M131">
        <v>9.1800000000000007E-3</v>
      </c>
      <c r="N131">
        <v>11457.67</v>
      </c>
      <c r="O131">
        <v>7.051E-3</v>
      </c>
      <c r="P131">
        <v>0.3</v>
      </c>
      <c r="Q131">
        <v>3</v>
      </c>
    </row>
    <row r="132" spans="1:17">
      <c r="A132" t="s">
        <v>89</v>
      </c>
      <c r="B132">
        <v>0</v>
      </c>
      <c r="C132">
        <v>14</v>
      </c>
      <c r="D132" t="s">
        <v>159</v>
      </c>
      <c r="E132" t="s">
        <v>215</v>
      </c>
      <c r="F132" t="s">
        <v>1442</v>
      </c>
      <c r="G132" t="s">
        <v>160</v>
      </c>
      <c r="H132" t="s">
        <v>23</v>
      </c>
      <c r="I132">
        <v>99.05</v>
      </c>
      <c r="J132">
        <v>5000000</v>
      </c>
      <c r="K132" t="s">
        <v>164</v>
      </c>
      <c r="L132">
        <v>1</v>
      </c>
      <c r="M132">
        <v>5.9589999999999999E-3</v>
      </c>
      <c r="N132">
        <v>29581.7</v>
      </c>
      <c r="O132">
        <v>5.4920000000000004E-3</v>
      </c>
      <c r="P132">
        <v>0.5</v>
      </c>
      <c r="Q132">
        <v>3</v>
      </c>
    </row>
    <row r="133" spans="1:17">
      <c r="A133" t="s">
        <v>1336</v>
      </c>
      <c r="B133">
        <v>0</v>
      </c>
      <c r="C133">
        <v>14</v>
      </c>
      <c r="D133" t="s">
        <v>159</v>
      </c>
      <c r="E133" t="s">
        <v>1443</v>
      </c>
      <c r="F133" t="s">
        <v>1444</v>
      </c>
      <c r="G133" t="s">
        <v>160</v>
      </c>
      <c r="H133" t="s">
        <v>23</v>
      </c>
      <c r="I133">
        <v>105.321</v>
      </c>
      <c r="J133">
        <v>4000000</v>
      </c>
      <c r="K133" t="s">
        <v>173</v>
      </c>
      <c r="L133">
        <v>1</v>
      </c>
      <c r="M133">
        <v>7.437E-3</v>
      </c>
      <c r="N133">
        <v>31352.731</v>
      </c>
      <c r="O133">
        <v>3.029E-3</v>
      </c>
      <c r="P133">
        <v>0.3</v>
      </c>
      <c r="Q133">
        <v>3</v>
      </c>
    </row>
    <row r="134" spans="1:17">
      <c r="A134" t="s">
        <v>525</v>
      </c>
      <c r="B134">
        <v>0</v>
      </c>
      <c r="C134">
        <v>14</v>
      </c>
      <c r="D134" t="s">
        <v>159</v>
      </c>
      <c r="E134" t="s">
        <v>534</v>
      </c>
      <c r="F134" t="s">
        <v>533</v>
      </c>
      <c r="G134" t="s">
        <v>160</v>
      </c>
      <c r="H134" t="s">
        <v>23</v>
      </c>
      <c r="I134">
        <v>110.849</v>
      </c>
      <c r="J134">
        <v>3000000</v>
      </c>
      <c r="K134" t="s">
        <v>173</v>
      </c>
      <c r="L134">
        <v>1</v>
      </c>
      <c r="M134">
        <v>6.9189999999999998E-3</v>
      </c>
      <c r="N134">
        <v>23011.082999999999</v>
      </c>
      <c r="O134">
        <v>4.1339999999999997E-3</v>
      </c>
      <c r="P134">
        <v>0.4</v>
      </c>
      <c r="Q134">
        <v>3</v>
      </c>
    </row>
    <row r="135" spans="1:17">
      <c r="A135" t="s">
        <v>1941</v>
      </c>
      <c r="B135">
        <v>0</v>
      </c>
      <c r="C135">
        <v>14</v>
      </c>
      <c r="D135" t="s">
        <v>159</v>
      </c>
      <c r="E135" t="s">
        <v>2002</v>
      </c>
      <c r="F135" t="s">
        <v>2003</v>
      </c>
      <c r="G135" t="s">
        <v>160</v>
      </c>
      <c r="H135" t="s">
        <v>23</v>
      </c>
      <c r="I135">
        <v>72.724999999999994</v>
      </c>
      <c r="J135">
        <v>2000000</v>
      </c>
      <c r="K135" t="s">
        <v>164</v>
      </c>
      <c r="L135">
        <v>1</v>
      </c>
      <c r="M135">
        <v>5.5919000000000003E-2</v>
      </c>
      <c r="N135">
        <v>81389.282999999996</v>
      </c>
      <c r="O135">
        <v>6.5389999999999997E-3</v>
      </c>
      <c r="P135">
        <v>0.3</v>
      </c>
      <c r="Q135">
        <v>3</v>
      </c>
    </row>
    <row r="136" spans="1:17">
      <c r="A136" t="s">
        <v>1943</v>
      </c>
      <c r="B136">
        <v>0</v>
      </c>
      <c r="C136">
        <v>14</v>
      </c>
      <c r="D136" t="s">
        <v>159</v>
      </c>
      <c r="E136" t="s">
        <v>2004</v>
      </c>
      <c r="F136" t="s">
        <v>2005</v>
      </c>
      <c r="G136" t="s">
        <v>160</v>
      </c>
      <c r="H136" t="s">
        <v>23</v>
      </c>
      <c r="I136">
        <v>104.294</v>
      </c>
      <c r="J136">
        <v>1000000</v>
      </c>
      <c r="K136" t="s">
        <v>173</v>
      </c>
      <c r="L136">
        <v>1</v>
      </c>
      <c r="M136">
        <v>1.1827000000000001E-2</v>
      </c>
      <c r="N136">
        <v>12335.119000000001</v>
      </c>
      <c r="O136">
        <v>3.9579999999999997E-3</v>
      </c>
      <c r="P136">
        <v>0.2</v>
      </c>
      <c r="Q136">
        <v>3</v>
      </c>
    </row>
    <row r="137" spans="1:17">
      <c r="A137" t="s">
        <v>1945</v>
      </c>
      <c r="B137">
        <v>0</v>
      </c>
      <c r="C137">
        <v>14</v>
      </c>
      <c r="D137" t="s">
        <v>159</v>
      </c>
      <c r="E137" t="s">
        <v>2006</v>
      </c>
      <c r="F137" t="s">
        <v>2005</v>
      </c>
      <c r="G137" t="s">
        <v>160</v>
      </c>
      <c r="H137" t="s">
        <v>23</v>
      </c>
      <c r="I137">
        <v>108.749</v>
      </c>
      <c r="J137">
        <v>2000000</v>
      </c>
      <c r="K137" t="s">
        <v>173</v>
      </c>
      <c r="L137">
        <v>1</v>
      </c>
      <c r="M137">
        <v>2.7968E-2</v>
      </c>
      <c r="N137">
        <v>60831.989000000001</v>
      </c>
      <c r="O137">
        <v>5.9410000000000001E-3</v>
      </c>
      <c r="P137">
        <v>0.3</v>
      </c>
      <c r="Q137">
        <v>3</v>
      </c>
    </row>
    <row r="138" spans="1:17">
      <c r="A138" t="s">
        <v>1947</v>
      </c>
      <c r="B138">
        <v>0</v>
      </c>
      <c r="C138">
        <v>14</v>
      </c>
      <c r="D138" t="s">
        <v>159</v>
      </c>
      <c r="E138" t="s">
        <v>2007</v>
      </c>
      <c r="F138" t="s">
        <v>2008</v>
      </c>
      <c r="G138" t="s">
        <v>228</v>
      </c>
      <c r="H138" t="s">
        <v>23</v>
      </c>
      <c r="I138" t="s">
        <v>161</v>
      </c>
      <c r="J138" t="s">
        <v>161</v>
      </c>
      <c r="K138" t="s">
        <v>1186</v>
      </c>
      <c r="L138" t="s">
        <v>161</v>
      </c>
      <c r="M138" t="s">
        <v>161</v>
      </c>
      <c r="N138" t="s">
        <v>161</v>
      </c>
      <c r="O138" t="s">
        <v>161</v>
      </c>
      <c r="P138" t="s">
        <v>161</v>
      </c>
      <c r="Q138" t="s">
        <v>161</v>
      </c>
    </row>
    <row r="139" spans="1:17">
      <c r="A139" t="s">
        <v>91</v>
      </c>
      <c r="B139">
        <v>0</v>
      </c>
      <c r="C139">
        <v>14</v>
      </c>
      <c r="D139" t="s">
        <v>159</v>
      </c>
      <c r="E139" t="s">
        <v>226</v>
      </c>
      <c r="F139" t="s">
        <v>227</v>
      </c>
      <c r="G139" t="s">
        <v>160</v>
      </c>
      <c r="H139" t="s">
        <v>23</v>
      </c>
      <c r="I139">
        <v>97.64</v>
      </c>
      <c r="J139">
        <v>5000000</v>
      </c>
      <c r="K139" t="s">
        <v>164</v>
      </c>
      <c r="L139">
        <v>1</v>
      </c>
      <c r="M139">
        <v>6.4999999999999997E-3</v>
      </c>
      <c r="N139">
        <v>31737.737000000001</v>
      </c>
      <c r="O139">
        <v>9.0259999999999993E-3</v>
      </c>
      <c r="P139">
        <v>0.5</v>
      </c>
      <c r="Q139">
        <v>3</v>
      </c>
    </row>
    <row r="140" spans="1:17">
      <c r="A140" t="s">
        <v>93</v>
      </c>
      <c r="B140">
        <v>0</v>
      </c>
      <c r="C140">
        <v>14</v>
      </c>
      <c r="D140" t="s">
        <v>159</v>
      </c>
      <c r="E140" t="s">
        <v>216</v>
      </c>
      <c r="F140" t="s">
        <v>217</v>
      </c>
      <c r="G140" t="s">
        <v>235</v>
      </c>
      <c r="H140" t="s">
        <v>23</v>
      </c>
      <c r="I140">
        <v>100.62</v>
      </c>
      <c r="J140">
        <v>8300000</v>
      </c>
      <c r="K140" t="s">
        <v>164</v>
      </c>
      <c r="L140">
        <v>1</v>
      </c>
      <c r="M140">
        <v>4.7999999999999996E-3</v>
      </c>
      <c r="N140">
        <v>40097.055</v>
      </c>
      <c r="O140">
        <v>3.5860000000000002E-3</v>
      </c>
      <c r="P140">
        <v>0.4</v>
      </c>
      <c r="Q140">
        <v>3</v>
      </c>
    </row>
    <row r="141" spans="1:17">
      <c r="A141" t="s">
        <v>1949</v>
      </c>
      <c r="B141">
        <v>0</v>
      </c>
      <c r="C141">
        <v>14</v>
      </c>
      <c r="D141" t="s">
        <v>159</v>
      </c>
      <c r="E141" t="s">
        <v>2009</v>
      </c>
      <c r="F141" t="s">
        <v>199</v>
      </c>
      <c r="G141" t="s">
        <v>160</v>
      </c>
      <c r="H141" t="s">
        <v>23</v>
      </c>
      <c r="I141">
        <v>103.104</v>
      </c>
      <c r="J141">
        <v>2000000</v>
      </c>
      <c r="K141" t="s">
        <v>173</v>
      </c>
      <c r="L141">
        <v>1</v>
      </c>
      <c r="M141">
        <v>1.0115000000000001E-2</v>
      </c>
      <c r="N141">
        <v>20875.288</v>
      </c>
      <c r="O141">
        <v>5.4929999999999996E-3</v>
      </c>
      <c r="P141">
        <v>0.2</v>
      </c>
      <c r="Q141">
        <v>3</v>
      </c>
    </row>
    <row r="142" spans="1:17">
      <c r="A142" t="s">
        <v>95</v>
      </c>
      <c r="B142">
        <v>0</v>
      </c>
      <c r="C142">
        <v>14</v>
      </c>
      <c r="D142" t="s">
        <v>159</v>
      </c>
      <c r="E142" t="s">
        <v>184</v>
      </c>
      <c r="F142" t="s">
        <v>185</v>
      </c>
      <c r="G142" t="s">
        <v>160</v>
      </c>
      <c r="H142" t="s">
        <v>23</v>
      </c>
      <c r="I142">
        <v>104.27</v>
      </c>
      <c r="J142">
        <v>4000000</v>
      </c>
      <c r="K142" t="s">
        <v>173</v>
      </c>
      <c r="L142">
        <v>1</v>
      </c>
      <c r="M142">
        <v>4.9690000000000003E-3</v>
      </c>
      <c r="N142">
        <v>20738.09</v>
      </c>
      <c r="O142">
        <v>1.25E-3</v>
      </c>
      <c r="P142">
        <v>1.9</v>
      </c>
      <c r="Q142">
        <v>4</v>
      </c>
    </row>
    <row r="143" spans="1:17">
      <c r="A143" t="s">
        <v>1338</v>
      </c>
      <c r="B143">
        <v>0</v>
      </c>
      <c r="C143">
        <v>14</v>
      </c>
      <c r="D143" t="s">
        <v>159</v>
      </c>
      <c r="E143" t="s">
        <v>1445</v>
      </c>
      <c r="F143" t="s">
        <v>1095</v>
      </c>
      <c r="G143" t="s">
        <v>160</v>
      </c>
      <c r="H143" t="s">
        <v>23</v>
      </c>
      <c r="I143">
        <v>99.822000000000003</v>
      </c>
      <c r="J143">
        <v>1500000</v>
      </c>
      <c r="K143" t="s">
        <v>164</v>
      </c>
      <c r="L143">
        <v>1</v>
      </c>
      <c r="M143">
        <v>3.4280000000000001E-3</v>
      </c>
      <c r="N143">
        <v>5133.433</v>
      </c>
      <c r="O143">
        <v>5.3709999999999999E-3</v>
      </c>
      <c r="P143">
        <v>0.3</v>
      </c>
      <c r="Q143">
        <v>3</v>
      </c>
    </row>
    <row r="144" spans="1:17">
      <c r="A144" t="s">
        <v>1072</v>
      </c>
      <c r="B144">
        <v>0</v>
      </c>
      <c r="C144">
        <v>14</v>
      </c>
      <c r="D144" t="s">
        <v>159</v>
      </c>
      <c r="E144" t="s">
        <v>1094</v>
      </c>
      <c r="F144" t="s">
        <v>1095</v>
      </c>
      <c r="G144" t="s">
        <v>160</v>
      </c>
      <c r="H144" t="s">
        <v>23</v>
      </c>
      <c r="I144">
        <v>96.989000000000004</v>
      </c>
      <c r="J144">
        <v>6000000</v>
      </c>
      <c r="K144" t="s">
        <v>164</v>
      </c>
      <c r="L144">
        <v>1</v>
      </c>
      <c r="M144">
        <v>9.5469999999999999E-3</v>
      </c>
      <c r="N144">
        <v>55558.974999999999</v>
      </c>
      <c r="O144">
        <v>8.0140000000000003E-3</v>
      </c>
      <c r="P144">
        <v>0.4</v>
      </c>
      <c r="Q144">
        <v>3</v>
      </c>
    </row>
    <row r="145" spans="1:17">
      <c r="A145" t="s">
        <v>1074</v>
      </c>
      <c r="B145">
        <v>0</v>
      </c>
      <c r="C145">
        <v>14</v>
      </c>
      <c r="D145" t="s">
        <v>159</v>
      </c>
      <c r="E145" t="s">
        <v>1096</v>
      </c>
      <c r="F145" t="s">
        <v>1095</v>
      </c>
      <c r="G145" t="s">
        <v>160</v>
      </c>
      <c r="H145" t="s">
        <v>23</v>
      </c>
      <c r="I145">
        <v>101.315</v>
      </c>
      <c r="J145">
        <v>1000000</v>
      </c>
      <c r="K145" t="s">
        <v>164</v>
      </c>
      <c r="L145">
        <v>1</v>
      </c>
      <c r="M145">
        <v>6.1929999999999997E-3</v>
      </c>
      <c r="N145">
        <v>6274.9</v>
      </c>
      <c r="O145">
        <v>8.5950000000000002E-3</v>
      </c>
      <c r="P145">
        <v>0.2</v>
      </c>
      <c r="Q145">
        <v>3</v>
      </c>
    </row>
    <row r="146" spans="1:17">
      <c r="A146" t="s">
        <v>1951</v>
      </c>
      <c r="B146">
        <v>0</v>
      </c>
      <c r="C146">
        <v>14</v>
      </c>
      <c r="D146" t="s">
        <v>159</v>
      </c>
      <c r="E146" t="s">
        <v>2010</v>
      </c>
      <c r="F146" t="s">
        <v>2011</v>
      </c>
      <c r="G146" t="s">
        <v>228</v>
      </c>
      <c r="H146" t="s">
        <v>23</v>
      </c>
      <c r="I146">
        <v>108.20399999999999</v>
      </c>
      <c r="J146">
        <v>1000000</v>
      </c>
      <c r="K146" t="s">
        <v>1450</v>
      </c>
      <c r="L146">
        <v>1</v>
      </c>
      <c r="M146">
        <v>1.3258000000000001E-2</v>
      </c>
      <c r="N146">
        <v>14345.853999999999</v>
      </c>
      <c r="O146">
        <v>2.4239999999999999E-3</v>
      </c>
      <c r="P146">
        <v>0.3</v>
      </c>
      <c r="Q146">
        <v>3</v>
      </c>
    </row>
    <row r="147" spans="1:17">
      <c r="A147" t="s">
        <v>1119</v>
      </c>
      <c r="B147">
        <v>0</v>
      </c>
      <c r="C147">
        <v>14</v>
      </c>
      <c r="D147" t="s">
        <v>159</v>
      </c>
      <c r="E147" t="s">
        <v>1139</v>
      </c>
      <c r="F147" t="s">
        <v>1140</v>
      </c>
      <c r="G147" t="s">
        <v>160</v>
      </c>
      <c r="H147" t="s">
        <v>23</v>
      </c>
      <c r="I147">
        <v>97.653999999999996</v>
      </c>
      <c r="J147">
        <v>3700000</v>
      </c>
      <c r="K147" t="s">
        <v>164</v>
      </c>
      <c r="L147">
        <v>1</v>
      </c>
      <c r="M147">
        <v>4.1050000000000001E-3</v>
      </c>
      <c r="N147">
        <v>14835.239</v>
      </c>
      <c r="O147">
        <v>7.0020000000000004E-3</v>
      </c>
      <c r="P147">
        <v>0.3</v>
      </c>
      <c r="Q147">
        <v>3</v>
      </c>
    </row>
    <row r="148" spans="1:17">
      <c r="A148" t="s">
        <v>1121</v>
      </c>
      <c r="B148">
        <v>0</v>
      </c>
      <c r="C148">
        <v>14</v>
      </c>
      <c r="D148" t="s">
        <v>159</v>
      </c>
      <c r="E148" t="s">
        <v>1141</v>
      </c>
      <c r="F148" t="s">
        <v>1140</v>
      </c>
      <c r="G148" t="s">
        <v>160</v>
      </c>
      <c r="H148" t="s">
        <v>23</v>
      </c>
      <c r="I148">
        <v>99.540999999999997</v>
      </c>
      <c r="J148">
        <v>1100000</v>
      </c>
      <c r="K148" t="s">
        <v>164</v>
      </c>
      <c r="L148">
        <v>1</v>
      </c>
      <c r="M148">
        <v>6.9179999999999997E-3</v>
      </c>
      <c r="N148">
        <v>7576.8609999999999</v>
      </c>
      <c r="O148">
        <v>6.711E-3</v>
      </c>
      <c r="P148">
        <v>0.3</v>
      </c>
      <c r="Q148">
        <v>3</v>
      </c>
    </row>
    <row r="149" spans="1:17">
      <c r="A149" t="s">
        <v>1159</v>
      </c>
      <c r="B149">
        <v>0</v>
      </c>
      <c r="C149">
        <v>14</v>
      </c>
      <c r="D149" t="s">
        <v>159</v>
      </c>
      <c r="E149" t="s">
        <v>1185</v>
      </c>
      <c r="F149" t="s">
        <v>1140</v>
      </c>
      <c r="G149" t="s">
        <v>160</v>
      </c>
      <c r="H149" t="s">
        <v>23</v>
      </c>
      <c r="I149">
        <v>92.433999999999997</v>
      </c>
      <c r="J149">
        <v>410000</v>
      </c>
      <c r="K149" t="s">
        <v>164</v>
      </c>
      <c r="L149">
        <v>1</v>
      </c>
      <c r="M149">
        <v>1.0972000000000001E-2</v>
      </c>
      <c r="N149">
        <v>4160.2030000000004</v>
      </c>
      <c r="O149">
        <v>8.3239999999999998E-3</v>
      </c>
      <c r="P149">
        <v>0.3</v>
      </c>
      <c r="Q149">
        <v>3</v>
      </c>
    </row>
    <row r="150" spans="1:17">
      <c r="A150" t="s">
        <v>1222</v>
      </c>
      <c r="B150">
        <v>0</v>
      </c>
      <c r="C150">
        <v>14</v>
      </c>
      <c r="D150" t="s">
        <v>159</v>
      </c>
      <c r="E150" t="s">
        <v>1258</v>
      </c>
      <c r="F150" t="s">
        <v>1259</v>
      </c>
      <c r="G150" t="s">
        <v>160</v>
      </c>
      <c r="H150" t="s">
        <v>23</v>
      </c>
      <c r="I150">
        <v>96.024000000000001</v>
      </c>
      <c r="J150">
        <v>5000000</v>
      </c>
      <c r="K150" t="s">
        <v>173</v>
      </c>
      <c r="L150">
        <v>1</v>
      </c>
      <c r="M150">
        <v>1.2873000000000001E-2</v>
      </c>
      <c r="N150">
        <v>61858.029000000002</v>
      </c>
      <c r="O150">
        <v>6.3470000000000002E-3</v>
      </c>
      <c r="P150">
        <v>0.5</v>
      </c>
      <c r="Q150">
        <v>3</v>
      </c>
    </row>
    <row r="151" spans="1:17">
      <c r="A151" t="s">
        <v>1340</v>
      </c>
      <c r="B151">
        <v>0</v>
      </c>
      <c r="C151">
        <v>14</v>
      </c>
      <c r="D151" t="s">
        <v>159</v>
      </c>
      <c r="E151" t="s">
        <v>1446</v>
      </c>
      <c r="F151" t="s">
        <v>1447</v>
      </c>
      <c r="G151" t="s">
        <v>160</v>
      </c>
      <c r="H151" t="s">
        <v>23</v>
      </c>
      <c r="I151">
        <v>95.67</v>
      </c>
      <c r="J151">
        <v>1400000</v>
      </c>
      <c r="K151" t="s">
        <v>164</v>
      </c>
      <c r="L151">
        <v>1</v>
      </c>
      <c r="M151">
        <v>1.0328E-2</v>
      </c>
      <c r="N151">
        <v>13856.174000000001</v>
      </c>
      <c r="O151">
        <v>6.6649999999999999E-3</v>
      </c>
      <c r="P151">
        <v>0.3</v>
      </c>
      <c r="Q151">
        <v>3</v>
      </c>
    </row>
    <row r="152" spans="1:17">
      <c r="A152" t="s">
        <v>97</v>
      </c>
      <c r="B152">
        <v>0</v>
      </c>
      <c r="C152">
        <v>14</v>
      </c>
      <c r="D152" t="s">
        <v>159</v>
      </c>
      <c r="E152" t="s">
        <v>162</v>
      </c>
      <c r="F152" t="s">
        <v>163</v>
      </c>
      <c r="G152" t="s">
        <v>160</v>
      </c>
      <c r="H152" t="s">
        <v>23</v>
      </c>
      <c r="I152">
        <v>103.398</v>
      </c>
      <c r="J152">
        <v>6000000</v>
      </c>
      <c r="K152" t="s">
        <v>164</v>
      </c>
      <c r="L152">
        <v>1</v>
      </c>
      <c r="M152">
        <v>1.0381E-2</v>
      </c>
      <c r="N152">
        <v>64462.237000000001</v>
      </c>
      <c r="O152">
        <v>8.1960000000000002E-3</v>
      </c>
      <c r="P152">
        <v>0.3</v>
      </c>
      <c r="Q152">
        <v>3</v>
      </c>
    </row>
    <row r="153" spans="1:17">
      <c r="A153" t="s">
        <v>527</v>
      </c>
      <c r="B153">
        <v>0</v>
      </c>
      <c r="C153">
        <v>14</v>
      </c>
      <c r="D153" t="s">
        <v>159</v>
      </c>
      <c r="E153" t="s">
        <v>535</v>
      </c>
      <c r="F153" t="s">
        <v>163</v>
      </c>
      <c r="G153" t="s">
        <v>160</v>
      </c>
      <c r="H153" t="s">
        <v>23</v>
      </c>
      <c r="I153">
        <v>103.702</v>
      </c>
      <c r="J153">
        <v>4000000</v>
      </c>
      <c r="K153" t="s">
        <v>164</v>
      </c>
      <c r="L153">
        <v>1</v>
      </c>
      <c r="M153">
        <v>8.2880000000000002E-3</v>
      </c>
      <c r="N153">
        <v>34383.574999999997</v>
      </c>
      <c r="O153">
        <v>7.2110000000000004E-3</v>
      </c>
      <c r="P153">
        <v>0.2</v>
      </c>
      <c r="Q153">
        <v>3</v>
      </c>
    </row>
    <row r="154" spans="1:17">
      <c r="A154" t="s">
        <v>1224</v>
      </c>
      <c r="B154">
        <v>0</v>
      </c>
      <c r="C154">
        <v>14</v>
      </c>
      <c r="D154" t="s">
        <v>159</v>
      </c>
      <c r="E154" t="s">
        <v>1260</v>
      </c>
      <c r="F154" t="s">
        <v>163</v>
      </c>
      <c r="G154" t="s">
        <v>160</v>
      </c>
      <c r="H154" t="s">
        <v>23</v>
      </c>
      <c r="I154">
        <v>99.869</v>
      </c>
      <c r="J154">
        <v>3100000</v>
      </c>
      <c r="K154" t="s">
        <v>164</v>
      </c>
      <c r="L154">
        <v>1</v>
      </c>
      <c r="M154">
        <v>9.3360000000000005E-3</v>
      </c>
      <c r="N154">
        <v>28905.71</v>
      </c>
      <c r="O154">
        <v>6.9550000000000002E-3</v>
      </c>
      <c r="P154">
        <v>0.3</v>
      </c>
      <c r="Q154">
        <v>3</v>
      </c>
    </row>
    <row r="155" spans="1:17">
      <c r="A155" t="s">
        <v>99</v>
      </c>
      <c r="B155">
        <v>0</v>
      </c>
      <c r="C155">
        <v>14</v>
      </c>
      <c r="D155" t="s">
        <v>159</v>
      </c>
      <c r="E155" t="s">
        <v>195</v>
      </c>
      <c r="F155" t="s">
        <v>196</v>
      </c>
      <c r="G155" t="s">
        <v>160</v>
      </c>
      <c r="H155" t="s">
        <v>23</v>
      </c>
      <c r="I155">
        <v>109.074</v>
      </c>
      <c r="J155">
        <v>1500000</v>
      </c>
      <c r="K155" t="s">
        <v>173</v>
      </c>
      <c r="L155">
        <v>1</v>
      </c>
      <c r="M155">
        <v>1.6431999999999999E-2</v>
      </c>
      <c r="N155">
        <v>27006.093000000001</v>
      </c>
      <c r="O155">
        <v>3.7100000000000002E-3</v>
      </c>
      <c r="P155">
        <v>1.5</v>
      </c>
      <c r="Q155">
        <v>4</v>
      </c>
    </row>
    <row r="156" spans="1:17">
      <c r="A156" t="s">
        <v>101</v>
      </c>
      <c r="B156">
        <v>0</v>
      </c>
      <c r="C156">
        <v>14</v>
      </c>
      <c r="D156" t="s">
        <v>159</v>
      </c>
      <c r="E156" t="s">
        <v>169</v>
      </c>
      <c r="F156" t="s">
        <v>170</v>
      </c>
      <c r="G156" t="s">
        <v>160</v>
      </c>
      <c r="H156" t="s">
        <v>23</v>
      </c>
      <c r="I156">
        <v>103.47499999999999</v>
      </c>
      <c r="J156">
        <v>1500000</v>
      </c>
      <c r="K156" t="s">
        <v>164</v>
      </c>
      <c r="L156">
        <v>1</v>
      </c>
      <c r="M156">
        <v>7.4409999999999997E-3</v>
      </c>
      <c r="N156">
        <v>11550.223</v>
      </c>
      <c r="O156">
        <v>4.8079999999999998E-3</v>
      </c>
      <c r="P156">
        <v>0.3</v>
      </c>
      <c r="Q156">
        <v>3</v>
      </c>
    </row>
    <row r="157" spans="1:17">
      <c r="A157" t="s">
        <v>103</v>
      </c>
      <c r="B157">
        <v>0</v>
      </c>
      <c r="C157">
        <v>14</v>
      </c>
      <c r="D157" t="s">
        <v>159</v>
      </c>
      <c r="E157" t="s">
        <v>206</v>
      </c>
      <c r="F157" t="s">
        <v>207</v>
      </c>
      <c r="G157" t="s">
        <v>160</v>
      </c>
      <c r="H157" t="s">
        <v>23</v>
      </c>
      <c r="I157">
        <v>102.869</v>
      </c>
      <c r="J157">
        <v>5000000</v>
      </c>
      <c r="K157" t="s">
        <v>173</v>
      </c>
      <c r="L157">
        <v>1</v>
      </c>
      <c r="M157">
        <v>5.5789999999999998E-3</v>
      </c>
      <c r="N157">
        <v>28738.391</v>
      </c>
      <c r="O157">
        <v>6.3480000000000003E-3</v>
      </c>
      <c r="P157">
        <v>0.4</v>
      </c>
      <c r="Q157">
        <v>3</v>
      </c>
    </row>
    <row r="158" spans="1:17">
      <c r="A158" t="s">
        <v>889</v>
      </c>
      <c r="B158">
        <v>0</v>
      </c>
      <c r="C158">
        <v>14</v>
      </c>
      <c r="D158" t="s">
        <v>159</v>
      </c>
      <c r="E158" t="s">
        <v>912</v>
      </c>
      <c r="F158" t="s">
        <v>913</v>
      </c>
      <c r="G158" t="s">
        <v>160</v>
      </c>
      <c r="H158" t="s">
        <v>23</v>
      </c>
      <c r="I158">
        <v>94.27</v>
      </c>
      <c r="J158">
        <v>3000000</v>
      </c>
      <c r="K158" t="s">
        <v>173</v>
      </c>
      <c r="L158">
        <v>1</v>
      </c>
      <c r="M158">
        <v>5.5523999999999997E-2</v>
      </c>
      <c r="N158">
        <v>163930.27900000001</v>
      </c>
      <c r="O158">
        <v>9.4629999999999992E-3</v>
      </c>
      <c r="P158">
        <v>0.7</v>
      </c>
      <c r="Q158">
        <v>3</v>
      </c>
    </row>
    <row r="159" spans="1:17">
      <c r="A159" t="s">
        <v>1342</v>
      </c>
      <c r="B159">
        <v>0</v>
      </c>
      <c r="C159">
        <v>14</v>
      </c>
      <c r="D159" t="s">
        <v>159</v>
      </c>
      <c r="E159" t="s">
        <v>1448</v>
      </c>
      <c r="F159" t="s">
        <v>1449</v>
      </c>
      <c r="G159" t="s">
        <v>228</v>
      </c>
      <c r="H159" t="s">
        <v>23</v>
      </c>
      <c r="I159">
        <v>56.841000000000001</v>
      </c>
      <c r="J159">
        <v>2000000</v>
      </c>
      <c r="K159" t="s">
        <v>1450</v>
      </c>
      <c r="L159">
        <v>1</v>
      </c>
      <c r="M159">
        <v>2.7685000000000001E-2</v>
      </c>
      <c r="N159">
        <v>31558.27</v>
      </c>
      <c r="O159">
        <v>1.9443999999999999E-2</v>
      </c>
      <c r="P159">
        <v>0.3</v>
      </c>
      <c r="Q159">
        <v>3</v>
      </c>
    </row>
    <row r="160" spans="1:17">
      <c r="A160" t="s">
        <v>1953</v>
      </c>
      <c r="B160">
        <v>0</v>
      </c>
      <c r="C160">
        <v>14</v>
      </c>
      <c r="D160" t="s">
        <v>159</v>
      </c>
      <c r="E160" t="s">
        <v>2012</v>
      </c>
      <c r="F160" t="s">
        <v>2013</v>
      </c>
      <c r="G160" t="s">
        <v>160</v>
      </c>
      <c r="H160" t="s">
        <v>23</v>
      </c>
      <c r="I160">
        <v>100.26</v>
      </c>
      <c r="J160">
        <v>0</v>
      </c>
      <c r="K160" t="s">
        <v>173</v>
      </c>
      <c r="L160">
        <v>1</v>
      </c>
      <c r="M160">
        <v>1.696E-3</v>
      </c>
      <c r="N160">
        <v>0</v>
      </c>
      <c r="O160">
        <v>1.255E-3</v>
      </c>
      <c r="P160">
        <v>0.1</v>
      </c>
      <c r="Q160">
        <v>3</v>
      </c>
    </row>
    <row r="161" spans="1:17">
      <c r="A161" t="s">
        <v>1226</v>
      </c>
      <c r="B161">
        <v>0</v>
      </c>
      <c r="C161">
        <v>14</v>
      </c>
      <c r="D161" t="s">
        <v>159</v>
      </c>
      <c r="E161" t="s">
        <v>1261</v>
      </c>
      <c r="F161" t="s">
        <v>168</v>
      </c>
      <c r="G161" t="s">
        <v>160</v>
      </c>
      <c r="H161" t="s">
        <v>23</v>
      </c>
      <c r="I161">
        <v>92.147999999999996</v>
      </c>
      <c r="J161">
        <v>3700000</v>
      </c>
      <c r="K161" t="s">
        <v>164</v>
      </c>
      <c r="L161">
        <v>1</v>
      </c>
      <c r="M161">
        <v>1.7565999999999998E-2</v>
      </c>
      <c r="N161">
        <v>59893.966</v>
      </c>
      <c r="O161">
        <v>9.9869999999999994E-3</v>
      </c>
      <c r="P161">
        <v>0.1</v>
      </c>
      <c r="Q161">
        <v>3</v>
      </c>
    </row>
    <row r="162" spans="1:17">
      <c r="A162" t="s">
        <v>1344</v>
      </c>
      <c r="B162">
        <v>0</v>
      </c>
      <c r="C162">
        <v>14</v>
      </c>
      <c r="D162" t="s">
        <v>159</v>
      </c>
      <c r="E162" t="s">
        <v>1451</v>
      </c>
      <c r="F162" t="s">
        <v>168</v>
      </c>
      <c r="G162" t="s">
        <v>160</v>
      </c>
      <c r="H162" t="s">
        <v>23</v>
      </c>
      <c r="I162">
        <v>96.567999999999998</v>
      </c>
      <c r="J162">
        <v>1000000</v>
      </c>
      <c r="K162" t="s">
        <v>164</v>
      </c>
      <c r="L162">
        <v>1</v>
      </c>
      <c r="M162">
        <v>1.5551000000000001E-2</v>
      </c>
      <c r="N162">
        <v>15017.82</v>
      </c>
      <c r="O162">
        <v>7.2150000000000001E-3</v>
      </c>
      <c r="P162">
        <v>0.1</v>
      </c>
      <c r="Q162">
        <v>3</v>
      </c>
    </row>
    <row r="163" spans="1:17">
      <c r="A163" t="s">
        <v>105</v>
      </c>
      <c r="B163">
        <v>0</v>
      </c>
      <c r="C163">
        <v>14</v>
      </c>
      <c r="D163" t="s">
        <v>159</v>
      </c>
      <c r="E163" t="s">
        <v>167</v>
      </c>
      <c r="F163" t="s">
        <v>168</v>
      </c>
      <c r="G163" t="s">
        <v>160</v>
      </c>
      <c r="H163" t="s">
        <v>23</v>
      </c>
      <c r="I163">
        <v>100.483</v>
      </c>
      <c r="J163">
        <v>1500000</v>
      </c>
      <c r="K163" t="s">
        <v>164</v>
      </c>
      <c r="L163">
        <v>1</v>
      </c>
      <c r="M163">
        <v>7.7429999999999999E-3</v>
      </c>
      <c r="N163">
        <v>11671.196</v>
      </c>
      <c r="O163">
        <v>6.5050000000000004E-3</v>
      </c>
      <c r="P163">
        <v>0.1</v>
      </c>
      <c r="Q163">
        <v>3</v>
      </c>
    </row>
    <row r="164" spans="1:17">
      <c r="A164" t="s">
        <v>1161</v>
      </c>
      <c r="B164">
        <v>0</v>
      </c>
      <c r="C164">
        <v>14</v>
      </c>
      <c r="D164" t="s">
        <v>159</v>
      </c>
      <c r="E164" t="s">
        <v>1187</v>
      </c>
      <c r="F164" t="s">
        <v>168</v>
      </c>
      <c r="G164" t="s">
        <v>160</v>
      </c>
      <c r="H164" t="s">
        <v>23</v>
      </c>
      <c r="I164">
        <v>99.941000000000003</v>
      </c>
      <c r="J164">
        <v>3000000</v>
      </c>
      <c r="K164" t="s">
        <v>164</v>
      </c>
      <c r="L164">
        <v>1</v>
      </c>
      <c r="M164">
        <v>9.6010000000000002E-3</v>
      </c>
      <c r="N164">
        <v>28786.52</v>
      </c>
      <c r="O164">
        <v>6.2890000000000003E-3</v>
      </c>
      <c r="P164">
        <v>0.2</v>
      </c>
      <c r="Q164">
        <v>3</v>
      </c>
    </row>
    <row r="165" spans="1:17">
      <c r="A165" t="s">
        <v>1346</v>
      </c>
      <c r="B165">
        <v>0</v>
      </c>
      <c r="C165">
        <v>14</v>
      </c>
      <c r="D165" t="s">
        <v>159</v>
      </c>
      <c r="E165" t="s">
        <v>1452</v>
      </c>
      <c r="F165" t="s">
        <v>168</v>
      </c>
      <c r="G165" t="s">
        <v>160</v>
      </c>
      <c r="H165" t="s">
        <v>23</v>
      </c>
      <c r="I165">
        <v>99.962000000000003</v>
      </c>
      <c r="J165">
        <v>263000</v>
      </c>
      <c r="K165" t="s">
        <v>164</v>
      </c>
      <c r="L165">
        <v>1</v>
      </c>
      <c r="M165">
        <v>1.2666999999999999E-2</v>
      </c>
      <c r="N165">
        <v>3330.239</v>
      </c>
      <c r="O165">
        <v>6.9890000000000004E-3</v>
      </c>
      <c r="P165">
        <v>0.1</v>
      </c>
      <c r="Q165">
        <v>3</v>
      </c>
    </row>
    <row r="166" spans="1:17">
      <c r="A166" t="s">
        <v>107</v>
      </c>
      <c r="B166">
        <v>0</v>
      </c>
      <c r="C166">
        <v>14</v>
      </c>
      <c r="D166" t="s">
        <v>159</v>
      </c>
      <c r="E166" t="s">
        <v>181</v>
      </c>
      <c r="F166" t="s">
        <v>168</v>
      </c>
      <c r="G166" t="s">
        <v>160</v>
      </c>
      <c r="H166" t="s">
        <v>23</v>
      </c>
      <c r="I166">
        <v>100.91200000000001</v>
      </c>
      <c r="J166">
        <v>2000000</v>
      </c>
      <c r="K166" t="s">
        <v>164</v>
      </c>
      <c r="L166">
        <v>1</v>
      </c>
      <c r="M166">
        <v>4.6579999999999998E-3</v>
      </c>
      <c r="N166">
        <v>9402.5319999999992</v>
      </c>
      <c r="O166">
        <v>5.5149999999999999E-3</v>
      </c>
      <c r="P166">
        <v>0.2</v>
      </c>
      <c r="Q166">
        <v>3</v>
      </c>
    </row>
    <row r="167" spans="1:17">
      <c r="A167" t="s">
        <v>109</v>
      </c>
      <c r="B167">
        <v>0</v>
      </c>
      <c r="C167">
        <v>14</v>
      </c>
      <c r="D167" t="s">
        <v>159</v>
      </c>
      <c r="E167" t="s">
        <v>202</v>
      </c>
      <c r="F167" t="s">
        <v>168</v>
      </c>
      <c r="G167" t="s">
        <v>160</v>
      </c>
      <c r="H167" t="s">
        <v>23</v>
      </c>
      <c r="I167">
        <v>100.375</v>
      </c>
      <c r="J167">
        <v>2000000</v>
      </c>
      <c r="K167" t="s">
        <v>164</v>
      </c>
      <c r="L167">
        <v>1</v>
      </c>
      <c r="M167">
        <v>3.7299999999999998E-3</v>
      </c>
      <c r="N167">
        <v>7488.3990000000003</v>
      </c>
      <c r="O167">
        <v>5.5970000000000004E-3</v>
      </c>
      <c r="P167">
        <v>0.3</v>
      </c>
      <c r="Q167">
        <v>3</v>
      </c>
    </row>
    <row r="168" spans="1:17">
      <c r="A168" t="s">
        <v>1076</v>
      </c>
      <c r="B168">
        <v>0</v>
      </c>
      <c r="C168">
        <v>14</v>
      </c>
      <c r="D168" t="s">
        <v>159</v>
      </c>
      <c r="E168" t="s">
        <v>1097</v>
      </c>
      <c r="F168" t="s">
        <v>1098</v>
      </c>
      <c r="G168" t="s">
        <v>160</v>
      </c>
      <c r="H168" t="s">
        <v>23</v>
      </c>
      <c r="I168">
        <v>98.453000000000003</v>
      </c>
      <c r="J168">
        <v>3700000</v>
      </c>
      <c r="K168" t="s">
        <v>164</v>
      </c>
      <c r="L168">
        <v>1</v>
      </c>
      <c r="M168">
        <v>1.8582999999999999E-2</v>
      </c>
      <c r="N168">
        <v>67821.388000000006</v>
      </c>
      <c r="O168">
        <v>1.2630000000000001E-2</v>
      </c>
      <c r="P168">
        <v>0.3</v>
      </c>
      <c r="Q168">
        <v>3</v>
      </c>
    </row>
    <row r="169" spans="1:17">
      <c r="A169" t="s">
        <v>1078</v>
      </c>
      <c r="B169">
        <v>0</v>
      </c>
      <c r="C169">
        <v>14</v>
      </c>
      <c r="D169" t="s">
        <v>159</v>
      </c>
      <c r="E169" t="s">
        <v>1099</v>
      </c>
      <c r="F169" t="s">
        <v>1098</v>
      </c>
      <c r="G169" t="s">
        <v>160</v>
      </c>
      <c r="H169" t="s">
        <v>23</v>
      </c>
      <c r="I169">
        <v>97.846000000000004</v>
      </c>
      <c r="J169">
        <v>2500000</v>
      </c>
      <c r="K169" t="s">
        <v>164</v>
      </c>
      <c r="L169">
        <v>1</v>
      </c>
      <c r="M169">
        <v>1.3521999999999999E-2</v>
      </c>
      <c r="N169">
        <v>33144.769</v>
      </c>
      <c r="O169">
        <v>1.0038E-2</v>
      </c>
      <c r="P169">
        <v>0.3</v>
      </c>
      <c r="Q169">
        <v>3</v>
      </c>
    </row>
    <row r="170" spans="1:17">
      <c r="A170" t="s">
        <v>1348</v>
      </c>
      <c r="B170">
        <v>0</v>
      </c>
      <c r="C170">
        <v>14</v>
      </c>
      <c r="D170" t="s">
        <v>159</v>
      </c>
      <c r="E170" t="s">
        <v>1453</v>
      </c>
      <c r="F170" t="s">
        <v>1098</v>
      </c>
      <c r="G170" t="s">
        <v>160</v>
      </c>
      <c r="H170" t="s">
        <v>23</v>
      </c>
      <c r="I170">
        <v>98.68</v>
      </c>
      <c r="J170">
        <v>1000000</v>
      </c>
      <c r="K170" t="s">
        <v>164</v>
      </c>
      <c r="L170">
        <v>1</v>
      </c>
      <c r="M170">
        <v>1.9245000000000002E-2</v>
      </c>
      <c r="N170">
        <v>19108.896000000001</v>
      </c>
      <c r="O170">
        <v>8.3960000000000007E-3</v>
      </c>
      <c r="P170">
        <v>0.6</v>
      </c>
      <c r="Q170">
        <v>3</v>
      </c>
    </row>
    <row r="171" spans="1:17">
      <c r="A171" t="s">
        <v>1350</v>
      </c>
      <c r="B171">
        <v>0</v>
      </c>
      <c r="C171">
        <v>14</v>
      </c>
      <c r="D171" t="s">
        <v>159</v>
      </c>
      <c r="E171" t="s">
        <v>1454</v>
      </c>
      <c r="F171" t="s">
        <v>1098</v>
      </c>
      <c r="G171" t="s">
        <v>160</v>
      </c>
      <c r="H171" t="s">
        <v>23</v>
      </c>
      <c r="I171">
        <v>96.634</v>
      </c>
      <c r="J171">
        <v>14200000</v>
      </c>
      <c r="K171" t="s">
        <v>164</v>
      </c>
      <c r="L171">
        <v>1</v>
      </c>
      <c r="M171">
        <v>2.103E-2</v>
      </c>
      <c r="N171">
        <v>290181.34000000003</v>
      </c>
      <c r="O171">
        <v>9.6200000000000001E-3</v>
      </c>
      <c r="P171">
        <v>3.8</v>
      </c>
      <c r="Q171">
        <v>6</v>
      </c>
    </row>
    <row r="172" spans="1:17">
      <c r="A172" t="s">
        <v>1163</v>
      </c>
      <c r="B172">
        <v>0</v>
      </c>
      <c r="C172">
        <v>14</v>
      </c>
      <c r="D172" t="s">
        <v>159</v>
      </c>
      <c r="E172" t="s">
        <v>1188</v>
      </c>
      <c r="F172" t="s">
        <v>1098</v>
      </c>
      <c r="G172" t="s">
        <v>160</v>
      </c>
      <c r="H172" t="s">
        <v>23</v>
      </c>
      <c r="I172">
        <v>91.534999999999997</v>
      </c>
      <c r="J172">
        <v>3000000</v>
      </c>
      <c r="K172" t="s">
        <v>164</v>
      </c>
      <c r="L172">
        <v>1</v>
      </c>
      <c r="M172">
        <v>1.4297000000000001E-2</v>
      </c>
      <c r="N172">
        <v>39350.620999999999</v>
      </c>
      <c r="O172">
        <v>9.8759999999999994E-3</v>
      </c>
      <c r="P172">
        <v>0.3</v>
      </c>
      <c r="Q172">
        <v>3</v>
      </c>
    </row>
    <row r="173" spans="1:17">
      <c r="A173" t="s">
        <v>1080</v>
      </c>
      <c r="B173">
        <v>0</v>
      </c>
      <c r="C173">
        <v>14</v>
      </c>
      <c r="D173" t="s">
        <v>159</v>
      </c>
      <c r="E173" t="s">
        <v>1100</v>
      </c>
      <c r="F173" t="s">
        <v>1098</v>
      </c>
      <c r="G173" t="s">
        <v>160</v>
      </c>
      <c r="H173" t="s">
        <v>23</v>
      </c>
      <c r="I173">
        <v>98.828000000000003</v>
      </c>
      <c r="J173">
        <v>2350000</v>
      </c>
      <c r="K173" t="s">
        <v>164</v>
      </c>
      <c r="L173">
        <v>1</v>
      </c>
      <c r="M173">
        <v>1.1494000000000001E-2</v>
      </c>
      <c r="N173">
        <v>26703.141</v>
      </c>
      <c r="O173">
        <v>8.2950000000000003E-3</v>
      </c>
      <c r="P173">
        <v>0.2</v>
      </c>
      <c r="Q173">
        <v>3</v>
      </c>
    </row>
    <row r="174" spans="1:17">
      <c r="A174" t="s">
        <v>1352</v>
      </c>
      <c r="B174">
        <v>0</v>
      </c>
      <c r="C174">
        <v>14</v>
      </c>
      <c r="D174" t="s">
        <v>159</v>
      </c>
      <c r="E174" t="s">
        <v>1455</v>
      </c>
      <c r="F174" t="s">
        <v>175</v>
      </c>
      <c r="G174" t="s">
        <v>160</v>
      </c>
      <c r="H174" t="s">
        <v>23</v>
      </c>
      <c r="I174">
        <v>98.566000000000003</v>
      </c>
      <c r="J174">
        <v>1500000</v>
      </c>
      <c r="K174" t="s">
        <v>164</v>
      </c>
      <c r="L174">
        <v>1</v>
      </c>
      <c r="M174">
        <v>1.1683000000000001E-2</v>
      </c>
      <c r="N174">
        <v>17277.053</v>
      </c>
      <c r="O174">
        <v>8.4919999999999995E-3</v>
      </c>
      <c r="P174">
        <v>0.2</v>
      </c>
      <c r="Q174">
        <v>3</v>
      </c>
    </row>
    <row r="175" spans="1:17">
      <c r="A175" t="s">
        <v>111</v>
      </c>
      <c r="B175">
        <v>0</v>
      </c>
      <c r="C175">
        <v>14</v>
      </c>
      <c r="D175" t="s">
        <v>159</v>
      </c>
      <c r="E175" t="s">
        <v>174</v>
      </c>
      <c r="F175" t="s">
        <v>175</v>
      </c>
      <c r="G175" t="s">
        <v>160</v>
      </c>
      <c r="H175" t="s">
        <v>23</v>
      </c>
      <c r="I175">
        <v>101.307</v>
      </c>
      <c r="J175">
        <v>5000000</v>
      </c>
      <c r="K175" t="s">
        <v>164</v>
      </c>
      <c r="L175">
        <v>1</v>
      </c>
      <c r="M175">
        <v>8.0129999999999993E-3</v>
      </c>
      <c r="N175">
        <v>40593.514000000003</v>
      </c>
      <c r="O175">
        <v>7.3839999999999999E-3</v>
      </c>
      <c r="P175">
        <v>0.3</v>
      </c>
      <c r="Q175">
        <v>3</v>
      </c>
    </row>
    <row r="176" spans="1:17">
      <c r="A176" t="s">
        <v>1354</v>
      </c>
      <c r="B176">
        <v>0</v>
      </c>
      <c r="C176">
        <v>14</v>
      </c>
      <c r="D176" t="s">
        <v>159</v>
      </c>
      <c r="E176" t="s">
        <v>1456</v>
      </c>
      <c r="F176" t="s">
        <v>175</v>
      </c>
      <c r="G176" t="s">
        <v>160</v>
      </c>
      <c r="H176" t="s">
        <v>23</v>
      </c>
      <c r="I176">
        <v>101.129</v>
      </c>
      <c r="J176">
        <v>2000000</v>
      </c>
      <c r="K176" t="s">
        <v>164</v>
      </c>
      <c r="L176">
        <v>1</v>
      </c>
      <c r="M176">
        <v>5.3670000000000002E-3</v>
      </c>
      <c r="N176">
        <v>10856.422</v>
      </c>
      <c r="O176">
        <v>5.7670000000000004E-3</v>
      </c>
      <c r="P176">
        <v>0.3</v>
      </c>
      <c r="Q176">
        <v>3</v>
      </c>
    </row>
    <row r="177" spans="1:17">
      <c r="A177" t="s">
        <v>1955</v>
      </c>
      <c r="B177">
        <v>0</v>
      </c>
      <c r="C177">
        <v>14</v>
      </c>
      <c r="D177" t="s">
        <v>159</v>
      </c>
      <c r="E177" t="s">
        <v>2014</v>
      </c>
      <c r="F177" t="s">
        <v>2015</v>
      </c>
      <c r="G177" t="s">
        <v>160</v>
      </c>
      <c r="H177" t="s">
        <v>23</v>
      </c>
      <c r="I177">
        <v>90.177000000000007</v>
      </c>
      <c r="J177">
        <v>1300000</v>
      </c>
      <c r="K177" t="s">
        <v>164</v>
      </c>
      <c r="L177">
        <v>1</v>
      </c>
      <c r="M177">
        <v>2.7869999999999999E-2</v>
      </c>
      <c r="N177">
        <v>32832.660000000003</v>
      </c>
      <c r="O177">
        <v>1.4770999999999999E-2</v>
      </c>
      <c r="P177">
        <v>0.5</v>
      </c>
      <c r="Q177">
        <v>3</v>
      </c>
    </row>
    <row r="178" spans="1:17">
      <c r="A178" t="s">
        <v>768</v>
      </c>
      <c r="B178">
        <v>0</v>
      </c>
      <c r="C178">
        <v>14</v>
      </c>
      <c r="D178" t="s">
        <v>159</v>
      </c>
      <c r="E178" t="s">
        <v>769</v>
      </c>
      <c r="F178" t="s">
        <v>218</v>
      </c>
      <c r="G178" t="s">
        <v>160</v>
      </c>
      <c r="H178" t="s">
        <v>23</v>
      </c>
      <c r="I178">
        <v>92.159000000000006</v>
      </c>
      <c r="J178">
        <v>5500000</v>
      </c>
      <c r="K178" t="s">
        <v>164</v>
      </c>
      <c r="L178">
        <v>1</v>
      </c>
      <c r="M178">
        <v>9.1730000000000006E-3</v>
      </c>
      <c r="N178">
        <v>46498.909</v>
      </c>
      <c r="O178">
        <v>8.8819999999999993E-3</v>
      </c>
      <c r="P178">
        <v>0.6</v>
      </c>
      <c r="Q178">
        <v>3</v>
      </c>
    </row>
    <row r="179" spans="1:17">
      <c r="A179" t="s">
        <v>1356</v>
      </c>
      <c r="B179">
        <v>0</v>
      </c>
      <c r="C179">
        <v>14</v>
      </c>
      <c r="D179" t="s">
        <v>159</v>
      </c>
      <c r="E179" t="s">
        <v>1457</v>
      </c>
      <c r="F179" t="s">
        <v>1458</v>
      </c>
      <c r="G179" t="s">
        <v>160</v>
      </c>
      <c r="H179" t="s">
        <v>23</v>
      </c>
      <c r="I179">
        <v>101.324</v>
      </c>
      <c r="J179">
        <v>2000000</v>
      </c>
      <c r="K179" t="s">
        <v>173</v>
      </c>
      <c r="L179">
        <v>1</v>
      </c>
      <c r="M179">
        <v>5.5490000000000001E-3</v>
      </c>
      <c r="N179">
        <v>11246.268</v>
      </c>
      <c r="O179">
        <v>2.2650000000000001E-3</v>
      </c>
      <c r="P179">
        <v>0.3</v>
      </c>
      <c r="Q179">
        <v>3</v>
      </c>
    </row>
    <row r="180" spans="1:17">
      <c r="A180" t="s">
        <v>1957</v>
      </c>
      <c r="B180">
        <v>0</v>
      </c>
      <c r="C180">
        <v>14</v>
      </c>
      <c r="D180" t="s">
        <v>159</v>
      </c>
      <c r="E180" t="s">
        <v>2016</v>
      </c>
      <c r="F180" t="s">
        <v>2017</v>
      </c>
      <c r="G180" t="s">
        <v>160</v>
      </c>
      <c r="H180" t="s">
        <v>23</v>
      </c>
      <c r="I180" t="s">
        <v>161</v>
      </c>
      <c r="J180" t="s">
        <v>161</v>
      </c>
      <c r="K180" t="s">
        <v>1186</v>
      </c>
      <c r="L180" t="s">
        <v>161</v>
      </c>
      <c r="M180" t="s">
        <v>161</v>
      </c>
      <c r="N180" t="s">
        <v>161</v>
      </c>
      <c r="O180" t="s">
        <v>161</v>
      </c>
      <c r="P180" t="s">
        <v>161</v>
      </c>
      <c r="Q180" t="s">
        <v>161</v>
      </c>
    </row>
    <row r="181" spans="1:17">
      <c r="A181" t="s">
        <v>770</v>
      </c>
      <c r="B181">
        <v>0</v>
      </c>
      <c r="C181">
        <v>14</v>
      </c>
      <c r="D181" t="s">
        <v>159</v>
      </c>
      <c r="E181" t="s">
        <v>771</v>
      </c>
      <c r="F181" t="s">
        <v>772</v>
      </c>
      <c r="G181" t="s">
        <v>160</v>
      </c>
      <c r="H181" t="s">
        <v>23</v>
      </c>
      <c r="I181">
        <v>100.227</v>
      </c>
      <c r="J181">
        <v>2500000</v>
      </c>
      <c r="K181" t="s">
        <v>173</v>
      </c>
      <c r="L181">
        <v>1</v>
      </c>
      <c r="M181">
        <v>1.0071E-2</v>
      </c>
      <c r="N181">
        <v>25334.51</v>
      </c>
      <c r="O181">
        <v>5.3189999999999999E-3</v>
      </c>
      <c r="P181">
        <v>0.5</v>
      </c>
      <c r="Q181">
        <v>3</v>
      </c>
    </row>
    <row r="182" spans="1:17">
      <c r="A182" t="s">
        <v>1358</v>
      </c>
      <c r="B182">
        <v>0</v>
      </c>
      <c r="C182">
        <v>14</v>
      </c>
      <c r="D182" t="s">
        <v>159</v>
      </c>
      <c r="E182" t="s">
        <v>1459</v>
      </c>
      <c r="F182" t="s">
        <v>1460</v>
      </c>
      <c r="G182" t="s">
        <v>160</v>
      </c>
      <c r="H182" t="s">
        <v>23</v>
      </c>
      <c r="I182">
        <v>97.811999999999998</v>
      </c>
      <c r="J182">
        <v>500000</v>
      </c>
      <c r="K182" t="s">
        <v>164</v>
      </c>
      <c r="L182">
        <v>1</v>
      </c>
      <c r="M182">
        <v>7.8429999999999993E-3</v>
      </c>
      <c r="N182">
        <v>3837.8690000000001</v>
      </c>
      <c r="O182">
        <v>8.8020000000000008E-3</v>
      </c>
      <c r="P182">
        <v>0.3</v>
      </c>
      <c r="Q182">
        <v>3</v>
      </c>
    </row>
    <row r="183" spans="1:17">
      <c r="A183" t="s">
        <v>1360</v>
      </c>
      <c r="B183">
        <v>0</v>
      </c>
      <c r="C183">
        <v>14</v>
      </c>
      <c r="D183" t="s">
        <v>159</v>
      </c>
      <c r="E183" t="s">
        <v>1461</v>
      </c>
      <c r="F183" t="s">
        <v>1460</v>
      </c>
      <c r="G183" t="s">
        <v>160</v>
      </c>
      <c r="H183" t="s">
        <v>23</v>
      </c>
      <c r="I183">
        <v>95.647999999999996</v>
      </c>
      <c r="J183">
        <v>3000000</v>
      </c>
      <c r="K183" t="s">
        <v>164</v>
      </c>
      <c r="L183">
        <v>1</v>
      </c>
      <c r="M183">
        <v>1.3127E-2</v>
      </c>
      <c r="N183">
        <v>37810.919000000002</v>
      </c>
      <c r="O183">
        <v>1.355E-2</v>
      </c>
      <c r="P183">
        <v>0.3</v>
      </c>
      <c r="Q183">
        <v>3</v>
      </c>
    </row>
    <row r="184" spans="1:17">
      <c r="A184" t="s">
        <v>1228</v>
      </c>
      <c r="B184">
        <v>0</v>
      </c>
      <c r="C184">
        <v>14</v>
      </c>
      <c r="D184" t="s">
        <v>159</v>
      </c>
      <c r="E184" t="s">
        <v>1262</v>
      </c>
      <c r="F184" t="s">
        <v>178</v>
      </c>
      <c r="G184" t="s">
        <v>160</v>
      </c>
      <c r="H184" t="s">
        <v>23</v>
      </c>
      <c r="I184">
        <v>99.369</v>
      </c>
      <c r="J184">
        <v>1800000</v>
      </c>
      <c r="K184" t="s">
        <v>164</v>
      </c>
      <c r="L184">
        <v>1</v>
      </c>
      <c r="M184">
        <v>5.2119999999999996E-3</v>
      </c>
      <c r="N184">
        <v>9329.35</v>
      </c>
      <c r="O184">
        <v>6.0350000000000004E-3</v>
      </c>
      <c r="P184">
        <v>0.3</v>
      </c>
      <c r="Q184">
        <v>3</v>
      </c>
    </row>
    <row r="185" spans="1:17">
      <c r="A185" t="s">
        <v>1362</v>
      </c>
      <c r="B185">
        <v>0</v>
      </c>
      <c r="C185">
        <v>14</v>
      </c>
      <c r="D185" t="s">
        <v>159</v>
      </c>
      <c r="E185" t="s">
        <v>1462</v>
      </c>
      <c r="F185" t="s">
        <v>178</v>
      </c>
      <c r="G185" t="s">
        <v>160</v>
      </c>
      <c r="H185" t="s">
        <v>23</v>
      </c>
      <c r="I185">
        <v>81.935000000000002</v>
      </c>
      <c r="J185">
        <v>1000000</v>
      </c>
      <c r="K185" t="s">
        <v>164</v>
      </c>
      <c r="L185">
        <v>1</v>
      </c>
      <c r="M185">
        <v>2.2502000000000001E-2</v>
      </c>
      <c r="N185">
        <v>18437.761999999999</v>
      </c>
      <c r="O185">
        <v>1.4213E-2</v>
      </c>
      <c r="P185">
        <v>0.2</v>
      </c>
      <c r="Q185">
        <v>3</v>
      </c>
    </row>
    <row r="186" spans="1:17">
      <c r="A186" t="s">
        <v>1364</v>
      </c>
      <c r="B186">
        <v>0</v>
      </c>
      <c r="C186">
        <v>14</v>
      </c>
      <c r="D186" t="s">
        <v>159</v>
      </c>
      <c r="E186" t="s">
        <v>1463</v>
      </c>
      <c r="F186" t="s">
        <v>178</v>
      </c>
      <c r="G186" t="s">
        <v>160</v>
      </c>
      <c r="H186" t="s">
        <v>23</v>
      </c>
      <c r="I186">
        <v>85.694999999999993</v>
      </c>
      <c r="J186">
        <v>5500000</v>
      </c>
      <c r="K186" t="s">
        <v>164</v>
      </c>
      <c r="L186">
        <v>1</v>
      </c>
      <c r="M186">
        <v>1.8037000000000001E-2</v>
      </c>
      <c r="N186">
        <v>85037.096999999994</v>
      </c>
      <c r="O186">
        <v>9.0240000000000008E-3</v>
      </c>
      <c r="P186">
        <v>0.1</v>
      </c>
      <c r="Q186">
        <v>3</v>
      </c>
    </row>
    <row r="187" spans="1:17">
      <c r="A187" t="s">
        <v>1230</v>
      </c>
      <c r="B187">
        <v>0</v>
      </c>
      <c r="C187">
        <v>14</v>
      </c>
      <c r="D187" t="s">
        <v>159</v>
      </c>
      <c r="E187" t="s">
        <v>1263</v>
      </c>
      <c r="F187" t="s">
        <v>178</v>
      </c>
      <c r="G187" t="s">
        <v>160</v>
      </c>
      <c r="H187" t="s">
        <v>23</v>
      </c>
      <c r="I187">
        <v>100.16200000000001</v>
      </c>
      <c r="J187">
        <v>4000000</v>
      </c>
      <c r="K187" t="s">
        <v>164</v>
      </c>
      <c r="L187">
        <v>1</v>
      </c>
      <c r="M187">
        <v>8.2129999999999998E-3</v>
      </c>
      <c r="N187">
        <v>32907.491999999998</v>
      </c>
      <c r="O187">
        <v>8.8970000000000004E-3</v>
      </c>
      <c r="P187">
        <v>0.3</v>
      </c>
      <c r="Q187">
        <v>3</v>
      </c>
    </row>
    <row r="188" spans="1:17">
      <c r="A188" t="s">
        <v>795</v>
      </c>
      <c r="B188">
        <v>0</v>
      </c>
      <c r="C188">
        <v>14</v>
      </c>
      <c r="D188" t="s">
        <v>159</v>
      </c>
      <c r="E188" t="s">
        <v>799</v>
      </c>
      <c r="F188" t="s">
        <v>800</v>
      </c>
      <c r="G188" t="s">
        <v>160</v>
      </c>
      <c r="H188" t="s">
        <v>23</v>
      </c>
      <c r="I188">
        <v>99.370999999999995</v>
      </c>
      <c r="J188">
        <v>5000000</v>
      </c>
      <c r="K188" t="s">
        <v>173</v>
      </c>
      <c r="L188">
        <v>1</v>
      </c>
      <c r="M188">
        <v>9.0159999999999997E-3</v>
      </c>
      <c r="N188">
        <v>44882.89</v>
      </c>
      <c r="O188">
        <v>2.7209999999999999E-3</v>
      </c>
      <c r="P188">
        <v>0.7</v>
      </c>
      <c r="Q188">
        <v>3</v>
      </c>
    </row>
    <row r="189" spans="1:17">
      <c r="A189" t="s">
        <v>113</v>
      </c>
      <c r="B189">
        <v>0</v>
      </c>
      <c r="C189">
        <v>14</v>
      </c>
      <c r="D189" t="s">
        <v>159</v>
      </c>
      <c r="E189" t="s">
        <v>213</v>
      </c>
      <c r="F189" t="s">
        <v>214</v>
      </c>
      <c r="G189" t="s">
        <v>160</v>
      </c>
      <c r="H189" t="s">
        <v>23</v>
      </c>
      <c r="I189">
        <v>99.751999999999995</v>
      </c>
      <c r="J189">
        <v>2000000</v>
      </c>
      <c r="K189" t="s">
        <v>164</v>
      </c>
      <c r="L189">
        <v>1</v>
      </c>
      <c r="M189">
        <v>3.9940000000000002E-3</v>
      </c>
      <c r="N189">
        <v>7971.491</v>
      </c>
      <c r="O189">
        <v>4.7219999999999996E-3</v>
      </c>
      <c r="P189">
        <v>0.3</v>
      </c>
      <c r="Q189">
        <v>3</v>
      </c>
    </row>
    <row r="190" spans="1:17">
      <c r="A190" t="s">
        <v>1232</v>
      </c>
      <c r="B190">
        <v>0</v>
      </c>
      <c r="C190">
        <v>14</v>
      </c>
      <c r="D190" t="s">
        <v>159</v>
      </c>
      <c r="E190" t="s">
        <v>1264</v>
      </c>
      <c r="F190" t="s">
        <v>172</v>
      </c>
      <c r="G190" t="s">
        <v>160</v>
      </c>
      <c r="H190" t="s">
        <v>23</v>
      </c>
      <c r="I190">
        <v>97.778000000000006</v>
      </c>
      <c r="J190">
        <v>3000000</v>
      </c>
      <c r="K190" t="s">
        <v>164</v>
      </c>
      <c r="L190">
        <v>1</v>
      </c>
      <c r="M190">
        <v>7.0039999999999998E-3</v>
      </c>
      <c r="N190">
        <v>20548.757000000001</v>
      </c>
      <c r="O190">
        <v>8.9840000000000007E-3</v>
      </c>
      <c r="P190">
        <v>0.3</v>
      </c>
      <c r="Q190">
        <v>3</v>
      </c>
    </row>
    <row r="191" spans="1:17">
      <c r="A191" t="s">
        <v>1234</v>
      </c>
      <c r="B191">
        <v>0</v>
      </c>
      <c r="C191">
        <v>14</v>
      </c>
      <c r="D191" t="s">
        <v>159</v>
      </c>
      <c r="E191" t="s">
        <v>1265</v>
      </c>
      <c r="F191" t="s">
        <v>172</v>
      </c>
      <c r="G191" t="s">
        <v>160</v>
      </c>
      <c r="H191" t="s">
        <v>23</v>
      </c>
      <c r="I191">
        <v>97.554000000000002</v>
      </c>
      <c r="J191">
        <v>2191000</v>
      </c>
      <c r="K191" t="s">
        <v>164</v>
      </c>
      <c r="L191">
        <v>1</v>
      </c>
      <c r="M191">
        <v>1.89E-2</v>
      </c>
      <c r="N191">
        <v>40460.625999999997</v>
      </c>
      <c r="O191">
        <v>1.0819E-2</v>
      </c>
      <c r="P191">
        <v>0.3</v>
      </c>
      <c r="Q191">
        <v>3</v>
      </c>
    </row>
    <row r="192" spans="1:17">
      <c r="A192" t="s">
        <v>529</v>
      </c>
      <c r="B192">
        <v>0</v>
      </c>
      <c r="C192">
        <v>14</v>
      </c>
      <c r="D192" t="s">
        <v>159</v>
      </c>
      <c r="E192" t="s">
        <v>536</v>
      </c>
      <c r="F192" t="s">
        <v>172</v>
      </c>
      <c r="G192" t="s">
        <v>160</v>
      </c>
      <c r="H192" t="s">
        <v>23</v>
      </c>
      <c r="I192">
        <v>100.126</v>
      </c>
      <c r="J192">
        <v>3500000</v>
      </c>
      <c r="K192" t="s">
        <v>164</v>
      </c>
      <c r="L192">
        <v>1</v>
      </c>
      <c r="M192">
        <v>1.0418E-2</v>
      </c>
      <c r="N192">
        <v>36521.139000000003</v>
      </c>
      <c r="O192">
        <v>9.9310000000000006E-3</v>
      </c>
      <c r="P192">
        <v>0.3</v>
      </c>
      <c r="Q192">
        <v>3</v>
      </c>
    </row>
    <row r="193" spans="1:17">
      <c r="A193" t="s">
        <v>115</v>
      </c>
      <c r="B193">
        <v>0</v>
      </c>
      <c r="C193">
        <v>14</v>
      </c>
      <c r="D193" t="s">
        <v>159</v>
      </c>
      <c r="E193" t="s">
        <v>171</v>
      </c>
      <c r="F193" t="s">
        <v>172</v>
      </c>
      <c r="G193" t="s">
        <v>160</v>
      </c>
      <c r="H193" t="s">
        <v>23</v>
      </c>
      <c r="I193">
        <v>101.092</v>
      </c>
      <c r="J193">
        <v>4000000</v>
      </c>
      <c r="K193" t="s">
        <v>164</v>
      </c>
      <c r="L193">
        <v>1</v>
      </c>
      <c r="M193">
        <v>1.1063999999999999E-2</v>
      </c>
      <c r="N193">
        <v>44776.042000000001</v>
      </c>
      <c r="O193">
        <v>9.2189999999999998E-3</v>
      </c>
      <c r="P193">
        <v>0.4</v>
      </c>
      <c r="Q193">
        <v>3</v>
      </c>
    </row>
    <row r="194" spans="1:17">
      <c r="A194" t="s">
        <v>1366</v>
      </c>
      <c r="B194">
        <v>0</v>
      </c>
      <c r="C194">
        <v>14</v>
      </c>
      <c r="D194" t="s">
        <v>159</v>
      </c>
      <c r="E194" t="s">
        <v>1464</v>
      </c>
      <c r="F194" t="s">
        <v>172</v>
      </c>
      <c r="G194" t="s">
        <v>160</v>
      </c>
      <c r="H194" t="s">
        <v>23</v>
      </c>
      <c r="I194">
        <v>89</v>
      </c>
      <c r="J194">
        <v>1300000</v>
      </c>
      <c r="K194" t="s">
        <v>164</v>
      </c>
      <c r="L194">
        <v>1</v>
      </c>
      <c r="M194">
        <v>1.312E-2</v>
      </c>
      <c r="N194">
        <v>15180.831</v>
      </c>
      <c r="O194">
        <v>2.5384E-2</v>
      </c>
      <c r="P194">
        <v>0.3</v>
      </c>
      <c r="Q194">
        <v>3</v>
      </c>
    </row>
    <row r="195" spans="1:17">
      <c r="A195" t="s">
        <v>261</v>
      </c>
      <c r="B195">
        <v>0</v>
      </c>
      <c r="C195">
        <v>14</v>
      </c>
      <c r="D195" t="s">
        <v>159</v>
      </c>
      <c r="E195" t="s">
        <v>262</v>
      </c>
      <c r="F195" t="s">
        <v>263</v>
      </c>
      <c r="G195" t="s">
        <v>235</v>
      </c>
      <c r="H195" t="s">
        <v>21</v>
      </c>
      <c r="I195">
        <v>71.822999999999993</v>
      </c>
      <c r="J195">
        <v>177200</v>
      </c>
      <c r="K195" t="s">
        <v>236</v>
      </c>
      <c r="L195">
        <v>1</v>
      </c>
      <c r="M195">
        <v>1.6579E-2</v>
      </c>
      <c r="N195">
        <v>211309.57800000001</v>
      </c>
      <c r="O195">
        <v>1.7730000000000001E-3</v>
      </c>
      <c r="P195">
        <v>0.2</v>
      </c>
      <c r="Q195">
        <v>3</v>
      </c>
    </row>
    <row r="196" spans="1:17">
      <c r="A196" t="s">
        <v>1101</v>
      </c>
      <c r="B196">
        <v>0</v>
      </c>
      <c r="C196">
        <v>14</v>
      </c>
      <c r="D196" t="s">
        <v>159</v>
      </c>
      <c r="E196" t="s">
        <v>1102</v>
      </c>
      <c r="F196" t="s">
        <v>803</v>
      </c>
      <c r="G196" t="s">
        <v>235</v>
      </c>
      <c r="H196" t="s">
        <v>21</v>
      </c>
      <c r="I196">
        <v>196.71299999999999</v>
      </c>
      <c r="J196">
        <v>127000</v>
      </c>
      <c r="K196" t="s">
        <v>236</v>
      </c>
      <c r="L196">
        <v>1</v>
      </c>
      <c r="M196">
        <v>1.5845999999999999E-2</v>
      </c>
      <c r="N196">
        <v>396356.80900000001</v>
      </c>
      <c r="O196">
        <v>1.475E-3</v>
      </c>
      <c r="P196">
        <v>0.2</v>
      </c>
      <c r="Q196">
        <v>3</v>
      </c>
    </row>
    <row r="197" spans="1:17">
      <c r="A197" t="s">
        <v>2018</v>
      </c>
      <c r="B197">
        <v>0</v>
      </c>
      <c r="C197">
        <v>14</v>
      </c>
      <c r="D197" t="s">
        <v>159</v>
      </c>
      <c r="E197" t="s">
        <v>2019</v>
      </c>
      <c r="F197" t="s">
        <v>2020</v>
      </c>
      <c r="G197" t="s">
        <v>235</v>
      </c>
      <c r="H197" t="s">
        <v>21</v>
      </c>
      <c r="I197">
        <v>65.134</v>
      </c>
      <c r="J197">
        <v>50000</v>
      </c>
      <c r="K197" t="s">
        <v>236</v>
      </c>
      <c r="L197">
        <v>1</v>
      </c>
      <c r="M197">
        <v>3.9952000000000001E-2</v>
      </c>
      <c r="N197">
        <v>130593.54300000001</v>
      </c>
      <c r="O197">
        <v>4.9630000000000004E-3</v>
      </c>
      <c r="P197">
        <v>0.2</v>
      </c>
      <c r="Q197">
        <v>3</v>
      </c>
    </row>
    <row r="198" spans="1:17">
      <c r="A198" t="s">
        <v>1058</v>
      </c>
      <c r="B198">
        <v>0</v>
      </c>
      <c r="C198">
        <v>14</v>
      </c>
      <c r="D198" t="s">
        <v>159</v>
      </c>
      <c r="E198" t="s">
        <v>1059</v>
      </c>
      <c r="F198" t="s">
        <v>1060</v>
      </c>
      <c r="G198" t="s">
        <v>235</v>
      </c>
      <c r="H198" t="s">
        <v>21</v>
      </c>
      <c r="I198">
        <v>27.61</v>
      </c>
      <c r="J198">
        <v>110000</v>
      </c>
      <c r="K198" t="s">
        <v>236</v>
      </c>
      <c r="L198">
        <v>1</v>
      </c>
      <c r="M198">
        <v>2.1010000000000001E-2</v>
      </c>
      <c r="N198">
        <v>63961.641000000003</v>
      </c>
      <c r="O198">
        <v>2.673E-3</v>
      </c>
      <c r="P198">
        <v>0.3</v>
      </c>
      <c r="Q198">
        <v>3</v>
      </c>
    </row>
    <row r="199" spans="1:17">
      <c r="A199" t="s">
        <v>983</v>
      </c>
      <c r="B199">
        <v>0</v>
      </c>
      <c r="C199">
        <v>14</v>
      </c>
      <c r="D199" t="s">
        <v>159</v>
      </c>
      <c r="E199" t="s">
        <v>984</v>
      </c>
      <c r="F199" t="s">
        <v>985</v>
      </c>
      <c r="G199" t="s">
        <v>235</v>
      </c>
      <c r="H199" t="s">
        <v>21</v>
      </c>
      <c r="I199">
        <v>37.061</v>
      </c>
      <c r="J199">
        <v>290000</v>
      </c>
      <c r="K199" t="s">
        <v>236</v>
      </c>
      <c r="L199">
        <v>1</v>
      </c>
      <c r="M199">
        <v>1.8598E-2</v>
      </c>
      <c r="N199">
        <v>200232.79</v>
      </c>
      <c r="O199">
        <v>1.9369999999999999E-3</v>
      </c>
      <c r="P199">
        <v>0.6</v>
      </c>
      <c r="Q199">
        <v>3</v>
      </c>
    </row>
    <row r="200" spans="1:17">
      <c r="A200" t="s">
        <v>232</v>
      </c>
      <c r="B200">
        <v>0</v>
      </c>
      <c r="C200">
        <v>14</v>
      </c>
      <c r="D200" t="s">
        <v>159</v>
      </c>
      <c r="E200" t="s">
        <v>233</v>
      </c>
      <c r="F200" t="s">
        <v>234</v>
      </c>
      <c r="G200" t="s">
        <v>235</v>
      </c>
      <c r="H200" t="s">
        <v>21</v>
      </c>
      <c r="I200">
        <v>62.337000000000003</v>
      </c>
      <c r="J200">
        <v>125000</v>
      </c>
      <c r="K200" t="s">
        <v>236</v>
      </c>
      <c r="L200">
        <v>1</v>
      </c>
      <c r="M200">
        <v>1.8037000000000001E-2</v>
      </c>
      <c r="N200">
        <v>140751.22099999999</v>
      </c>
      <c r="O200">
        <v>1.872E-3</v>
      </c>
      <c r="P200">
        <v>0.2</v>
      </c>
      <c r="Q200">
        <v>3</v>
      </c>
    </row>
    <row r="201" spans="1:17">
      <c r="A201" t="s">
        <v>1465</v>
      </c>
      <c r="B201">
        <v>0</v>
      </c>
      <c r="C201">
        <v>14</v>
      </c>
      <c r="D201" t="s">
        <v>159</v>
      </c>
      <c r="E201" t="s">
        <v>1466</v>
      </c>
      <c r="F201" t="s">
        <v>1467</v>
      </c>
      <c r="G201" t="s">
        <v>235</v>
      </c>
      <c r="H201" t="s">
        <v>21</v>
      </c>
      <c r="I201">
        <v>1.73</v>
      </c>
      <c r="J201">
        <v>3500000</v>
      </c>
      <c r="K201" t="s">
        <v>236</v>
      </c>
      <c r="L201">
        <v>1</v>
      </c>
      <c r="M201">
        <v>1.8851E-2</v>
      </c>
      <c r="N201">
        <v>114477.11199999999</v>
      </c>
      <c r="O201">
        <v>2.2009999999999998E-3</v>
      </c>
      <c r="P201">
        <v>0.3</v>
      </c>
      <c r="Q201">
        <v>3</v>
      </c>
    </row>
    <row r="202" spans="1:17">
      <c r="A202" t="s">
        <v>255</v>
      </c>
      <c r="B202">
        <v>0</v>
      </c>
      <c r="C202">
        <v>14</v>
      </c>
      <c r="D202" t="s">
        <v>159</v>
      </c>
      <c r="E202" t="s">
        <v>256</v>
      </c>
      <c r="F202" t="s">
        <v>257</v>
      </c>
      <c r="G202" t="s">
        <v>235</v>
      </c>
      <c r="H202" t="s">
        <v>21</v>
      </c>
      <c r="I202">
        <v>82.629000000000005</v>
      </c>
      <c r="J202">
        <v>55000</v>
      </c>
      <c r="K202" t="s">
        <v>236</v>
      </c>
      <c r="L202">
        <v>1</v>
      </c>
      <c r="M202">
        <v>1.6756E-2</v>
      </c>
      <c r="N202">
        <v>76284.798999999999</v>
      </c>
      <c r="O202">
        <v>2.006E-3</v>
      </c>
      <c r="P202">
        <v>0.4</v>
      </c>
      <c r="Q202">
        <v>3</v>
      </c>
    </row>
    <row r="203" spans="1:17">
      <c r="A203" t="s">
        <v>249</v>
      </c>
      <c r="B203">
        <v>0</v>
      </c>
      <c r="C203">
        <v>14</v>
      </c>
      <c r="D203" t="s">
        <v>159</v>
      </c>
      <c r="E203" t="s">
        <v>250</v>
      </c>
      <c r="F203" t="s">
        <v>251</v>
      </c>
      <c r="G203" t="s">
        <v>235</v>
      </c>
      <c r="H203" t="s">
        <v>21</v>
      </c>
      <c r="I203">
        <v>16.085000000000001</v>
      </c>
      <c r="J203">
        <v>750000</v>
      </c>
      <c r="K203" t="s">
        <v>236</v>
      </c>
      <c r="L203">
        <v>1</v>
      </c>
      <c r="M203">
        <v>1.43E-2</v>
      </c>
      <c r="N203">
        <v>172785.307</v>
      </c>
      <c r="O203">
        <v>1.719E-3</v>
      </c>
      <c r="P203">
        <v>2</v>
      </c>
      <c r="Q203">
        <v>4</v>
      </c>
    </row>
    <row r="204" spans="1:17">
      <c r="A204" t="s">
        <v>1266</v>
      </c>
      <c r="B204">
        <v>0</v>
      </c>
      <c r="C204">
        <v>14</v>
      </c>
      <c r="D204" t="s">
        <v>159</v>
      </c>
      <c r="E204" t="s">
        <v>1267</v>
      </c>
      <c r="F204" t="s">
        <v>1268</v>
      </c>
      <c r="G204" t="s">
        <v>235</v>
      </c>
      <c r="H204" t="s">
        <v>21</v>
      </c>
      <c r="I204">
        <v>7.9820000000000002</v>
      </c>
      <c r="J204">
        <v>1052500</v>
      </c>
      <c r="K204" t="s">
        <v>236</v>
      </c>
      <c r="L204">
        <v>1</v>
      </c>
      <c r="M204">
        <v>1.2414E-2</v>
      </c>
      <c r="N204">
        <v>104465.285</v>
      </c>
      <c r="O204">
        <v>1.5009999999999999E-3</v>
      </c>
      <c r="P204">
        <v>3.5</v>
      </c>
      <c r="Q204">
        <v>6</v>
      </c>
    </row>
    <row r="205" spans="1:17">
      <c r="A205" t="s">
        <v>240</v>
      </c>
      <c r="B205">
        <v>0</v>
      </c>
      <c r="C205">
        <v>14</v>
      </c>
      <c r="D205" t="s">
        <v>159</v>
      </c>
      <c r="E205" t="s">
        <v>241</v>
      </c>
      <c r="F205" t="s">
        <v>242</v>
      </c>
      <c r="G205" t="s">
        <v>235</v>
      </c>
      <c r="H205" t="s">
        <v>21</v>
      </c>
      <c r="I205">
        <v>12.381</v>
      </c>
      <c r="J205">
        <v>957000</v>
      </c>
      <c r="K205" t="s">
        <v>236</v>
      </c>
      <c r="L205">
        <v>1</v>
      </c>
      <c r="M205">
        <v>2.0095999999999999E-2</v>
      </c>
      <c r="N205">
        <v>239063.17199999999</v>
      </c>
      <c r="O205">
        <v>2.4620000000000002E-3</v>
      </c>
      <c r="P205">
        <v>1.6</v>
      </c>
      <c r="Q205">
        <v>4</v>
      </c>
    </row>
    <row r="206" spans="1:17">
      <c r="A206" t="s">
        <v>986</v>
      </c>
      <c r="B206">
        <v>0</v>
      </c>
      <c r="C206">
        <v>14</v>
      </c>
      <c r="D206" t="s">
        <v>159</v>
      </c>
      <c r="E206" t="s">
        <v>987</v>
      </c>
      <c r="F206" t="s">
        <v>988</v>
      </c>
      <c r="G206" t="s">
        <v>235</v>
      </c>
      <c r="H206" t="s">
        <v>21</v>
      </c>
      <c r="I206">
        <v>251.809</v>
      </c>
      <c r="J206">
        <v>40000</v>
      </c>
      <c r="K206" t="s">
        <v>236</v>
      </c>
      <c r="L206">
        <v>1</v>
      </c>
      <c r="M206">
        <v>1.1353E-2</v>
      </c>
      <c r="N206">
        <v>114492.109</v>
      </c>
      <c r="O206">
        <v>1.3129999999999999E-3</v>
      </c>
      <c r="P206">
        <v>0.3</v>
      </c>
      <c r="Q206">
        <v>3</v>
      </c>
    </row>
    <row r="207" spans="1:17">
      <c r="A207" t="s">
        <v>258</v>
      </c>
      <c r="B207">
        <v>0</v>
      </c>
      <c r="C207">
        <v>14</v>
      </c>
      <c r="D207" t="s">
        <v>159</v>
      </c>
      <c r="E207" t="s">
        <v>259</v>
      </c>
      <c r="F207" t="s">
        <v>260</v>
      </c>
      <c r="G207" t="s">
        <v>235</v>
      </c>
      <c r="H207" t="s">
        <v>21</v>
      </c>
      <c r="I207">
        <v>5.2590000000000003</v>
      </c>
      <c r="J207">
        <v>1500000</v>
      </c>
      <c r="K207" t="s">
        <v>236</v>
      </c>
      <c r="L207">
        <v>1</v>
      </c>
      <c r="M207">
        <v>1.2282E-2</v>
      </c>
      <c r="N207">
        <v>97001.361999999994</v>
      </c>
      <c r="O207">
        <v>1.2179999999999999E-3</v>
      </c>
      <c r="P207">
        <v>0.2</v>
      </c>
      <c r="Q207">
        <v>3</v>
      </c>
    </row>
    <row r="208" spans="1:17">
      <c r="A208" t="s">
        <v>1468</v>
      </c>
      <c r="B208">
        <v>0</v>
      </c>
      <c r="C208">
        <v>14</v>
      </c>
      <c r="D208" t="s">
        <v>159</v>
      </c>
      <c r="E208" t="s">
        <v>1469</v>
      </c>
      <c r="F208" t="s">
        <v>2021</v>
      </c>
      <c r="G208" t="s">
        <v>235</v>
      </c>
      <c r="H208" t="s">
        <v>21</v>
      </c>
      <c r="I208">
        <v>13.935</v>
      </c>
      <c r="J208">
        <v>530000</v>
      </c>
      <c r="K208" t="s">
        <v>236</v>
      </c>
      <c r="L208">
        <v>1</v>
      </c>
      <c r="M208">
        <v>1.0976E-2</v>
      </c>
      <c r="N208">
        <v>81210.536999999997</v>
      </c>
      <c r="O208">
        <v>1.601E-3</v>
      </c>
      <c r="P208">
        <v>0.5</v>
      </c>
      <c r="Q208">
        <v>3</v>
      </c>
    </row>
    <row r="209" spans="1:17">
      <c r="A209" t="s">
        <v>237</v>
      </c>
      <c r="B209">
        <v>0</v>
      </c>
      <c r="C209">
        <v>14</v>
      </c>
      <c r="D209" t="s">
        <v>159</v>
      </c>
      <c r="E209" t="s">
        <v>238</v>
      </c>
      <c r="F209" t="s">
        <v>239</v>
      </c>
      <c r="G209" t="s">
        <v>235</v>
      </c>
      <c r="H209" t="s">
        <v>21</v>
      </c>
      <c r="I209">
        <v>69.438999999999993</v>
      </c>
      <c r="J209">
        <v>92000</v>
      </c>
      <c r="K209" t="s">
        <v>236</v>
      </c>
      <c r="L209">
        <v>1</v>
      </c>
      <c r="M209">
        <v>1.7929E-2</v>
      </c>
      <c r="N209">
        <v>114764.43700000001</v>
      </c>
      <c r="O209">
        <v>2.2169999999999998E-3</v>
      </c>
      <c r="P209">
        <v>0.4</v>
      </c>
      <c r="Q209">
        <v>3</v>
      </c>
    </row>
    <row r="210" spans="1:17">
      <c r="A210" t="s">
        <v>1189</v>
      </c>
      <c r="B210">
        <v>0</v>
      </c>
      <c r="C210">
        <v>14</v>
      </c>
      <c r="D210" t="s">
        <v>159</v>
      </c>
      <c r="E210" t="s">
        <v>1190</v>
      </c>
      <c r="F210" t="s">
        <v>1191</v>
      </c>
      <c r="G210" t="s">
        <v>235</v>
      </c>
      <c r="H210" t="s">
        <v>21</v>
      </c>
      <c r="I210">
        <v>103.3</v>
      </c>
      <c r="J210">
        <v>70000</v>
      </c>
      <c r="K210" t="s">
        <v>236</v>
      </c>
      <c r="L210">
        <v>1</v>
      </c>
      <c r="M210">
        <v>1.487E-2</v>
      </c>
      <c r="N210">
        <v>107786.504</v>
      </c>
      <c r="O210">
        <v>1.6540000000000001E-3</v>
      </c>
      <c r="P210">
        <v>0.1</v>
      </c>
      <c r="Q210">
        <v>3</v>
      </c>
    </row>
    <row r="211" spans="1:17">
      <c r="A211" t="s">
        <v>243</v>
      </c>
      <c r="B211">
        <v>0</v>
      </c>
      <c r="C211">
        <v>14</v>
      </c>
      <c r="D211" t="s">
        <v>159</v>
      </c>
      <c r="E211" t="s">
        <v>244</v>
      </c>
      <c r="F211" t="s">
        <v>245</v>
      </c>
      <c r="G211" t="s">
        <v>235</v>
      </c>
      <c r="H211" t="s">
        <v>21</v>
      </c>
      <c r="I211">
        <v>42.850999999999999</v>
      </c>
      <c r="J211">
        <v>331500</v>
      </c>
      <c r="K211" t="s">
        <v>236</v>
      </c>
      <c r="L211">
        <v>1</v>
      </c>
      <c r="M211">
        <v>1.6282999999999999E-2</v>
      </c>
      <c r="N211">
        <v>231983.405</v>
      </c>
      <c r="O211">
        <v>1.836E-3</v>
      </c>
      <c r="P211">
        <v>1.6</v>
      </c>
      <c r="Q211">
        <v>4</v>
      </c>
    </row>
    <row r="212" spans="1:17">
      <c r="A212" t="s">
        <v>252</v>
      </c>
      <c r="B212">
        <v>0</v>
      </c>
      <c r="C212">
        <v>14</v>
      </c>
      <c r="D212" t="s">
        <v>159</v>
      </c>
      <c r="E212" t="s">
        <v>253</v>
      </c>
      <c r="F212" t="s">
        <v>254</v>
      </c>
      <c r="G212" t="s">
        <v>235</v>
      </c>
      <c r="H212" t="s">
        <v>21</v>
      </c>
      <c r="I212">
        <v>79.66</v>
      </c>
      <c r="J212">
        <v>125000</v>
      </c>
      <c r="K212" t="s">
        <v>236</v>
      </c>
      <c r="L212">
        <v>1</v>
      </c>
      <c r="M212">
        <v>1.1383000000000001E-2</v>
      </c>
      <c r="N212">
        <v>113442.624</v>
      </c>
      <c r="O212">
        <v>1.168E-3</v>
      </c>
      <c r="P212">
        <v>0.1</v>
      </c>
      <c r="Q212">
        <v>3</v>
      </c>
    </row>
    <row r="213" spans="1:17">
      <c r="A213" t="s">
        <v>246</v>
      </c>
      <c r="B213">
        <v>0</v>
      </c>
      <c r="C213">
        <v>14</v>
      </c>
      <c r="D213" t="s">
        <v>159</v>
      </c>
      <c r="E213" t="s">
        <v>247</v>
      </c>
      <c r="F213" t="s">
        <v>248</v>
      </c>
      <c r="G213" t="s">
        <v>235</v>
      </c>
      <c r="H213" t="s">
        <v>21</v>
      </c>
      <c r="I213">
        <v>51.728999999999999</v>
      </c>
      <c r="J213">
        <v>100000</v>
      </c>
      <c r="K213" t="s">
        <v>236</v>
      </c>
      <c r="L213">
        <v>1</v>
      </c>
      <c r="M213">
        <v>1.6961E-2</v>
      </c>
      <c r="N213">
        <v>87905.437000000005</v>
      </c>
      <c r="O213">
        <v>2.111E-3</v>
      </c>
      <c r="P213">
        <v>0.7</v>
      </c>
      <c r="Q213">
        <v>3</v>
      </c>
    </row>
    <row r="214" spans="1:17">
      <c r="A214" t="s">
        <v>798</v>
      </c>
      <c r="B214">
        <v>0</v>
      </c>
      <c r="C214">
        <v>14</v>
      </c>
      <c r="D214" t="s">
        <v>159</v>
      </c>
      <c r="E214" t="s">
        <v>801</v>
      </c>
      <c r="F214" t="s">
        <v>802</v>
      </c>
      <c r="G214" t="s">
        <v>235</v>
      </c>
      <c r="H214" t="s">
        <v>21</v>
      </c>
      <c r="I214">
        <v>416.77499999999998</v>
      </c>
      <c r="J214">
        <v>43000</v>
      </c>
      <c r="K214" t="s">
        <v>236</v>
      </c>
      <c r="L214">
        <v>1</v>
      </c>
      <c r="M214">
        <v>1.3261E-2</v>
      </c>
      <c r="N214">
        <v>237850.75700000001</v>
      </c>
      <c r="O214">
        <v>1.253E-3</v>
      </c>
      <c r="P214">
        <v>0.1</v>
      </c>
      <c r="Q214">
        <v>3</v>
      </c>
    </row>
    <row r="215" spans="1:17">
      <c r="A215" t="s">
        <v>1470</v>
      </c>
      <c r="B215">
        <v>0</v>
      </c>
      <c r="C215">
        <v>14</v>
      </c>
      <c r="D215" t="s">
        <v>159</v>
      </c>
      <c r="E215" t="s">
        <v>1471</v>
      </c>
      <c r="F215" t="s">
        <v>1472</v>
      </c>
      <c r="G215" t="s">
        <v>235</v>
      </c>
      <c r="H215" t="s">
        <v>21</v>
      </c>
      <c r="I215">
        <v>120.569</v>
      </c>
      <c r="J215">
        <v>25000</v>
      </c>
      <c r="K215" t="s">
        <v>236</v>
      </c>
      <c r="L215">
        <v>1</v>
      </c>
      <c r="M215">
        <v>2.1759000000000001E-2</v>
      </c>
      <c r="N215">
        <v>65712.740000000005</v>
      </c>
      <c r="O215">
        <v>2.7290000000000001E-3</v>
      </c>
      <c r="P215">
        <v>0.1</v>
      </c>
      <c r="Q215">
        <v>3</v>
      </c>
    </row>
    <row r="216" spans="1:17">
      <c r="A216" t="s">
        <v>989</v>
      </c>
    </row>
    <row r="217" spans="1:17">
      <c r="A217" t="s">
        <v>2022</v>
      </c>
    </row>
    <row r="218" spans="1:17">
      <c r="A218" t="s">
        <v>773</v>
      </c>
    </row>
  </sheetData>
  <autoFilter ref="A39:Q186" xr:uid="{F0F110A6-6CB4-460C-B466-D8F0504512C6}"/>
  <sortState xmlns:xlrd2="http://schemas.microsoft.com/office/spreadsheetml/2017/richdata2" ref="I174:J183">
    <sortCondition ref="J174:J18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080CF-5ED3-4EBC-B5E8-927F32E683BA}">
  <sheetPr codeName="Sheet15">
    <tabColor theme="5" tint="0.39997558519241921"/>
  </sheetPr>
  <dimension ref="A1:Q218"/>
  <sheetViews>
    <sheetView topLeftCell="A37" workbookViewId="0">
      <selection activeCell="K138" sqref="K138"/>
    </sheetView>
  </sheetViews>
  <sheetFormatPr defaultRowHeight="14.4"/>
  <cols>
    <col min="1" max="1" width="38.6640625" bestFit="1" customWidth="1"/>
    <col min="6" max="6" width="29" bestFit="1" customWidth="1"/>
    <col min="11" max="11" width="24.5546875" bestFit="1" customWidth="1"/>
  </cols>
  <sheetData>
    <row r="1" spans="1:1">
      <c r="A1" t="s">
        <v>127</v>
      </c>
    </row>
    <row r="2" spans="1:1">
      <c r="A2" t="s">
        <v>1982</v>
      </c>
    </row>
    <row r="3" spans="1:1">
      <c r="A3" t="s">
        <v>128</v>
      </c>
    </row>
    <row r="5" spans="1:1">
      <c r="A5" t="s">
        <v>129</v>
      </c>
    </row>
    <row r="6" spans="1:1">
      <c r="A6" t="s">
        <v>130</v>
      </c>
    </row>
    <row r="7" spans="1:1">
      <c r="A7" t="s">
        <v>131</v>
      </c>
    </row>
    <row r="8" spans="1:1">
      <c r="A8" t="s">
        <v>132</v>
      </c>
    </row>
    <row r="9" spans="1:1">
      <c r="A9" t="s">
        <v>914</v>
      </c>
    </row>
    <row r="10" spans="1:1">
      <c r="A10" t="s">
        <v>133</v>
      </c>
    </row>
    <row r="11" spans="1:1">
      <c r="A11" t="s">
        <v>134</v>
      </c>
    </row>
    <row r="12" spans="1:1">
      <c r="A12" t="s">
        <v>135</v>
      </c>
    </row>
    <row r="13" spans="1:1">
      <c r="A13" t="s">
        <v>136</v>
      </c>
    </row>
    <row r="14" spans="1:1">
      <c r="A14" t="s">
        <v>137</v>
      </c>
    </row>
    <row r="15" spans="1:1">
      <c r="A15" t="s">
        <v>138</v>
      </c>
    </row>
    <row r="18" spans="1:1">
      <c r="A18" t="s">
        <v>139</v>
      </c>
    </row>
    <row r="20" spans="1:1">
      <c r="A20" t="s">
        <v>140</v>
      </c>
    </row>
    <row r="21" spans="1:1">
      <c r="A21" t="s">
        <v>141</v>
      </c>
    </row>
    <row r="22" spans="1:1">
      <c r="A22" t="s">
        <v>142</v>
      </c>
    </row>
    <row r="23" spans="1:1">
      <c r="A23" t="s">
        <v>143</v>
      </c>
    </row>
    <row r="24" spans="1:1">
      <c r="A24" t="s">
        <v>144</v>
      </c>
    </row>
    <row r="25" spans="1:1">
      <c r="A25" t="s">
        <v>145</v>
      </c>
    </row>
    <row r="26" spans="1:1">
      <c r="A26" t="s">
        <v>146</v>
      </c>
    </row>
    <row r="27" spans="1:1">
      <c r="A27" t="s">
        <v>147</v>
      </c>
    </row>
    <row r="28" spans="1:1">
      <c r="A28" t="s">
        <v>148</v>
      </c>
    </row>
    <row r="29" spans="1:1">
      <c r="A29" t="s">
        <v>149</v>
      </c>
    </row>
    <row r="30" spans="1:1">
      <c r="A30" t="s">
        <v>150</v>
      </c>
    </row>
    <row r="31" spans="1:1">
      <c r="A31" t="s">
        <v>151</v>
      </c>
    </row>
    <row r="32" spans="1:1">
      <c r="A32" t="s">
        <v>152</v>
      </c>
    </row>
    <row r="33" spans="1:17">
      <c r="A33" t="s">
        <v>153</v>
      </c>
    </row>
    <row r="35" spans="1:17">
      <c r="A35" t="s">
        <v>154</v>
      </c>
    </row>
    <row r="37" spans="1:17">
      <c r="A37" t="s">
        <v>2023</v>
      </c>
    </row>
    <row r="38" spans="1:17">
      <c r="A38" t="s">
        <v>155</v>
      </c>
    </row>
    <row r="39" spans="1:17">
      <c r="A39" t="s">
        <v>156</v>
      </c>
      <c r="B39" t="s">
        <v>157</v>
      </c>
      <c r="C39" t="s">
        <v>158</v>
      </c>
      <c r="D39" t="s">
        <v>140</v>
      </c>
      <c r="E39" t="s">
        <v>141</v>
      </c>
      <c r="F39" t="s">
        <v>142</v>
      </c>
      <c r="G39" t="s">
        <v>143</v>
      </c>
      <c r="H39" t="s">
        <v>144</v>
      </c>
      <c r="I39" t="s">
        <v>145</v>
      </c>
      <c r="J39" t="s">
        <v>146</v>
      </c>
      <c r="K39" t="s">
        <v>147</v>
      </c>
      <c r="L39" t="s">
        <v>148</v>
      </c>
      <c r="M39" t="s">
        <v>149</v>
      </c>
      <c r="N39" t="s">
        <v>150</v>
      </c>
      <c r="O39" t="s">
        <v>151</v>
      </c>
      <c r="P39" t="s">
        <v>152</v>
      </c>
      <c r="Q39" t="s">
        <v>153</v>
      </c>
    </row>
    <row r="40" spans="1:17">
      <c r="A40" t="s">
        <v>1198</v>
      </c>
      <c r="B40">
        <v>0</v>
      </c>
      <c r="C40">
        <v>14</v>
      </c>
      <c r="D40" t="s">
        <v>159</v>
      </c>
      <c r="E40" t="s">
        <v>1235</v>
      </c>
      <c r="F40" t="s">
        <v>1236</v>
      </c>
      <c r="G40" t="s">
        <v>160</v>
      </c>
      <c r="H40" t="s">
        <v>19</v>
      </c>
      <c r="I40">
        <v>91.825000000000003</v>
      </c>
      <c r="J40">
        <v>10000000</v>
      </c>
      <c r="K40" t="s">
        <v>1405</v>
      </c>
      <c r="L40">
        <v>1</v>
      </c>
      <c r="M40">
        <v>4.5705999999999997E-2</v>
      </c>
      <c r="N40">
        <v>421950.36200000002</v>
      </c>
      <c r="O40">
        <v>5.4260000000000003E-3</v>
      </c>
      <c r="P40">
        <v>1.7</v>
      </c>
      <c r="Q40">
        <v>4</v>
      </c>
    </row>
    <row r="41" spans="1:17">
      <c r="A41" t="s">
        <v>1292</v>
      </c>
      <c r="B41">
        <v>0</v>
      </c>
      <c r="C41">
        <v>14</v>
      </c>
      <c r="D41" t="s">
        <v>159</v>
      </c>
      <c r="E41" t="s">
        <v>1406</v>
      </c>
      <c r="F41" t="s">
        <v>1407</v>
      </c>
      <c r="G41" t="s">
        <v>160</v>
      </c>
      <c r="H41" t="s">
        <v>23</v>
      </c>
      <c r="I41">
        <v>88.23</v>
      </c>
      <c r="J41">
        <v>3000000</v>
      </c>
      <c r="K41" t="s">
        <v>164</v>
      </c>
      <c r="L41">
        <v>1</v>
      </c>
      <c r="M41">
        <v>4.8388E-2</v>
      </c>
      <c r="N41">
        <v>128383.357</v>
      </c>
      <c r="O41">
        <v>9.9749999999999995E-3</v>
      </c>
      <c r="P41">
        <v>0.7</v>
      </c>
      <c r="Q41">
        <v>3</v>
      </c>
    </row>
    <row r="42" spans="1:17">
      <c r="A42" t="s">
        <v>523</v>
      </c>
      <c r="B42">
        <v>0</v>
      </c>
      <c r="C42">
        <v>14</v>
      </c>
      <c r="D42" t="s">
        <v>159</v>
      </c>
      <c r="E42" t="s">
        <v>531</v>
      </c>
      <c r="F42" t="s">
        <v>532</v>
      </c>
      <c r="G42" t="s">
        <v>160</v>
      </c>
      <c r="H42" t="s">
        <v>23</v>
      </c>
      <c r="I42">
        <v>99.590999999999994</v>
      </c>
      <c r="J42">
        <v>5000000</v>
      </c>
      <c r="K42" t="s">
        <v>164</v>
      </c>
      <c r="L42">
        <v>1</v>
      </c>
      <c r="M42">
        <v>1.7408E-2</v>
      </c>
      <c r="N42">
        <v>86749.986999999994</v>
      </c>
      <c r="O42">
        <v>5.1809999999999998E-3</v>
      </c>
      <c r="P42">
        <v>1.3</v>
      </c>
      <c r="Q42">
        <v>4</v>
      </c>
    </row>
    <row r="43" spans="1:17">
      <c r="A43" t="s">
        <v>1920</v>
      </c>
      <c r="B43">
        <v>0</v>
      </c>
      <c r="C43">
        <v>14</v>
      </c>
      <c r="D43" t="s">
        <v>159</v>
      </c>
      <c r="E43" t="s">
        <v>1985</v>
      </c>
      <c r="F43" t="s">
        <v>532</v>
      </c>
      <c r="G43" t="s">
        <v>160</v>
      </c>
      <c r="H43" t="s">
        <v>23</v>
      </c>
      <c r="I43">
        <v>90.906000000000006</v>
      </c>
      <c r="J43">
        <v>3400000</v>
      </c>
      <c r="K43" t="s">
        <v>164</v>
      </c>
      <c r="L43">
        <v>1</v>
      </c>
      <c r="M43">
        <v>5.7248E-2</v>
      </c>
      <c r="N43">
        <v>177840.18599999999</v>
      </c>
      <c r="O43">
        <v>9.2879999999999994E-3</v>
      </c>
      <c r="P43">
        <v>2</v>
      </c>
      <c r="Q43">
        <v>4</v>
      </c>
    </row>
    <row r="44" spans="1:17">
      <c r="A44" t="s">
        <v>1370</v>
      </c>
      <c r="B44">
        <v>0</v>
      </c>
      <c r="C44">
        <v>14</v>
      </c>
      <c r="D44" t="s">
        <v>159</v>
      </c>
      <c r="E44" t="s">
        <v>1986</v>
      </c>
      <c r="F44" t="s">
        <v>26</v>
      </c>
      <c r="G44" t="s">
        <v>160</v>
      </c>
      <c r="H44" t="s">
        <v>23</v>
      </c>
      <c r="I44">
        <v>107.93</v>
      </c>
      <c r="J44">
        <v>2000000</v>
      </c>
      <c r="K44" t="s">
        <v>173</v>
      </c>
      <c r="L44">
        <v>1</v>
      </c>
      <c r="M44">
        <v>3.5829E-2</v>
      </c>
      <c r="N44">
        <v>77397.501999999993</v>
      </c>
      <c r="O44">
        <v>3.6120000000000002E-3</v>
      </c>
      <c r="P44">
        <v>1.4</v>
      </c>
      <c r="Q44">
        <v>4</v>
      </c>
    </row>
    <row r="45" spans="1:17">
      <c r="A45" t="s">
        <v>49</v>
      </c>
      <c r="B45">
        <v>0</v>
      </c>
      <c r="C45">
        <v>14</v>
      </c>
      <c r="D45" t="s">
        <v>159</v>
      </c>
      <c r="E45" t="s">
        <v>197</v>
      </c>
      <c r="F45" t="s">
        <v>198</v>
      </c>
      <c r="G45" t="s">
        <v>160</v>
      </c>
      <c r="H45" t="s">
        <v>23</v>
      </c>
      <c r="I45">
        <v>101.652</v>
      </c>
      <c r="J45">
        <v>8000000</v>
      </c>
      <c r="K45" t="s">
        <v>173</v>
      </c>
      <c r="L45">
        <v>1</v>
      </c>
      <c r="M45">
        <v>1.3475000000000001E-2</v>
      </c>
      <c r="N45">
        <v>109787.13</v>
      </c>
      <c r="O45">
        <v>3.9699999999999996E-3</v>
      </c>
      <c r="P45">
        <v>10.5</v>
      </c>
      <c r="Q45">
        <v>13</v>
      </c>
    </row>
    <row r="46" spans="1:17">
      <c r="A46" t="s">
        <v>1200</v>
      </c>
      <c r="B46">
        <v>0</v>
      </c>
      <c r="C46">
        <v>14</v>
      </c>
      <c r="D46" t="s">
        <v>159</v>
      </c>
      <c r="E46" t="s">
        <v>1237</v>
      </c>
      <c r="F46" t="s">
        <v>1238</v>
      </c>
      <c r="G46" t="s">
        <v>160</v>
      </c>
      <c r="H46" t="s">
        <v>23</v>
      </c>
      <c r="I46">
        <v>125.52200000000001</v>
      </c>
      <c r="J46">
        <v>3200000</v>
      </c>
      <c r="K46" t="s">
        <v>173</v>
      </c>
      <c r="L46">
        <v>1</v>
      </c>
      <c r="M46">
        <v>7.4343000000000006E-2</v>
      </c>
      <c r="N46">
        <v>299570.36</v>
      </c>
      <c r="O46">
        <v>1.2241999999999999E-2</v>
      </c>
      <c r="P46">
        <v>1.3</v>
      </c>
      <c r="Q46">
        <v>4</v>
      </c>
    </row>
    <row r="47" spans="1:17">
      <c r="A47" t="s">
        <v>1145</v>
      </c>
      <c r="B47">
        <v>0</v>
      </c>
      <c r="C47">
        <v>14</v>
      </c>
      <c r="D47" t="s">
        <v>159</v>
      </c>
      <c r="E47" t="s">
        <v>1174</v>
      </c>
      <c r="F47" t="s">
        <v>1175</v>
      </c>
      <c r="G47" t="s">
        <v>160</v>
      </c>
      <c r="H47" t="s">
        <v>23</v>
      </c>
      <c r="I47">
        <v>88.775999999999996</v>
      </c>
      <c r="J47">
        <v>3800000</v>
      </c>
      <c r="K47" t="s">
        <v>164</v>
      </c>
      <c r="L47">
        <v>1</v>
      </c>
      <c r="M47">
        <v>2.1482000000000001E-2</v>
      </c>
      <c r="N47">
        <v>72655.111000000004</v>
      </c>
      <c r="O47">
        <v>1.0596E-2</v>
      </c>
      <c r="P47">
        <v>1.3</v>
      </c>
      <c r="Q47">
        <v>4</v>
      </c>
    </row>
    <row r="48" spans="1:17">
      <c r="A48" t="s">
        <v>1202</v>
      </c>
      <c r="B48">
        <v>0</v>
      </c>
      <c r="C48">
        <v>14</v>
      </c>
      <c r="D48" t="s">
        <v>159</v>
      </c>
      <c r="E48" t="s">
        <v>1239</v>
      </c>
      <c r="F48" t="s">
        <v>1240</v>
      </c>
      <c r="G48" t="s">
        <v>160</v>
      </c>
      <c r="H48" t="s">
        <v>23</v>
      </c>
      <c r="I48">
        <v>98.486999999999995</v>
      </c>
      <c r="J48">
        <v>12600000</v>
      </c>
      <c r="K48" t="s">
        <v>164</v>
      </c>
      <c r="L48">
        <v>1</v>
      </c>
      <c r="M48">
        <v>1.4991000000000001E-2</v>
      </c>
      <c r="N48">
        <v>186437.88399999999</v>
      </c>
      <c r="O48">
        <v>5.5789999999999998E-3</v>
      </c>
      <c r="P48">
        <v>1.2</v>
      </c>
      <c r="Q48">
        <v>4</v>
      </c>
    </row>
    <row r="49" spans="1:17">
      <c r="A49" t="s">
        <v>1294</v>
      </c>
      <c r="B49">
        <v>0</v>
      </c>
      <c r="C49">
        <v>14</v>
      </c>
      <c r="D49" t="s">
        <v>159</v>
      </c>
      <c r="E49" t="s">
        <v>1408</v>
      </c>
      <c r="F49" t="s">
        <v>1409</v>
      </c>
      <c r="G49" t="s">
        <v>160</v>
      </c>
      <c r="H49" t="s">
        <v>23</v>
      </c>
      <c r="I49">
        <v>98.968999999999994</v>
      </c>
      <c r="J49">
        <v>10000000</v>
      </c>
      <c r="K49" t="s">
        <v>173</v>
      </c>
      <c r="L49">
        <v>1</v>
      </c>
      <c r="M49">
        <v>1.3828999999999999E-2</v>
      </c>
      <c r="N49">
        <v>137239.42300000001</v>
      </c>
      <c r="O49">
        <v>3.5490000000000001E-3</v>
      </c>
      <c r="P49">
        <v>6.9</v>
      </c>
      <c r="Q49">
        <v>9</v>
      </c>
    </row>
    <row r="50" spans="1:17">
      <c r="A50" t="s">
        <v>1296</v>
      </c>
      <c r="B50">
        <v>0</v>
      </c>
      <c r="C50">
        <v>14</v>
      </c>
      <c r="D50" t="s">
        <v>159</v>
      </c>
      <c r="E50" t="s">
        <v>1410</v>
      </c>
      <c r="F50" t="s">
        <v>1241</v>
      </c>
      <c r="G50" t="s">
        <v>160</v>
      </c>
      <c r="H50" t="s">
        <v>23</v>
      </c>
      <c r="I50">
        <v>89.989000000000004</v>
      </c>
      <c r="J50">
        <v>5375000</v>
      </c>
      <c r="K50" t="s">
        <v>164</v>
      </c>
      <c r="L50">
        <v>1</v>
      </c>
      <c r="M50">
        <v>5.1484000000000002E-2</v>
      </c>
      <c r="N50">
        <v>249894.36900000001</v>
      </c>
      <c r="O50">
        <v>9.2510000000000005E-3</v>
      </c>
      <c r="P50">
        <v>1.4</v>
      </c>
      <c r="Q50">
        <v>4</v>
      </c>
    </row>
    <row r="51" spans="1:17">
      <c r="A51" t="s">
        <v>1923</v>
      </c>
      <c r="B51">
        <v>0</v>
      </c>
      <c r="C51">
        <v>14</v>
      </c>
      <c r="D51" t="s">
        <v>159</v>
      </c>
      <c r="E51" t="s">
        <v>1987</v>
      </c>
      <c r="F51" t="s">
        <v>1988</v>
      </c>
      <c r="G51" t="s">
        <v>160</v>
      </c>
      <c r="H51" t="s">
        <v>23</v>
      </c>
      <c r="I51">
        <v>100.447</v>
      </c>
      <c r="J51">
        <v>5300000</v>
      </c>
      <c r="K51" t="s">
        <v>173</v>
      </c>
      <c r="L51">
        <v>1</v>
      </c>
      <c r="M51">
        <v>1.4475999999999999E-2</v>
      </c>
      <c r="N51">
        <v>77208.758000000002</v>
      </c>
      <c r="O51">
        <v>1.743E-3</v>
      </c>
      <c r="P51">
        <v>1.6</v>
      </c>
      <c r="Q51">
        <v>4</v>
      </c>
    </row>
    <row r="52" spans="1:17">
      <c r="A52" t="s">
        <v>1147</v>
      </c>
      <c r="B52">
        <v>0</v>
      </c>
      <c r="C52">
        <v>14</v>
      </c>
      <c r="D52" t="s">
        <v>159</v>
      </c>
      <c r="E52" t="s">
        <v>1176</v>
      </c>
      <c r="F52" t="s">
        <v>1177</v>
      </c>
      <c r="G52" t="s">
        <v>160</v>
      </c>
      <c r="H52" t="s">
        <v>23</v>
      </c>
      <c r="I52">
        <v>77.088999999999999</v>
      </c>
      <c r="J52">
        <v>3000000</v>
      </c>
      <c r="K52" t="s">
        <v>164</v>
      </c>
      <c r="L52">
        <v>1</v>
      </c>
      <c r="M52">
        <v>0.113251</v>
      </c>
      <c r="N52">
        <v>264115.32199999999</v>
      </c>
      <c r="O52">
        <v>1.7916999999999999E-2</v>
      </c>
      <c r="P52">
        <v>2</v>
      </c>
      <c r="Q52">
        <v>4</v>
      </c>
    </row>
    <row r="53" spans="1:17">
      <c r="A53" t="s">
        <v>1925</v>
      </c>
      <c r="B53">
        <v>0</v>
      </c>
      <c r="C53">
        <v>14</v>
      </c>
      <c r="D53" t="s">
        <v>159</v>
      </c>
      <c r="E53" t="s">
        <v>1989</v>
      </c>
      <c r="F53" t="s">
        <v>1990</v>
      </c>
      <c r="G53" t="s">
        <v>160</v>
      </c>
      <c r="H53" t="s">
        <v>23</v>
      </c>
      <c r="I53">
        <v>104.56399999999999</v>
      </c>
      <c r="J53">
        <v>5000000</v>
      </c>
      <c r="K53" t="s">
        <v>173</v>
      </c>
      <c r="L53">
        <v>1</v>
      </c>
      <c r="M53">
        <v>2.9752000000000001E-2</v>
      </c>
      <c r="N53">
        <v>155692.39000000001</v>
      </c>
      <c r="O53">
        <v>2.4269999999999999E-3</v>
      </c>
      <c r="P53">
        <v>1.5</v>
      </c>
      <c r="Q53">
        <v>4</v>
      </c>
    </row>
    <row r="54" spans="1:17">
      <c r="A54" t="s">
        <v>1204</v>
      </c>
      <c r="B54">
        <v>0</v>
      </c>
      <c r="C54">
        <v>14</v>
      </c>
      <c r="D54" t="s">
        <v>159</v>
      </c>
      <c r="E54" t="s">
        <v>1242</v>
      </c>
      <c r="F54" t="s">
        <v>180</v>
      </c>
      <c r="G54" t="s">
        <v>160</v>
      </c>
      <c r="H54" t="s">
        <v>23</v>
      </c>
      <c r="I54">
        <v>98.456000000000003</v>
      </c>
      <c r="J54">
        <v>4200000</v>
      </c>
      <c r="K54" t="s">
        <v>164</v>
      </c>
      <c r="L54">
        <v>1</v>
      </c>
      <c r="M54">
        <v>1.32E-2</v>
      </c>
      <c r="N54">
        <v>54707.822</v>
      </c>
      <c r="O54">
        <v>5.1240000000000001E-3</v>
      </c>
      <c r="P54">
        <v>2.4</v>
      </c>
      <c r="Q54">
        <v>5</v>
      </c>
    </row>
    <row r="55" spans="1:17">
      <c r="A55" t="s">
        <v>51</v>
      </c>
      <c r="B55">
        <v>0</v>
      </c>
      <c r="C55">
        <v>14</v>
      </c>
      <c r="D55" t="s">
        <v>159</v>
      </c>
      <c r="E55" t="s">
        <v>200</v>
      </c>
      <c r="F55" t="s">
        <v>180</v>
      </c>
      <c r="G55" t="s">
        <v>160</v>
      </c>
      <c r="H55" t="s">
        <v>23</v>
      </c>
      <c r="I55">
        <v>100.587</v>
      </c>
      <c r="J55">
        <v>10000000</v>
      </c>
      <c r="K55" t="s">
        <v>164</v>
      </c>
      <c r="L55">
        <v>1</v>
      </c>
      <c r="M55">
        <v>1.3894E-2</v>
      </c>
      <c r="N55">
        <v>139880.79500000001</v>
      </c>
      <c r="O55">
        <v>6.8300000000000001E-3</v>
      </c>
      <c r="P55">
        <v>2.5</v>
      </c>
      <c r="Q55">
        <v>5</v>
      </c>
    </row>
    <row r="56" spans="1:17">
      <c r="A56" t="s">
        <v>53</v>
      </c>
      <c r="B56">
        <v>0</v>
      </c>
      <c r="C56">
        <v>14</v>
      </c>
      <c r="D56" t="s">
        <v>159</v>
      </c>
      <c r="E56" t="s">
        <v>179</v>
      </c>
      <c r="F56" t="s">
        <v>180</v>
      </c>
      <c r="G56" t="s">
        <v>160</v>
      </c>
      <c r="H56" t="s">
        <v>23</v>
      </c>
      <c r="I56">
        <v>101.864</v>
      </c>
      <c r="J56">
        <v>6000000</v>
      </c>
      <c r="K56" t="s">
        <v>164</v>
      </c>
      <c r="L56">
        <v>1</v>
      </c>
      <c r="M56">
        <v>2.0025999999999999E-2</v>
      </c>
      <c r="N56">
        <v>122586.217</v>
      </c>
      <c r="O56">
        <v>7.0039999999999998E-3</v>
      </c>
      <c r="P56">
        <v>0.9</v>
      </c>
      <c r="Q56">
        <v>3</v>
      </c>
    </row>
    <row r="57" spans="1:17">
      <c r="A57" t="s">
        <v>1105</v>
      </c>
      <c r="B57">
        <v>0</v>
      </c>
      <c r="C57">
        <v>14</v>
      </c>
      <c r="D57" t="s">
        <v>159</v>
      </c>
      <c r="E57" t="s">
        <v>1129</v>
      </c>
      <c r="F57" t="s">
        <v>1130</v>
      </c>
      <c r="G57" t="s">
        <v>160</v>
      </c>
      <c r="H57" t="s">
        <v>23</v>
      </c>
      <c r="I57">
        <v>99.688000000000002</v>
      </c>
      <c r="J57">
        <v>2200000</v>
      </c>
      <c r="K57" t="s">
        <v>164</v>
      </c>
      <c r="L57">
        <v>1</v>
      </c>
      <c r="M57">
        <v>1.0526000000000001E-2</v>
      </c>
      <c r="N57">
        <v>23105.23</v>
      </c>
      <c r="O57">
        <v>5.372E-3</v>
      </c>
      <c r="P57">
        <v>0.5</v>
      </c>
      <c r="Q57">
        <v>3</v>
      </c>
    </row>
    <row r="58" spans="1:17">
      <c r="A58" t="s">
        <v>55</v>
      </c>
      <c r="B58">
        <v>0</v>
      </c>
      <c r="C58">
        <v>14</v>
      </c>
      <c r="D58" t="s">
        <v>159</v>
      </c>
      <c r="E58" t="s">
        <v>219</v>
      </c>
      <c r="F58" t="s">
        <v>220</v>
      </c>
      <c r="G58" t="s">
        <v>160</v>
      </c>
      <c r="H58" t="s">
        <v>23</v>
      </c>
      <c r="I58">
        <v>23.093</v>
      </c>
      <c r="J58">
        <v>5000000</v>
      </c>
      <c r="K58" t="s">
        <v>221</v>
      </c>
      <c r="L58">
        <v>1</v>
      </c>
      <c r="M58">
        <v>1.607064</v>
      </c>
      <c r="N58">
        <v>2109427.2749999999</v>
      </c>
      <c r="O58">
        <v>0.115024</v>
      </c>
      <c r="P58">
        <v>75.099999999999994</v>
      </c>
      <c r="Q58">
        <v>78</v>
      </c>
    </row>
    <row r="59" spans="1:17">
      <c r="A59" t="s">
        <v>1068</v>
      </c>
      <c r="B59">
        <v>0</v>
      </c>
      <c r="C59">
        <v>14</v>
      </c>
      <c r="D59" t="s">
        <v>159</v>
      </c>
      <c r="E59" t="s">
        <v>1089</v>
      </c>
      <c r="F59" t="s">
        <v>1090</v>
      </c>
      <c r="G59" t="s">
        <v>160</v>
      </c>
      <c r="H59" t="s">
        <v>23</v>
      </c>
      <c r="I59">
        <v>96.447000000000003</v>
      </c>
      <c r="J59">
        <v>11000000</v>
      </c>
      <c r="K59" t="s">
        <v>164</v>
      </c>
      <c r="L59">
        <v>1</v>
      </c>
      <c r="M59">
        <v>4.3389999999999998E-2</v>
      </c>
      <c r="N59">
        <v>462979.56</v>
      </c>
      <c r="O59">
        <v>1.2171E-2</v>
      </c>
      <c r="P59">
        <v>6.5</v>
      </c>
      <c r="Q59">
        <v>9</v>
      </c>
    </row>
    <row r="60" spans="1:17">
      <c r="A60" t="s">
        <v>1298</v>
      </c>
      <c r="B60">
        <v>0</v>
      </c>
      <c r="C60">
        <v>14</v>
      </c>
      <c r="D60" t="s">
        <v>159</v>
      </c>
      <c r="E60" t="s">
        <v>1411</v>
      </c>
      <c r="F60" t="s">
        <v>1412</v>
      </c>
      <c r="G60" t="s">
        <v>160</v>
      </c>
      <c r="H60" t="s">
        <v>23</v>
      </c>
      <c r="I60">
        <v>97.86</v>
      </c>
      <c r="J60">
        <v>3350000</v>
      </c>
      <c r="K60" t="s">
        <v>173</v>
      </c>
      <c r="L60">
        <v>1</v>
      </c>
      <c r="M60">
        <v>1.6910999999999999E-2</v>
      </c>
      <c r="N60">
        <v>55440.434000000001</v>
      </c>
      <c r="O60">
        <v>5.8830000000000002E-3</v>
      </c>
      <c r="P60">
        <v>0.8</v>
      </c>
      <c r="Q60">
        <v>3</v>
      </c>
    </row>
    <row r="61" spans="1:17">
      <c r="A61" t="s">
        <v>1300</v>
      </c>
      <c r="B61">
        <v>0</v>
      </c>
      <c r="C61">
        <v>14</v>
      </c>
      <c r="D61" t="s">
        <v>159</v>
      </c>
      <c r="E61" t="s">
        <v>1413</v>
      </c>
      <c r="F61" t="s">
        <v>1414</v>
      </c>
      <c r="G61" t="s">
        <v>160</v>
      </c>
      <c r="H61" t="s">
        <v>23</v>
      </c>
      <c r="I61">
        <v>84.811000000000007</v>
      </c>
      <c r="J61">
        <v>2970000</v>
      </c>
      <c r="K61" t="s">
        <v>164</v>
      </c>
      <c r="L61">
        <v>1</v>
      </c>
      <c r="M61">
        <v>5.3263999999999999E-2</v>
      </c>
      <c r="N61">
        <v>134767.43799999999</v>
      </c>
      <c r="O61">
        <v>1.5509999999999999E-2</v>
      </c>
      <c r="P61">
        <v>1</v>
      </c>
      <c r="Q61">
        <v>3</v>
      </c>
    </row>
    <row r="62" spans="1:17">
      <c r="A62" t="s">
        <v>962</v>
      </c>
      <c r="B62">
        <v>0</v>
      </c>
      <c r="C62">
        <v>14</v>
      </c>
      <c r="D62" t="s">
        <v>159</v>
      </c>
      <c r="E62" t="s">
        <v>978</v>
      </c>
      <c r="F62" t="s">
        <v>194</v>
      </c>
      <c r="G62" t="s">
        <v>160</v>
      </c>
      <c r="H62" t="s">
        <v>23</v>
      </c>
      <c r="I62">
        <v>99.67</v>
      </c>
      <c r="J62">
        <v>4000000</v>
      </c>
      <c r="K62" t="s">
        <v>164</v>
      </c>
      <c r="L62">
        <v>1</v>
      </c>
      <c r="M62">
        <v>1.9226E-2</v>
      </c>
      <c r="N62">
        <v>76731.659</v>
      </c>
      <c r="O62">
        <v>6.3990000000000002E-3</v>
      </c>
      <c r="P62">
        <v>0.9</v>
      </c>
      <c r="Q62">
        <v>3</v>
      </c>
    </row>
    <row r="63" spans="1:17">
      <c r="A63" t="s">
        <v>57</v>
      </c>
      <c r="B63">
        <v>0</v>
      </c>
      <c r="C63">
        <v>14</v>
      </c>
      <c r="D63" t="s">
        <v>159</v>
      </c>
      <c r="E63" t="s">
        <v>193</v>
      </c>
      <c r="F63" t="s">
        <v>194</v>
      </c>
      <c r="G63" t="s">
        <v>160</v>
      </c>
      <c r="H63" t="s">
        <v>23</v>
      </c>
      <c r="I63">
        <v>100.511</v>
      </c>
      <c r="J63">
        <v>6000000</v>
      </c>
      <c r="K63" t="s">
        <v>164</v>
      </c>
      <c r="L63">
        <v>1</v>
      </c>
      <c r="M63">
        <v>1.2041E-2</v>
      </c>
      <c r="N63">
        <v>72649.372000000003</v>
      </c>
      <c r="O63">
        <v>5.5059999999999996E-3</v>
      </c>
      <c r="P63">
        <v>1</v>
      </c>
      <c r="Q63">
        <v>3</v>
      </c>
    </row>
    <row r="64" spans="1:17">
      <c r="A64" t="s">
        <v>1206</v>
      </c>
      <c r="B64">
        <v>0</v>
      </c>
      <c r="C64">
        <v>14</v>
      </c>
      <c r="D64" t="s">
        <v>159</v>
      </c>
      <c r="E64" t="s">
        <v>1244</v>
      </c>
      <c r="F64" t="s">
        <v>1243</v>
      </c>
      <c r="G64" t="s">
        <v>160</v>
      </c>
      <c r="H64" t="s">
        <v>23</v>
      </c>
      <c r="I64">
        <v>99.137</v>
      </c>
      <c r="J64">
        <v>2500000</v>
      </c>
      <c r="K64" t="s">
        <v>173</v>
      </c>
      <c r="L64">
        <v>1</v>
      </c>
      <c r="M64">
        <v>3.0734000000000001E-2</v>
      </c>
      <c r="N64">
        <v>76304.694000000003</v>
      </c>
      <c r="O64">
        <v>8.7790000000000003E-3</v>
      </c>
      <c r="P64">
        <v>1</v>
      </c>
      <c r="Q64">
        <v>3</v>
      </c>
    </row>
    <row r="65" spans="1:17">
      <c r="A65" t="s">
        <v>933</v>
      </c>
      <c r="B65">
        <v>0</v>
      </c>
      <c r="C65">
        <v>14</v>
      </c>
      <c r="D65" t="s">
        <v>159</v>
      </c>
      <c r="E65" t="s">
        <v>941</v>
      </c>
      <c r="F65" t="s">
        <v>942</v>
      </c>
      <c r="G65" t="s">
        <v>160</v>
      </c>
      <c r="H65" t="s">
        <v>23</v>
      </c>
      <c r="I65">
        <v>88.259</v>
      </c>
      <c r="J65">
        <v>6000000</v>
      </c>
      <c r="K65" t="s">
        <v>164</v>
      </c>
      <c r="L65">
        <v>1</v>
      </c>
      <c r="M65">
        <v>9.3880000000000005E-2</v>
      </c>
      <c r="N65">
        <v>512588.70400000003</v>
      </c>
      <c r="O65">
        <v>2.2543000000000001E-2</v>
      </c>
      <c r="P65">
        <v>2</v>
      </c>
      <c r="Q65">
        <v>4</v>
      </c>
    </row>
    <row r="66" spans="1:17">
      <c r="A66" t="s">
        <v>877</v>
      </c>
      <c r="B66">
        <v>0</v>
      </c>
      <c r="C66">
        <v>14</v>
      </c>
      <c r="D66" t="s">
        <v>159</v>
      </c>
      <c r="E66" t="s">
        <v>906</v>
      </c>
      <c r="F66" t="s">
        <v>907</v>
      </c>
      <c r="G66" t="s">
        <v>160</v>
      </c>
      <c r="H66" t="s">
        <v>23</v>
      </c>
      <c r="I66">
        <v>99.626000000000005</v>
      </c>
      <c r="J66">
        <v>4000000</v>
      </c>
      <c r="K66" t="s">
        <v>173</v>
      </c>
      <c r="L66">
        <v>1</v>
      </c>
      <c r="M66">
        <v>2.1579000000000001E-2</v>
      </c>
      <c r="N66">
        <v>86219.437000000005</v>
      </c>
      <c r="O66">
        <v>7.0169999999999998E-3</v>
      </c>
      <c r="P66">
        <v>1.1000000000000001</v>
      </c>
      <c r="Q66">
        <v>4</v>
      </c>
    </row>
    <row r="67" spans="1:17">
      <c r="A67" t="s">
        <v>59</v>
      </c>
      <c r="B67">
        <v>0</v>
      </c>
      <c r="C67">
        <v>14</v>
      </c>
      <c r="D67" t="s">
        <v>159</v>
      </c>
      <c r="E67" t="s">
        <v>188</v>
      </c>
      <c r="F67" t="s">
        <v>189</v>
      </c>
      <c r="G67" t="s">
        <v>160</v>
      </c>
      <c r="H67" t="s">
        <v>23</v>
      </c>
      <c r="I67">
        <v>102.34099999999999</v>
      </c>
      <c r="J67">
        <v>1500000</v>
      </c>
      <c r="K67" t="s">
        <v>173</v>
      </c>
      <c r="L67">
        <v>1</v>
      </c>
      <c r="M67">
        <v>1.5810999999999999E-2</v>
      </c>
      <c r="N67">
        <v>24364.297999999999</v>
      </c>
      <c r="O67">
        <v>4.4929999999999996E-3</v>
      </c>
      <c r="P67">
        <v>1.7</v>
      </c>
      <c r="Q67">
        <v>4</v>
      </c>
    </row>
    <row r="68" spans="1:17">
      <c r="A68" t="s">
        <v>61</v>
      </c>
      <c r="B68">
        <v>0</v>
      </c>
      <c r="C68">
        <v>14</v>
      </c>
      <c r="D68" t="s">
        <v>159</v>
      </c>
      <c r="E68" t="s">
        <v>208</v>
      </c>
      <c r="F68" t="s">
        <v>943</v>
      </c>
      <c r="G68" t="s">
        <v>160</v>
      </c>
      <c r="H68" t="s">
        <v>23</v>
      </c>
      <c r="I68">
        <v>98.861000000000004</v>
      </c>
      <c r="J68">
        <v>1500000</v>
      </c>
      <c r="K68" t="s">
        <v>173</v>
      </c>
      <c r="L68">
        <v>1</v>
      </c>
      <c r="M68">
        <v>3.5358000000000001E-2</v>
      </c>
      <c r="N68">
        <v>53146.453999999998</v>
      </c>
      <c r="O68">
        <v>8.4419999999999999E-3</v>
      </c>
      <c r="P68">
        <v>1.9</v>
      </c>
      <c r="Q68">
        <v>4</v>
      </c>
    </row>
    <row r="69" spans="1:17">
      <c r="A69" t="s">
        <v>964</v>
      </c>
      <c r="B69">
        <v>0</v>
      </c>
      <c r="C69">
        <v>14</v>
      </c>
      <c r="D69" t="s">
        <v>159</v>
      </c>
      <c r="E69" t="s">
        <v>979</v>
      </c>
      <c r="F69" t="s">
        <v>183</v>
      </c>
      <c r="G69" t="s">
        <v>160</v>
      </c>
      <c r="H69" t="s">
        <v>23</v>
      </c>
      <c r="I69">
        <v>100.514</v>
      </c>
      <c r="J69">
        <v>3000000</v>
      </c>
      <c r="K69" t="s">
        <v>164</v>
      </c>
      <c r="L69">
        <v>1</v>
      </c>
      <c r="M69">
        <v>1.2468E-2</v>
      </c>
      <c r="N69">
        <v>37621.815999999999</v>
      </c>
      <c r="O69">
        <v>5.3410000000000003E-3</v>
      </c>
      <c r="P69">
        <v>0.7</v>
      </c>
      <c r="Q69">
        <v>3</v>
      </c>
    </row>
    <row r="70" spans="1:17">
      <c r="A70" t="s">
        <v>63</v>
      </c>
      <c r="B70">
        <v>0</v>
      </c>
      <c r="C70">
        <v>14</v>
      </c>
      <c r="D70" t="s">
        <v>159</v>
      </c>
      <c r="E70" t="s">
        <v>182</v>
      </c>
      <c r="F70" t="s">
        <v>183</v>
      </c>
      <c r="G70" t="s">
        <v>160</v>
      </c>
      <c r="H70" t="s">
        <v>23</v>
      </c>
      <c r="I70">
        <v>101.16</v>
      </c>
      <c r="J70">
        <v>5000000</v>
      </c>
      <c r="K70" t="s">
        <v>164</v>
      </c>
      <c r="L70">
        <v>1</v>
      </c>
      <c r="M70">
        <v>1.0186000000000001E-2</v>
      </c>
      <c r="N70">
        <v>51554.419000000002</v>
      </c>
      <c r="O70">
        <v>5.006E-3</v>
      </c>
      <c r="P70">
        <v>0.9</v>
      </c>
      <c r="Q70">
        <v>3</v>
      </c>
    </row>
    <row r="71" spans="1:17">
      <c r="A71" t="s">
        <v>65</v>
      </c>
      <c r="B71">
        <v>0</v>
      </c>
      <c r="C71">
        <v>14</v>
      </c>
      <c r="D71" t="s">
        <v>159</v>
      </c>
      <c r="E71" t="s">
        <v>191</v>
      </c>
      <c r="F71" t="s">
        <v>192</v>
      </c>
      <c r="G71" t="s">
        <v>160</v>
      </c>
      <c r="H71" t="s">
        <v>23</v>
      </c>
      <c r="I71">
        <v>100.839</v>
      </c>
      <c r="J71">
        <v>6500000</v>
      </c>
      <c r="K71" t="s">
        <v>173</v>
      </c>
      <c r="L71">
        <v>1</v>
      </c>
      <c r="M71">
        <v>1.9286999999999999E-2</v>
      </c>
      <c r="N71">
        <v>126636.524</v>
      </c>
      <c r="O71">
        <v>4.8789999999999997E-3</v>
      </c>
      <c r="P71">
        <v>7.8</v>
      </c>
      <c r="Q71">
        <v>10</v>
      </c>
    </row>
    <row r="72" spans="1:17">
      <c r="A72" t="s">
        <v>966</v>
      </c>
      <c r="B72">
        <v>0</v>
      </c>
      <c r="C72">
        <v>14</v>
      </c>
      <c r="D72" t="s">
        <v>159</v>
      </c>
      <c r="E72" t="s">
        <v>980</v>
      </c>
      <c r="F72" t="s">
        <v>981</v>
      </c>
      <c r="G72" t="s">
        <v>160</v>
      </c>
      <c r="H72" t="s">
        <v>23</v>
      </c>
      <c r="I72">
        <v>99.194000000000003</v>
      </c>
      <c r="J72">
        <v>5000000</v>
      </c>
      <c r="K72" t="s">
        <v>164</v>
      </c>
      <c r="L72">
        <v>1</v>
      </c>
      <c r="M72">
        <v>1.3051999999999999E-2</v>
      </c>
      <c r="N72">
        <v>65096.544000000002</v>
      </c>
      <c r="O72">
        <v>7.7279999999999996E-3</v>
      </c>
      <c r="P72">
        <v>1.9</v>
      </c>
      <c r="Q72">
        <v>4</v>
      </c>
    </row>
    <row r="73" spans="1:17">
      <c r="A73" t="s">
        <v>67</v>
      </c>
      <c r="B73">
        <v>0</v>
      </c>
      <c r="C73">
        <v>14</v>
      </c>
      <c r="D73" t="s">
        <v>159</v>
      </c>
      <c r="E73" t="s">
        <v>205</v>
      </c>
      <c r="F73" t="s">
        <v>204</v>
      </c>
      <c r="G73" t="s">
        <v>160</v>
      </c>
      <c r="H73" t="s">
        <v>23</v>
      </c>
      <c r="I73">
        <v>107.515</v>
      </c>
      <c r="J73">
        <v>2500000</v>
      </c>
      <c r="K73" t="s">
        <v>173</v>
      </c>
      <c r="L73">
        <v>1</v>
      </c>
      <c r="M73">
        <v>4.4970000000000001E-3</v>
      </c>
      <c r="N73">
        <v>12096.263999999999</v>
      </c>
      <c r="O73">
        <v>1.7440000000000001E-3</v>
      </c>
      <c r="P73">
        <v>1.2</v>
      </c>
      <c r="Q73">
        <v>4</v>
      </c>
    </row>
    <row r="74" spans="1:17">
      <c r="A74" t="s">
        <v>69</v>
      </c>
      <c r="B74">
        <v>0</v>
      </c>
      <c r="C74">
        <v>14</v>
      </c>
      <c r="D74" t="s">
        <v>159</v>
      </c>
      <c r="E74" t="s">
        <v>203</v>
      </c>
      <c r="F74" t="s">
        <v>204</v>
      </c>
      <c r="G74" t="s">
        <v>160</v>
      </c>
      <c r="H74" t="s">
        <v>23</v>
      </c>
      <c r="I74">
        <v>112.64700000000001</v>
      </c>
      <c r="J74">
        <v>10000000</v>
      </c>
      <c r="K74" t="s">
        <v>173</v>
      </c>
      <c r="L74">
        <v>1</v>
      </c>
      <c r="M74">
        <v>3.3043999999999997E-2</v>
      </c>
      <c r="N74">
        <v>373699.24300000002</v>
      </c>
      <c r="O74">
        <v>4.1580000000000002E-3</v>
      </c>
      <c r="P74">
        <v>1.9</v>
      </c>
      <c r="Q74">
        <v>4</v>
      </c>
    </row>
    <row r="75" spans="1:17">
      <c r="A75" t="s">
        <v>71</v>
      </c>
      <c r="B75">
        <v>0</v>
      </c>
      <c r="C75">
        <v>14</v>
      </c>
      <c r="D75" t="s">
        <v>159</v>
      </c>
      <c r="E75" t="s">
        <v>230</v>
      </c>
      <c r="F75" t="s">
        <v>231</v>
      </c>
      <c r="G75" t="s">
        <v>160</v>
      </c>
      <c r="H75" t="s">
        <v>23</v>
      </c>
      <c r="I75">
        <v>106.958</v>
      </c>
      <c r="J75">
        <v>3000000</v>
      </c>
      <c r="K75" t="s">
        <v>173</v>
      </c>
      <c r="L75">
        <v>1</v>
      </c>
      <c r="M75">
        <v>1.8505000000000001E-2</v>
      </c>
      <c r="N75">
        <v>59536.491999999998</v>
      </c>
      <c r="O75">
        <v>1.1733E-2</v>
      </c>
      <c r="P75">
        <v>3.4</v>
      </c>
      <c r="Q75">
        <v>6</v>
      </c>
    </row>
    <row r="76" spans="1:17">
      <c r="A76" t="s">
        <v>1149</v>
      </c>
      <c r="B76">
        <v>0</v>
      </c>
      <c r="C76">
        <v>14</v>
      </c>
      <c r="D76" t="s">
        <v>159</v>
      </c>
      <c r="E76" t="s">
        <v>1178</v>
      </c>
      <c r="F76" t="s">
        <v>994</v>
      </c>
      <c r="G76" t="s">
        <v>160</v>
      </c>
      <c r="H76" t="s">
        <v>23</v>
      </c>
      <c r="I76">
        <v>94.504999999999995</v>
      </c>
      <c r="J76">
        <v>1300000</v>
      </c>
      <c r="K76" t="s">
        <v>164</v>
      </c>
      <c r="L76">
        <v>1</v>
      </c>
      <c r="M76">
        <v>3.8136999999999997E-2</v>
      </c>
      <c r="N76">
        <v>46873.163999999997</v>
      </c>
      <c r="O76">
        <v>8.2319999999999997E-3</v>
      </c>
      <c r="P76">
        <v>0.5</v>
      </c>
      <c r="Q76">
        <v>3</v>
      </c>
    </row>
    <row r="77" spans="1:17">
      <c r="A77" t="s">
        <v>1151</v>
      </c>
      <c r="B77">
        <v>0</v>
      </c>
      <c r="C77">
        <v>14</v>
      </c>
      <c r="D77" t="s">
        <v>159</v>
      </c>
      <c r="E77" t="s">
        <v>1179</v>
      </c>
      <c r="F77" t="s">
        <v>994</v>
      </c>
      <c r="G77" t="s">
        <v>160</v>
      </c>
      <c r="H77" t="s">
        <v>23</v>
      </c>
      <c r="I77">
        <v>95.745000000000005</v>
      </c>
      <c r="J77">
        <v>800000</v>
      </c>
      <c r="K77" t="s">
        <v>164</v>
      </c>
      <c r="L77">
        <v>1</v>
      </c>
      <c r="M77">
        <v>3.6594000000000002E-2</v>
      </c>
      <c r="N77">
        <v>28030.057000000001</v>
      </c>
      <c r="O77">
        <v>8.0789999999999994E-3</v>
      </c>
      <c r="P77">
        <v>0.5</v>
      </c>
      <c r="Q77">
        <v>3</v>
      </c>
    </row>
    <row r="78" spans="1:17">
      <c r="A78" t="s">
        <v>1302</v>
      </c>
      <c r="B78">
        <v>0</v>
      </c>
      <c r="C78">
        <v>14</v>
      </c>
      <c r="D78" t="s">
        <v>159</v>
      </c>
      <c r="E78" t="s">
        <v>1415</v>
      </c>
      <c r="F78" t="s">
        <v>994</v>
      </c>
      <c r="G78" t="s">
        <v>160</v>
      </c>
      <c r="H78" t="s">
        <v>23</v>
      </c>
      <c r="I78">
        <v>100.85</v>
      </c>
      <c r="J78">
        <v>2950000</v>
      </c>
      <c r="K78" t="s">
        <v>164</v>
      </c>
      <c r="L78">
        <v>1</v>
      </c>
      <c r="M78">
        <v>7.0210000000000003E-3</v>
      </c>
      <c r="N78">
        <v>20898.778999999999</v>
      </c>
      <c r="O78">
        <v>4.2319999999999997E-3</v>
      </c>
      <c r="P78">
        <v>0.7</v>
      </c>
      <c r="Q78">
        <v>3</v>
      </c>
    </row>
    <row r="79" spans="1:17">
      <c r="A79" t="s">
        <v>73</v>
      </c>
      <c r="B79">
        <v>0</v>
      </c>
      <c r="C79">
        <v>14</v>
      </c>
      <c r="D79" t="s">
        <v>159</v>
      </c>
      <c r="E79" t="s">
        <v>209</v>
      </c>
      <c r="F79" t="s">
        <v>210</v>
      </c>
      <c r="G79" t="s">
        <v>160</v>
      </c>
      <c r="H79" t="s">
        <v>23</v>
      </c>
      <c r="I79">
        <v>102.56</v>
      </c>
      <c r="J79">
        <v>7100000</v>
      </c>
      <c r="K79" t="s">
        <v>173</v>
      </c>
      <c r="L79">
        <v>1</v>
      </c>
      <c r="M79">
        <v>6.4289999999999998E-3</v>
      </c>
      <c r="N79">
        <v>46861.487999999998</v>
      </c>
      <c r="O79">
        <v>9.1100000000000003E-4</v>
      </c>
      <c r="P79">
        <v>2</v>
      </c>
      <c r="Q79">
        <v>4</v>
      </c>
    </row>
    <row r="80" spans="1:17">
      <c r="A80" t="s">
        <v>1153</v>
      </c>
      <c r="B80">
        <v>0</v>
      </c>
      <c r="C80">
        <v>14</v>
      </c>
      <c r="D80" t="s">
        <v>159</v>
      </c>
      <c r="E80" t="s">
        <v>1180</v>
      </c>
      <c r="F80" t="s">
        <v>1092</v>
      </c>
      <c r="G80" t="s">
        <v>160</v>
      </c>
      <c r="H80" t="s">
        <v>23</v>
      </c>
      <c r="I80">
        <v>88.102999999999994</v>
      </c>
      <c r="J80">
        <v>5500000</v>
      </c>
      <c r="K80" t="s">
        <v>164</v>
      </c>
      <c r="L80">
        <v>1</v>
      </c>
      <c r="M80">
        <v>7.2902999999999996E-2</v>
      </c>
      <c r="N80">
        <v>356017.16700000002</v>
      </c>
      <c r="O80">
        <v>1.1157E-2</v>
      </c>
      <c r="P80">
        <v>2</v>
      </c>
      <c r="Q80">
        <v>4</v>
      </c>
    </row>
    <row r="81" spans="1:17">
      <c r="A81" t="s">
        <v>1070</v>
      </c>
      <c r="B81">
        <v>0</v>
      </c>
      <c r="C81">
        <v>14</v>
      </c>
      <c r="D81" t="s">
        <v>159</v>
      </c>
      <c r="E81" t="s">
        <v>1091</v>
      </c>
      <c r="F81" t="s">
        <v>1092</v>
      </c>
      <c r="G81" t="s">
        <v>160</v>
      </c>
      <c r="H81" t="s">
        <v>23</v>
      </c>
      <c r="I81">
        <v>91.117999999999995</v>
      </c>
      <c r="J81">
        <v>3800000</v>
      </c>
      <c r="K81" t="s">
        <v>164</v>
      </c>
      <c r="L81">
        <v>1</v>
      </c>
      <c r="M81">
        <v>6.6829E-2</v>
      </c>
      <c r="N81">
        <v>233158.193</v>
      </c>
      <c r="O81">
        <v>1.0404999999999999E-2</v>
      </c>
      <c r="P81">
        <v>1.9</v>
      </c>
      <c r="Q81">
        <v>4</v>
      </c>
    </row>
    <row r="82" spans="1:17">
      <c r="A82" t="s">
        <v>1208</v>
      </c>
      <c r="B82">
        <v>0</v>
      </c>
      <c r="C82">
        <v>14</v>
      </c>
      <c r="D82" t="s">
        <v>159</v>
      </c>
      <c r="E82" t="s">
        <v>1245</v>
      </c>
      <c r="F82" t="s">
        <v>1246</v>
      </c>
      <c r="G82" t="s">
        <v>160</v>
      </c>
      <c r="H82" t="s">
        <v>23</v>
      </c>
      <c r="I82">
        <v>92.576999999999998</v>
      </c>
      <c r="J82">
        <v>7500000</v>
      </c>
      <c r="K82" t="s">
        <v>173</v>
      </c>
      <c r="L82">
        <v>1</v>
      </c>
      <c r="M82">
        <v>2.579E-2</v>
      </c>
      <c r="N82">
        <v>179543.96100000001</v>
      </c>
      <c r="O82">
        <v>8.2310000000000005E-3</v>
      </c>
      <c r="P82">
        <v>1.4</v>
      </c>
      <c r="Q82">
        <v>4</v>
      </c>
    </row>
    <row r="83" spans="1:17">
      <c r="A83" t="s">
        <v>1927</v>
      </c>
      <c r="B83">
        <v>0</v>
      </c>
      <c r="C83">
        <v>14</v>
      </c>
      <c r="D83" t="s">
        <v>159</v>
      </c>
      <c r="E83" t="s">
        <v>1991</v>
      </c>
      <c r="F83" t="s">
        <v>1992</v>
      </c>
      <c r="G83" t="s">
        <v>160</v>
      </c>
      <c r="H83" t="s">
        <v>23</v>
      </c>
      <c r="I83">
        <v>98.781000000000006</v>
      </c>
      <c r="J83">
        <v>15000000</v>
      </c>
      <c r="K83" t="s">
        <v>164</v>
      </c>
      <c r="L83">
        <v>1</v>
      </c>
      <c r="M83">
        <v>5.5153000000000001E-2</v>
      </c>
      <c r="N83">
        <v>819121.20799999998</v>
      </c>
      <c r="O83">
        <v>4.7260000000000002E-3</v>
      </c>
      <c r="P83">
        <v>1.7</v>
      </c>
      <c r="Q83">
        <v>4</v>
      </c>
    </row>
    <row r="84" spans="1:17">
      <c r="A84" t="s">
        <v>1929</v>
      </c>
      <c r="B84">
        <v>0</v>
      </c>
      <c r="C84">
        <v>14</v>
      </c>
      <c r="D84" t="s">
        <v>159</v>
      </c>
      <c r="E84" t="s">
        <v>1993</v>
      </c>
      <c r="F84" t="s">
        <v>1992</v>
      </c>
      <c r="G84" t="s">
        <v>160</v>
      </c>
      <c r="H84" t="s">
        <v>23</v>
      </c>
      <c r="I84">
        <v>97.122</v>
      </c>
      <c r="J84">
        <v>3000000</v>
      </c>
      <c r="K84" t="s">
        <v>164</v>
      </c>
      <c r="L84">
        <v>1</v>
      </c>
      <c r="M84">
        <v>7.1544999999999997E-2</v>
      </c>
      <c r="N84">
        <v>208789.11600000001</v>
      </c>
      <c r="O84">
        <v>5.9550000000000002E-3</v>
      </c>
      <c r="P84">
        <v>1.1000000000000001</v>
      </c>
      <c r="Q84">
        <v>4</v>
      </c>
    </row>
    <row r="85" spans="1:17">
      <c r="A85" t="s">
        <v>1107</v>
      </c>
      <c r="B85">
        <v>0</v>
      </c>
      <c r="C85">
        <v>14</v>
      </c>
      <c r="D85" t="s">
        <v>159</v>
      </c>
      <c r="E85" t="s">
        <v>1131</v>
      </c>
      <c r="F85" t="s">
        <v>1132</v>
      </c>
      <c r="G85" t="s">
        <v>160</v>
      </c>
      <c r="H85" t="s">
        <v>23</v>
      </c>
      <c r="I85">
        <v>99.195999999999998</v>
      </c>
      <c r="J85">
        <v>500000</v>
      </c>
      <c r="K85" t="s">
        <v>164</v>
      </c>
      <c r="L85">
        <v>1</v>
      </c>
      <c r="M85">
        <v>4.9579999999999999E-2</v>
      </c>
      <c r="N85">
        <v>24665.458999999999</v>
      </c>
      <c r="O85">
        <v>9.6900000000000007E-3</v>
      </c>
      <c r="P85">
        <v>1.7</v>
      </c>
      <c r="Q85">
        <v>4</v>
      </c>
    </row>
    <row r="86" spans="1:17">
      <c r="A86" t="s">
        <v>1109</v>
      </c>
      <c r="B86">
        <v>0</v>
      </c>
      <c r="C86">
        <v>14</v>
      </c>
      <c r="D86" t="s">
        <v>159</v>
      </c>
      <c r="E86" t="s">
        <v>1133</v>
      </c>
      <c r="F86" t="s">
        <v>1132</v>
      </c>
      <c r="G86" t="s">
        <v>160</v>
      </c>
      <c r="H86" t="s">
        <v>23</v>
      </c>
      <c r="I86">
        <v>98.516000000000005</v>
      </c>
      <c r="J86">
        <v>2000000</v>
      </c>
      <c r="K86" t="s">
        <v>164</v>
      </c>
      <c r="L86">
        <v>1</v>
      </c>
      <c r="M86">
        <v>5.7881000000000002E-2</v>
      </c>
      <c r="N86">
        <v>114548.05100000001</v>
      </c>
      <c r="O86">
        <v>1.0170999999999999E-2</v>
      </c>
      <c r="P86">
        <v>1.9</v>
      </c>
      <c r="Q86">
        <v>4</v>
      </c>
    </row>
    <row r="87" spans="1:17">
      <c r="A87" t="s">
        <v>1111</v>
      </c>
      <c r="B87">
        <v>0</v>
      </c>
      <c r="C87">
        <v>14</v>
      </c>
      <c r="D87" t="s">
        <v>159</v>
      </c>
      <c r="E87" t="s">
        <v>1134</v>
      </c>
      <c r="F87" t="s">
        <v>1132</v>
      </c>
      <c r="G87" t="s">
        <v>160</v>
      </c>
      <c r="H87" t="s">
        <v>23</v>
      </c>
      <c r="I87">
        <v>103.898</v>
      </c>
      <c r="J87">
        <v>1100000</v>
      </c>
      <c r="K87" t="s">
        <v>164</v>
      </c>
      <c r="L87">
        <v>1</v>
      </c>
      <c r="M87">
        <v>4.0150999999999999E-2</v>
      </c>
      <c r="N87">
        <v>46135.497000000003</v>
      </c>
      <c r="O87">
        <v>9.3989999999999994E-3</v>
      </c>
      <c r="P87">
        <v>1.8</v>
      </c>
      <c r="Q87">
        <v>4</v>
      </c>
    </row>
    <row r="88" spans="1:17">
      <c r="A88" t="s">
        <v>1113</v>
      </c>
      <c r="B88">
        <v>0</v>
      </c>
      <c r="C88">
        <v>14</v>
      </c>
      <c r="D88" t="s">
        <v>159</v>
      </c>
      <c r="E88" t="s">
        <v>1135</v>
      </c>
      <c r="F88" t="s">
        <v>1132</v>
      </c>
      <c r="G88" t="s">
        <v>160</v>
      </c>
      <c r="H88" t="s">
        <v>23</v>
      </c>
      <c r="I88">
        <v>97.88</v>
      </c>
      <c r="J88">
        <v>3000000</v>
      </c>
      <c r="K88" t="s">
        <v>164</v>
      </c>
      <c r="L88">
        <v>1</v>
      </c>
      <c r="M88">
        <v>2.5468999999999999E-2</v>
      </c>
      <c r="N88">
        <v>74982.092999999993</v>
      </c>
      <c r="O88">
        <v>9.7249999999999993E-3</v>
      </c>
      <c r="P88">
        <v>0.9</v>
      </c>
      <c r="Q88">
        <v>3</v>
      </c>
    </row>
    <row r="89" spans="1:17">
      <c r="A89" t="s">
        <v>1304</v>
      </c>
      <c r="B89">
        <v>0</v>
      </c>
      <c r="C89">
        <v>14</v>
      </c>
      <c r="D89" t="s">
        <v>159</v>
      </c>
      <c r="E89" t="s">
        <v>1416</v>
      </c>
      <c r="F89" t="s">
        <v>1417</v>
      </c>
      <c r="G89" t="s">
        <v>160</v>
      </c>
      <c r="H89" t="s">
        <v>23</v>
      </c>
      <c r="I89">
        <v>98.257999999999996</v>
      </c>
      <c r="J89">
        <v>800000</v>
      </c>
      <c r="K89" t="s">
        <v>164</v>
      </c>
      <c r="L89">
        <v>1</v>
      </c>
      <c r="M89">
        <v>2.1146999999999999E-2</v>
      </c>
      <c r="N89">
        <v>16623.306</v>
      </c>
      <c r="O89">
        <v>7.025E-3</v>
      </c>
      <c r="P89">
        <v>0.7</v>
      </c>
      <c r="Q89">
        <v>3</v>
      </c>
    </row>
    <row r="90" spans="1:17">
      <c r="A90" t="s">
        <v>1306</v>
      </c>
      <c r="B90">
        <v>0</v>
      </c>
      <c r="C90">
        <v>14</v>
      </c>
      <c r="D90" t="s">
        <v>159</v>
      </c>
      <c r="E90" t="s">
        <v>1418</v>
      </c>
      <c r="F90" t="s">
        <v>1417</v>
      </c>
      <c r="G90" t="s">
        <v>160</v>
      </c>
      <c r="H90" t="s">
        <v>23</v>
      </c>
      <c r="I90">
        <v>100.092</v>
      </c>
      <c r="J90">
        <v>2200000</v>
      </c>
      <c r="K90" t="s">
        <v>164</v>
      </c>
      <c r="L90">
        <v>1</v>
      </c>
      <c r="M90">
        <v>1.2997E-2</v>
      </c>
      <c r="N90">
        <v>28673.868999999999</v>
      </c>
      <c r="O90">
        <v>6.0039999999999998E-3</v>
      </c>
      <c r="P90">
        <v>1.6</v>
      </c>
      <c r="Q90">
        <v>4</v>
      </c>
    </row>
    <row r="91" spans="1:17">
      <c r="A91" t="s">
        <v>1308</v>
      </c>
      <c r="B91">
        <v>0</v>
      </c>
      <c r="C91">
        <v>14</v>
      </c>
      <c r="D91" t="s">
        <v>159</v>
      </c>
      <c r="E91" t="s">
        <v>1419</v>
      </c>
      <c r="F91" t="s">
        <v>1420</v>
      </c>
      <c r="G91" t="s">
        <v>160</v>
      </c>
      <c r="H91" t="s">
        <v>23</v>
      </c>
      <c r="I91">
        <v>89.32</v>
      </c>
      <c r="J91">
        <v>1000000</v>
      </c>
      <c r="K91" t="s">
        <v>164</v>
      </c>
      <c r="L91">
        <v>1</v>
      </c>
      <c r="M91">
        <v>6.1168E-2</v>
      </c>
      <c r="N91">
        <v>54847.741000000002</v>
      </c>
      <c r="O91">
        <v>1.2322E-2</v>
      </c>
      <c r="P91">
        <v>1.7</v>
      </c>
      <c r="Q91">
        <v>4</v>
      </c>
    </row>
    <row r="92" spans="1:17">
      <c r="A92" t="s">
        <v>75</v>
      </c>
      <c r="B92">
        <v>0</v>
      </c>
      <c r="C92">
        <v>14</v>
      </c>
      <c r="D92" t="s">
        <v>159</v>
      </c>
      <c r="E92" t="s">
        <v>176</v>
      </c>
      <c r="F92" t="s">
        <v>177</v>
      </c>
      <c r="G92" t="s">
        <v>160</v>
      </c>
      <c r="H92" t="s">
        <v>23</v>
      </c>
      <c r="I92">
        <v>96.855000000000004</v>
      </c>
      <c r="J92">
        <v>9600000</v>
      </c>
      <c r="K92" t="s">
        <v>164</v>
      </c>
      <c r="L92">
        <v>1</v>
      </c>
      <c r="M92">
        <v>1.4616000000000001E-2</v>
      </c>
      <c r="N92">
        <v>136215.185</v>
      </c>
      <c r="O92">
        <v>5.9560000000000004E-3</v>
      </c>
      <c r="P92">
        <v>6</v>
      </c>
      <c r="Q92">
        <v>8</v>
      </c>
    </row>
    <row r="93" spans="1:17">
      <c r="A93" t="s">
        <v>1310</v>
      </c>
      <c r="B93">
        <v>0</v>
      </c>
      <c r="C93">
        <v>14</v>
      </c>
      <c r="D93" t="s">
        <v>159</v>
      </c>
      <c r="E93" t="s">
        <v>1421</v>
      </c>
      <c r="F93" t="s">
        <v>1422</v>
      </c>
      <c r="G93" t="s">
        <v>160</v>
      </c>
      <c r="H93" t="s">
        <v>23</v>
      </c>
      <c r="I93">
        <v>88.899000000000001</v>
      </c>
      <c r="J93">
        <v>400000</v>
      </c>
      <c r="K93" t="s">
        <v>164</v>
      </c>
      <c r="L93">
        <v>1</v>
      </c>
      <c r="M93">
        <v>6.3492999999999994E-2</v>
      </c>
      <c r="N93">
        <v>22683.273000000001</v>
      </c>
      <c r="O93">
        <v>1.1364000000000001E-2</v>
      </c>
      <c r="P93">
        <v>1.2</v>
      </c>
      <c r="Q93">
        <v>4</v>
      </c>
    </row>
    <row r="94" spans="1:17">
      <c r="A94" t="s">
        <v>1931</v>
      </c>
      <c r="B94">
        <v>0</v>
      </c>
      <c r="C94">
        <v>14</v>
      </c>
      <c r="D94" t="s">
        <v>159</v>
      </c>
      <c r="E94" t="s">
        <v>1994</v>
      </c>
      <c r="F94" t="s">
        <v>1424</v>
      </c>
      <c r="G94" t="s">
        <v>160</v>
      </c>
      <c r="H94" t="s">
        <v>23</v>
      </c>
      <c r="I94">
        <v>88.593999999999994</v>
      </c>
      <c r="J94">
        <v>500000</v>
      </c>
      <c r="K94" t="s">
        <v>164</v>
      </c>
      <c r="L94">
        <v>1</v>
      </c>
      <c r="M94">
        <v>6.6295000000000007E-2</v>
      </c>
      <c r="N94">
        <v>29366.89</v>
      </c>
      <c r="O94">
        <v>1.3226E-2</v>
      </c>
      <c r="P94">
        <v>0.8</v>
      </c>
      <c r="Q94">
        <v>3</v>
      </c>
    </row>
    <row r="95" spans="1:17">
      <c r="A95" t="s">
        <v>1312</v>
      </c>
      <c r="B95">
        <v>0</v>
      </c>
      <c r="C95">
        <v>14</v>
      </c>
      <c r="D95" t="s">
        <v>159</v>
      </c>
      <c r="E95" t="s">
        <v>1423</v>
      </c>
      <c r="F95" t="s">
        <v>1424</v>
      </c>
      <c r="G95" t="s">
        <v>160</v>
      </c>
      <c r="H95" t="s">
        <v>23</v>
      </c>
      <c r="I95">
        <v>88.337999999999994</v>
      </c>
      <c r="J95">
        <v>300000</v>
      </c>
      <c r="K95" t="s">
        <v>164</v>
      </c>
      <c r="L95">
        <v>1</v>
      </c>
      <c r="M95">
        <v>7.1084999999999995E-2</v>
      </c>
      <c r="N95">
        <v>18857.516</v>
      </c>
      <c r="O95">
        <v>1.2112E-2</v>
      </c>
      <c r="P95">
        <v>0.7</v>
      </c>
      <c r="Q95">
        <v>3</v>
      </c>
    </row>
    <row r="96" spans="1:17">
      <c r="A96" t="s">
        <v>77</v>
      </c>
      <c r="B96">
        <v>0</v>
      </c>
      <c r="C96">
        <v>14</v>
      </c>
      <c r="D96" t="s">
        <v>159</v>
      </c>
      <c r="E96" t="s">
        <v>211</v>
      </c>
      <c r="F96" t="s">
        <v>212</v>
      </c>
      <c r="G96" t="s">
        <v>160</v>
      </c>
      <c r="H96" t="s">
        <v>23</v>
      </c>
      <c r="I96">
        <v>106.003</v>
      </c>
      <c r="J96">
        <v>8000000</v>
      </c>
      <c r="K96" t="s">
        <v>173</v>
      </c>
      <c r="L96">
        <v>1</v>
      </c>
      <c r="M96">
        <v>7.1679999999999999E-3</v>
      </c>
      <c r="N96">
        <v>60826.722000000002</v>
      </c>
      <c r="O96">
        <v>2.8379999999999998E-3</v>
      </c>
      <c r="P96">
        <v>6.7</v>
      </c>
      <c r="Q96">
        <v>9</v>
      </c>
    </row>
    <row r="97" spans="1:17">
      <c r="A97" t="s">
        <v>935</v>
      </c>
      <c r="B97">
        <v>0</v>
      </c>
      <c r="C97">
        <v>14</v>
      </c>
      <c r="D97" t="s">
        <v>159</v>
      </c>
      <c r="E97" t="s">
        <v>944</v>
      </c>
      <c r="F97" t="s">
        <v>945</v>
      </c>
      <c r="G97" t="s">
        <v>160</v>
      </c>
      <c r="H97" t="s">
        <v>23</v>
      </c>
      <c r="I97">
        <v>84.593000000000004</v>
      </c>
      <c r="J97">
        <v>7450000</v>
      </c>
      <c r="K97" t="s">
        <v>164</v>
      </c>
      <c r="L97">
        <v>1</v>
      </c>
      <c r="M97">
        <v>3.5970000000000002E-2</v>
      </c>
      <c r="N97">
        <v>227657.86799999999</v>
      </c>
      <c r="O97">
        <v>1.3452E-2</v>
      </c>
      <c r="P97">
        <v>5.5</v>
      </c>
      <c r="Q97">
        <v>8</v>
      </c>
    </row>
    <row r="98" spans="1:17">
      <c r="A98" t="s">
        <v>1210</v>
      </c>
      <c r="B98">
        <v>0</v>
      </c>
      <c r="C98">
        <v>14</v>
      </c>
      <c r="D98" t="s">
        <v>159</v>
      </c>
      <c r="E98" t="s">
        <v>1247</v>
      </c>
      <c r="F98" t="s">
        <v>1248</v>
      </c>
      <c r="G98" t="s">
        <v>160</v>
      </c>
      <c r="H98" t="s">
        <v>23</v>
      </c>
      <c r="I98">
        <v>92.126999999999995</v>
      </c>
      <c r="J98">
        <v>3000000</v>
      </c>
      <c r="K98" t="s">
        <v>164</v>
      </c>
      <c r="L98">
        <v>1</v>
      </c>
      <c r="M98">
        <v>5.4635999999999997E-2</v>
      </c>
      <c r="N98">
        <v>153754.95000000001</v>
      </c>
      <c r="O98">
        <v>7.6039999999999996E-3</v>
      </c>
      <c r="P98">
        <v>1.9</v>
      </c>
      <c r="Q98">
        <v>4</v>
      </c>
    </row>
    <row r="99" spans="1:17">
      <c r="A99" t="s">
        <v>937</v>
      </c>
      <c r="B99">
        <v>0</v>
      </c>
      <c r="C99">
        <v>14</v>
      </c>
      <c r="D99" t="s">
        <v>159</v>
      </c>
      <c r="E99" t="s">
        <v>946</v>
      </c>
      <c r="F99" t="s">
        <v>947</v>
      </c>
      <c r="G99" t="s">
        <v>160</v>
      </c>
      <c r="H99" t="s">
        <v>23</v>
      </c>
      <c r="I99">
        <v>98.195999999999998</v>
      </c>
      <c r="J99">
        <v>5000000</v>
      </c>
      <c r="K99" t="s">
        <v>164</v>
      </c>
      <c r="L99">
        <v>1</v>
      </c>
      <c r="M99">
        <v>1.1067E-2</v>
      </c>
      <c r="N99">
        <v>54345.784</v>
      </c>
      <c r="O99">
        <v>9.2020000000000001E-3</v>
      </c>
      <c r="P99">
        <v>2</v>
      </c>
      <c r="Q99">
        <v>4</v>
      </c>
    </row>
    <row r="100" spans="1:17">
      <c r="A100" t="s">
        <v>881</v>
      </c>
      <c r="B100">
        <v>0</v>
      </c>
      <c r="C100">
        <v>14</v>
      </c>
      <c r="D100" t="s">
        <v>159</v>
      </c>
      <c r="E100" t="s">
        <v>908</v>
      </c>
      <c r="F100" t="s">
        <v>909</v>
      </c>
      <c r="G100" t="s">
        <v>160</v>
      </c>
      <c r="H100" t="s">
        <v>23</v>
      </c>
      <c r="I100">
        <v>94.198999999999998</v>
      </c>
      <c r="J100">
        <v>3000000</v>
      </c>
      <c r="K100" t="s">
        <v>164</v>
      </c>
      <c r="L100">
        <v>1</v>
      </c>
      <c r="M100">
        <v>2.1838E-2</v>
      </c>
      <c r="N100">
        <v>61752.482000000004</v>
      </c>
      <c r="O100">
        <v>8.9020000000000002E-3</v>
      </c>
      <c r="P100">
        <v>0.8</v>
      </c>
      <c r="Q100">
        <v>3</v>
      </c>
    </row>
    <row r="101" spans="1:17">
      <c r="A101" t="s">
        <v>1314</v>
      </c>
      <c r="B101">
        <v>0</v>
      </c>
      <c r="C101">
        <v>14</v>
      </c>
      <c r="D101" t="s">
        <v>159</v>
      </c>
      <c r="E101" t="s">
        <v>1425</v>
      </c>
      <c r="F101" t="s">
        <v>1426</v>
      </c>
      <c r="G101" t="s">
        <v>160</v>
      </c>
      <c r="H101" t="s">
        <v>23</v>
      </c>
      <c r="I101">
        <v>99.308999999999997</v>
      </c>
      <c r="J101">
        <v>10000000</v>
      </c>
      <c r="K101" t="s">
        <v>164</v>
      </c>
      <c r="L101">
        <v>1</v>
      </c>
      <c r="M101">
        <v>2.6072000000000001E-2</v>
      </c>
      <c r="N101">
        <v>259156.14799999999</v>
      </c>
      <c r="O101">
        <v>8.1639999999999994E-3</v>
      </c>
      <c r="P101">
        <v>24.2</v>
      </c>
      <c r="Q101">
        <v>27</v>
      </c>
    </row>
    <row r="102" spans="1:17">
      <c r="A102" t="s">
        <v>1212</v>
      </c>
      <c r="B102">
        <v>0</v>
      </c>
      <c r="C102">
        <v>14</v>
      </c>
      <c r="D102" t="s">
        <v>159</v>
      </c>
      <c r="E102" t="s">
        <v>1249</v>
      </c>
      <c r="F102" t="s">
        <v>1250</v>
      </c>
      <c r="G102" t="s">
        <v>160</v>
      </c>
      <c r="H102" t="s">
        <v>23</v>
      </c>
      <c r="I102">
        <v>93.317999999999998</v>
      </c>
      <c r="J102">
        <v>1500000</v>
      </c>
      <c r="K102" t="s">
        <v>173</v>
      </c>
      <c r="L102">
        <v>1</v>
      </c>
      <c r="M102">
        <v>2.0773E-2</v>
      </c>
      <c r="N102">
        <v>29121.223999999998</v>
      </c>
      <c r="O102">
        <v>9.1730000000000006E-3</v>
      </c>
      <c r="P102">
        <v>0.5</v>
      </c>
      <c r="Q102">
        <v>3</v>
      </c>
    </row>
    <row r="103" spans="1:17">
      <c r="A103" t="s">
        <v>1214</v>
      </c>
      <c r="B103">
        <v>0</v>
      </c>
      <c r="C103">
        <v>14</v>
      </c>
      <c r="D103" t="s">
        <v>159</v>
      </c>
      <c r="E103" t="s">
        <v>1251</v>
      </c>
      <c r="F103" t="s">
        <v>1252</v>
      </c>
      <c r="G103" t="s">
        <v>160</v>
      </c>
      <c r="H103" t="s">
        <v>23</v>
      </c>
      <c r="I103">
        <v>99.986000000000004</v>
      </c>
      <c r="J103">
        <v>5000000</v>
      </c>
      <c r="K103" t="s">
        <v>173</v>
      </c>
      <c r="L103">
        <v>1</v>
      </c>
      <c r="M103">
        <v>7.76E-4</v>
      </c>
      <c r="N103">
        <v>3881.1709999999998</v>
      </c>
      <c r="O103">
        <v>2.9599999999999998E-4</v>
      </c>
      <c r="P103">
        <v>5.6</v>
      </c>
      <c r="Q103">
        <v>8</v>
      </c>
    </row>
    <row r="104" spans="1:17">
      <c r="A104" t="s">
        <v>79</v>
      </c>
      <c r="B104">
        <v>0</v>
      </c>
      <c r="C104">
        <v>14</v>
      </c>
      <c r="D104" t="s">
        <v>159</v>
      </c>
      <c r="E104" t="s">
        <v>186</v>
      </c>
      <c r="F104" t="s">
        <v>187</v>
      </c>
      <c r="G104" t="s">
        <v>160</v>
      </c>
      <c r="H104" t="s">
        <v>23</v>
      </c>
      <c r="I104">
        <v>99.45</v>
      </c>
      <c r="J104">
        <v>1000000</v>
      </c>
      <c r="K104" t="s">
        <v>173</v>
      </c>
      <c r="L104">
        <v>1</v>
      </c>
      <c r="M104">
        <v>3.2641999999999997E-2</v>
      </c>
      <c r="N104">
        <v>32999.428999999996</v>
      </c>
      <c r="O104">
        <v>8.2819999999999994E-3</v>
      </c>
      <c r="P104">
        <v>1.8</v>
      </c>
      <c r="Q104">
        <v>4</v>
      </c>
    </row>
    <row r="105" spans="1:17">
      <c r="A105" t="s">
        <v>883</v>
      </c>
      <c r="B105">
        <v>0</v>
      </c>
      <c r="C105">
        <v>14</v>
      </c>
      <c r="D105" t="s">
        <v>159</v>
      </c>
      <c r="E105" t="s">
        <v>910</v>
      </c>
      <c r="F105" t="s">
        <v>911</v>
      </c>
      <c r="G105" t="s">
        <v>160</v>
      </c>
      <c r="H105" t="s">
        <v>23</v>
      </c>
      <c r="I105">
        <v>95.783000000000001</v>
      </c>
      <c r="J105">
        <v>13000000</v>
      </c>
      <c r="K105" t="s">
        <v>164</v>
      </c>
      <c r="L105">
        <v>1</v>
      </c>
      <c r="M105">
        <v>2.5201000000000001E-2</v>
      </c>
      <c r="N105">
        <v>315545.674</v>
      </c>
      <c r="O105">
        <v>7.672E-3</v>
      </c>
      <c r="P105">
        <v>10.7</v>
      </c>
      <c r="Q105">
        <v>13</v>
      </c>
    </row>
    <row r="106" spans="1:17">
      <c r="A106" t="s">
        <v>1155</v>
      </c>
      <c r="B106">
        <v>0</v>
      </c>
      <c r="C106">
        <v>14</v>
      </c>
      <c r="D106" t="s">
        <v>159</v>
      </c>
      <c r="E106" t="s">
        <v>1181</v>
      </c>
      <c r="F106" t="s">
        <v>1182</v>
      </c>
      <c r="G106" t="s">
        <v>160</v>
      </c>
      <c r="H106" t="s">
        <v>23</v>
      </c>
      <c r="I106">
        <v>66.358999999999995</v>
      </c>
      <c r="J106">
        <v>3000000</v>
      </c>
      <c r="K106" t="s">
        <v>164</v>
      </c>
      <c r="L106">
        <v>1</v>
      </c>
      <c r="M106">
        <v>5.5042000000000001E-2</v>
      </c>
      <c r="N106">
        <v>109640.031</v>
      </c>
      <c r="O106">
        <v>1.883E-2</v>
      </c>
      <c r="P106">
        <v>2.9</v>
      </c>
      <c r="Q106">
        <v>5</v>
      </c>
    </row>
    <row r="107" spans="1:17">
      <c r="A107" t="s">
        <v>1933</v>
      </c>
      <c r="B107">
        <v>0</v>
      </c>
      <c r="C107">
        <v>14</v>
      </c>
      <c r="D107" t="s">
        <v>159</v>
      </c>
      <c r="E107" t="s">
        <v>1995</v>
      </c>
      <c r="F107" t="s">
        <v>1996</v>
      </c>
      <c r="G107" t="s">
        <v>228</v>
      </c>
      <c r="H107" t="s">
        <v>23</v>
      </c>
      <c r="I107">
        <v>100.277</v>
      </c>
      <c r="J107">
        <v>1000000</v>
      </c>
      <c r="K107" t="s">
        <v>1450</v>
      </c>
      <c r="L107">
        <v>1</v>
      </c>
      <c r="M107">
        <v>3.1843000000000003E-2</v>
      </c>
      <c r="N107">
        <v>31931.335999999999</v>
      </c>
      <c r="O107">
        <v>2.8530000000000001E-3</v>
      </c>
      <c r="P107">
        <v>1.7</v>
      </c>
      <c r="Q107">
        <v>4</v>
      </c>
    </row>
    <row r="108" spans="1:17">
      <c r="A108" t="s">
        <v>1935</v>
      </c>
      <c r="B108">
        <v>0</v>
      </c>
      <c r="C108">
        <v>14</v>
      </c>
      <c r="D108" t="s">
        <v>159</v>
      </c>
      <c r="E108" t="s">
        <v>1997</v>
      </c>
      <c r="F108" t="s">
        <v>1996</v>
      </c>
      <c r="G108" t="s">
        <v>228</v>
      </c>
      <c r="H108" t="s">
        <v>23</v>
      </c>
      <c r="I108">
        <v>99.567999999999998</v>
      </c>
      <c r="J108">
        <v>3000000</v>
      </c>
      <c r="K108" t="s">
        <v>1450</v>
      </c>
      <c r="L108">
        <v>1</v>
      </c>
      <c r="M108">
        <v>6.5572000000000005E-2</v>
      </c>
      <c r="N108">
        <v>195869.74900000001</v>
      </c>
      <c r="O108">
        <v>2.931E-3</v>
      </c>
      <c r="P108">
        <v>1.9</v>
      </c>
      <c r="Q108">
        <v>4</v>
      </c>
    </row>
    <row r="109" spans="1:17">
      <c r="A109" t="s">
        <v>1216</v>
      </c>
      <c r="B109">
        <v>0</v>
      </c>
      <c r="C109">
        <v>14</v>
      </c>
      <c r="D109" t="s">
        <v>159</v>
      </c>
      <c r="E109" t="s">
        <v>1253</v>
      </c>
      <c r="F109" t="s">
        <v>190</v>
      </c>
      <c r="G109" t="s">
        <v>160</v>
      </c>
      <c r="H109" t="s">
        <v>23</v>
      </c>
      <c r="I109">
        <v>97.872</v>
      </c>
      <c r="J109">
        <v>3000000</v>
      </c>
      <c r="K109" t="s">
        <v>164</v>
      </c>
      <c r="L109">
        <v>1</v>
      </c>
      <c r="M109">
        <v>2.0153000000000001E-2</v>
      </c>
      <c r="N109">
        <v>59254.288999999997</v>
      </c>
      <c r="O109">
        <v>6.7809999999999997E-3</v>
      </c>
      <c r="P109">
        <v>0.9</v>
      </c>
      <c r="Q109">
        <v>3</v>
      </c>
    </row>
    <row r="110" spans="1:17">
      <c r="A110" t="s">
        <v>1316</v>
      </c>
      <c r="B110">
        <v>0</v>
      </c>
      <c r="C110">
        <v>14</v>
      </c>
      <c r="D110" t="s">
        <v>159</v>
      </c>
      <c r="E110" t="s">
        <v>1427</v>
      </c>
      <c r="F110" t="s">
        <v>190</v>
      </c>
      <c r="G110" t="s">
        <v>160</v>
      </c>
      <c r="H110" t="s">
        <v>23</v>
      </c>
      <c r="I110">
        <v>96.747</v>
      </c>
      <c r="J110">
        <v>3300000</v>
      </c>
      <c r="K110" t="s">
        <v>164</v>
      </c>
      <c r="L110">
        <v>1</v>
      </c>
      <c r="M110">
        <v>2.8872999999999999E-2</v>
      </c>
      <c r="N110">
        <v>92329.214999999997</v>
      </c>
      <c r="O110">
        <v>8.2470000000000009E-3</v>
      </c>
      <c r="P110">
        <v>0.8</v>
      </c>
      <c r="Q110">
        <v>3</v>
      </c>
    </row>
    <row r="111" spans="1:17">
      <c r="A111" t="s">
        <v>1218</v>
      </c>
      <c r="B111">
        <v>0</v>
      </c>
      <c r="C111">
        <v>14</v>
      </c>
      <c r="D111" t="s">
        <v>159</v>
      </c>
      <c r="E111" t="s">
        <v>1254</v>
      </c>
      <c r="F111" t="s">
        <v>1255</v>
      </c>
      <c r="G111" t="s">
        <v>160</v>
      </c>
      <c r="H111" t="s">
        <v>23</v>
      </c>
      <c r="I111">
        <v>96.78</v>
      </c>
      <c r="J111">
        <v>3500000</v>
      </c>
      <c r="K111" t="s">
        <v>164</v>
      </c>
      <c r="L111">
        <v>1</v>
      </c>
      <c r="M111">
        <v>3.3163999999999999E-2</v>
      </c>
      <c r="N111">
        <v>113223.016</v>
      </c>
      <c r="O111">
        <v>7.3010000000000002E-3</v>
      </c>
      <c r="P111">
        <v>2</v>
      </c>
      <c r="Q111">
        <v>4</v>
      </c>
    </row>
    <row r="112" spans="1:17">
      <c r="A112" t="s">
        <v>1318</v>
      </c>
      <c r="B112">
        <v>0</v>
      </c>
      <c r="C112">
        <v>14</v>
      </c>
      <c r="D112" t="s">
        <v>159</v>
      </c>
      <c r="E112" t="s">
        <v>1428</v>
      </c>
      <c r="F112" t="s">
        <v>166</v>
      </c>
      <c r="G112" t="s">
        <v>160</v>
      </c>
      <c r="H112" t="s">
        <v>23</v>
      </c>
      <c r="I112">
        <v>96.816000000000003</v>
      </c>
      <c r="J112">
        <v>2000000</v>
      </c>
      <c r="K112" t="s">
        <v>164</v>
      </c>
      <c r="L112">
        <v>1</v>
      </c>
      <c r="M112">
        <v>2.4903000000000002E-2</v>
      </c>
      <c r="N112">
        <v>48278.892999999996</v>
      </c>
      <c r="O112">
        <v>6.8669999999999998E-3</v>
      </c>
      <c r="P112">
        <v>0.7</v>
      </c>
      <c r="Q112">
        <v>3</v>
      </c>
    </row>
    <row r="113" spans="1:17">
      <c r="A113" t="s">
        <v>1320</v>
      </c>
      <c r="B113">
        <v>0</v>
      </c>
      <c r="C113">
        <v>14</v>
      </c>
      <c r="D113" t="s">
        <v>159</v>
      </c>
      <c r="E113" t="s">
        <v>1429</v>
      </c>
      <c r="F113" t="s">
        <v>166</v>
      </c>
      <c r="G113" t="s">
        <v>160</v>
      </c>
      <c r="H113" t="s">
        <v>23</v>
      </c>
      <c r="I113">
        <v>96.105000000000004</v>
      </c>
      <c r="J113">
        <v>800000</v>
      </c>
      <c r="K113" t="s">
        <v>164</v>
      </c>
      <c r="L113">
        <v>1</v>
      </c>
      <c r="M113">
        <v>3.7116000000000003E-2</v>
      </c>
      <c r="N113">
        <v>28536.780999999999</v>
      </c>
      <c r="O113">
        <v>8.8999999999999999E-3</v>
      </c>
      <c r="P113">
        <v>0.5</v>
      </c>
      <c r="Q113">
        <v>3</v>
      </c>
    </row>
    <row r="114" spans="1:17">
      <c r="A114" t="s">
        <v>968</v>
      </c>
      <c r="B114">
        <v>0</v>
      </c>
      <c r="C114">
        <v>14</v>
      </c>
      <c r="D114" t="s">
        <v>159</v>
      </c>
      <c r="E114" t="s">
        <v>982</v>
      </c>
      <c r="F114" t="s">
        <v>166</v>
      </c>
      <c r="G114" t="s">
        <v>160</v>
      </c>
      <c r="H114" t="s">
        <v>23</v>
      </c>
      <c r="I114">
        <v>100.00700000000001</v>
      </c>
      <c r="J114">
        <v>2000000</v>
      </c>
      <c r="K114" t="s">
        <v>164</v>
      </c>
      <c r="L114">
        <v>1</v>
      </c>
      <c r="M114">
        <v>1.6233000000000001E-2</v>
      </c>
      <c r="N114">
        <v>32493.716</v>
      </c>
      <c r="O114">
        <v>7.1830000000000001E-3</v>
      </c>
      <c r="P114">
        <v>2</v>
      </c>
      <c r="Q114">
        <v>4</v>
      </c>
    </row>
    <row r="115" spans="1:17">
      <c r="A115" t="s">
        <v>1322</v>
      </c>
      <c r="B115">
        <v>0</v>
      </c>
      <c r="C115">
        <v>14</v>
      </c>
      <c r="D115" t="s">
        <v>159</v>
      </c>
      <c r="E115" t="s">
        <v>1430</v>
      </c>
      <c r="F115" t="s">
        <v>166</v>
      </c>
      <c r="G115" t="s">
        <v>160</v>
      </c>
      <c r="H115" t="s">
        <v>23</v>
      </c>
      <c r="I115">
        <v>100.56399999999999</v>
      </c>
      <c r="J115">
        <v>1000000</v>
      </c>
      <c r="K115" t="s">
        <v>164</v>
      </c>
      <c r="L115">
        <v>1</v>
      </c>
      <c r="M115">
        <v>1.2709E-2</v>
      </c>
      <c r="N115">
        <v>12785.536</v>
      </c>
      <c r="O115">
        <v>6.1619999999999999E-3</v>
      </c>
      <c r="P115">
        <v>0.5</v>
      </c>
      <c r="Q115">
        <v>3</v>
      </c>
    </row>
    <row r="116" spans="1:17">
      <c r="A116" t="s">
        <v>81</v>
      </c>
      <c r="B116">
        <v>0</v>
      </c>
      <c r="C116">
        <v>14</v>
      </c>
      <c r="D116" t="s">
        <v>159</v>
      </c>
      <c r="E116" t="s">
        <v>165</v>
      </c>
      <c r="F116" t="s">
        <v>166</v>
      </c>
      <c r="G116" t="s">
        <v>160</v>
      </c>
      <c r="H116" t="s">
        <v>23</v>
      </c>
      <c r="I116">
        <v>101.79600000000001</v>
      </c>
      <c r="J116">
        <v>5000000</v>
      </c>
      <c r="K116" t="s">
        <v>164</v>
      </c>
      <c r="L116">
        <v>1</v>
      </c>
      <c r="M116">
        <v>2.0216000000000001E-2</v>
      </c>
      <c r="N116">
        <v>103076.639</v>
      </c>
      <c r="O116">
        <v>7.8490000000000001E-3</v>
      </c>
      <c r="P116">
        <v>2</v>
      </c>
      <c r="Q116">
        <v>4</v>
      </c>
    </row>
    <row r="117" spans="1:17">
      <c r="A117" t="s">
        <v>83</v>
      </c>
      <c r="B117">
        <v>0</v>
      </c>
      <c r="C117">
        <v>14</v>
      </c>
      <c r="D117" t="s">
        <v>159</v>
      </c>
      <c r="E117" t="s">
        <v>201</v>
      </c>
      <c r="F117" t="s">
        <v>166</v>
      </c>
      <c r="G117" t="s">
        <v>160</v>
      </c>
      <c r="H117" t="s">
        <v>23</v>
      </c>
      <c r="I117">
        <v>101.414</v>
      </c>
      <c r="J117">
        <v>5000000</v>
      </c>
      <c r="K117" t="s">
        <v>164</v>
      </c>
      <c r="L117">
        <v>1</v>
      </c>
      <c r="M117">
        <v>1.6676E-2</v>
      </c>
      <c r="N117">
        <v>84649.923999999999</v>
      </c>
      <c r="O117">
        <v>6.4819999999999999E-3</v>
      </c>
      <c r="P117">
        <v>1.8</v>
      </c>
      <c r="Q117">
        <v>4</v>
      </c>
    </row>
    <row r="118" spans="1:17">
      <c r="A118" t="s">
        <v>1324</v>
      </c>
      <c r="B118">
        <v>0</v>
      </c>
      <c r="C118">
        <v>14</v>
      </c>
      <c r="D118" t="s">
        <v>159</v>
      </c>
      <c r="E118" t="s">
        <v>1431</v>
      </c>
      <c r="F118" t="s">
        <v>1184</v>
      </c>
      <c r="G118" t="s">
        <v>160</v>
      </c>
      <c r="H118" t="s">
        <v>23</v>
      </c>
      <c r="I118">
        <v>68.114000000000004</v>
      </c>
      <c r="J118">
        <v>1800000</v>
      </c>
      <c r="K118" t="s">
        <v>164</v>
      </c>
      <c r="L118">
        <v>1</v>
      </c>
      <c r="M118">
        <v>9.4696000000000002E-2</v>
      </c>
      <c r="N118">
        <v>117214.69100000001</v>
      </c>
      <c r="O118">
        <v>2.5725000000000001E-2</v>
      </c>
      <c r="P118">
        <v>1.5</v>
      </c>
      <c r="Q118">
        <v>4</v>
      </c>
    </row>
    <row r="119" spans="1:17">
      <c r="A119" t="s">
        <v>1157</v>
      </c>
      <c r="B119">
        <v>0</v>
      </c>
      <c r="C119">
        <v>14</v>
      </c>
      <c r="D119" t="s">
        <v>159</v>
      </c>
      <c r="E119" t="s">
        <v>1183</v>
      </c>
      <c r="F119" t="s">
        <v>1184</v>
      </c>
      <c r="G119" t="s">
        <v>160</v>
      </c>
      <c r="H119" t="s">
        <v>23</v>
      </c>
      <c r="I119">
        <v>76.957999999999998</v>
      </c>
      <c r="J119">
        <v>1500000</v>
      </c>
      <c r="K119" t="s">
        <v>164</v>
      </c>
      <c r="L119">
        <v>1</v>
      </c>
      <c r="M119">
        <v>0.116713</v>
      </c>
      <c r="N119">
        <v>134832.65700000001</v>
      </c>
      <c r="O119">
        <v>1.7287E-2</v>
      </c>
      <c r="P119">
        <v>1.6</v>
      </c>
      <c r="Q119">
        <v>4</v>
      </c>
    </row>
    <row r="120" spans="1:17">
      <c r="A120" t="s">
        <v>1937</v>
      </c>
      <c r="B120">
        <v>0</v>
      </c>
      <c r="C120">
        <v>14</v>
      </c>
      <c r="D120" t="s">
        <v>159</v>
      </c>
      <c r="E120" t="s">
        <v>1998</v>
      </c>
      <c r="F120" t="s">
        <v>1999</v>
      </c>
      <c r="G120" t="s">
        <v>160</v>
      </c>
      <c r="H120" t="s">
        <v>23</v>
      </c>
      <c r="I120">
        <v>100.041</v>
      </c>
      <c r="J120">
        <v>1300000</v>
      </c>
      <c r="K120" t="s">
        <v>173</v>
      </c>
      <c r="L120">
        <v>1</v>
      </c>
      <c r="M120">
        <v>6.7749999999999998E-3</v>
      </c>
      <c r="N120">
        <v>8822.1610000000001</v>
      </c>
      <c r="O120">
        <v>2.2699999999999999E-3</v>
      </c>
      <c r="P120">
        <v>1.7</v>
      </c>
      <c r="Q120">
        <v>4</v>
      </c>
    </row>
    <row r="121" spans="1:17">
      <c r="A121" t="s">
        <v>1326</v>
      </c>
      <c r="B121">
        <v>0</v>
      </c>
      <c r="C121">
        <v>14</v>
      </c>
      <c r="D121" t="s">
        <v>159</v>
      </c>
      <c r="E121" t="s">
        <v>1432</v>
      </c>
      <c r="F121" t="s">
        <v>1433</v>
      </c>
      <c r="G121" t="s">
        <v>160</v>
      </c>
      <c r="H121" t="s">
        <v>23</v>
      </c>
      <c r="I121">
        <v>80.064999999999998</v>
      </c>
      <c r="J121">
        <v>3200000</v>
      </c>
      <c r="K121" t="s">
        <v>164</v>
      </c>
      <c r="L121">
        <v>1</v>
      </c>
      <c r="M121">
        <v>2.6519999999999998E-2</v>
      </c>
      <c r="N121">
        <v>68245.721999999994</v>
      </c>
      <c r="O121">
        <v>1.2633999999999999E-2</v>
      </c>
      <c r="P121">
        <v>5.7</v>
      </c>
      <c r="Q121">
        <v>8</v>
      </c>
    </row>
    <row r="122" spans="1:17">
      <c r="A122" t="s">
        <v>1115</v>
      </c>
      <c r="B122">
        <v>0</v>
      </c>
      <c r="C122">
        <v>14</v>
      </c>
      <c r="D122" t="s">
        <v>159</v>
      </c>
      <c r="E122" t="s">
        <v>1136</v>
      </c>
      <c r="F122" t="s">
        <v>1137</v>
      </c>
      <c r="G122" t="s">
        <v>160</v>
      </c>
      <c r="H122" t="s">
        <v>23</v>
      </c>
      <c r="I122">
        <v>63.497</v>
      </c>
      <c r="J122">
        <v>4653000</v>
      </c>
      <c r="K122" t="s">
        <v>164</v>
      </c>
      <c r="L122">
        <v>1</v>
      </c>
      <c r="M122">
        <v>7.9551999999999998E-2</v>
      </c>
      <c r="N122">
        <v>235039.815</v>
      </c>
      <c r="O122">
        <v>1.9289000000000001E-2</v>
      </c>
      <c r="P122">
        <v>6.8</v>
      </c>
      <c r="Q122">
        <v>9</v>
      </c>
    </row>
    <row r="123" spans="1:17">
      <c r="A123" t="s">
        <v>1328</v>
      </c>
      <c r="B123">
        <v>0</v>
      </c>
      <c r="C123">
        <v>14</v>
      </c>
      <c r="D123" t="s">
        <v>159</v>
      </c>
      <c r="E123" t="s">
        <v>1434</v>
      </c>
      <c r="F123" t="s">
        <v>1435</v>
      </c>
      <c r="G123" t="s">
        <v>160</v>
      </c>
      <c r="H123" t="s">
        <v>23</v>
      </c>
      <c r="I123">
        <v>61.719000000000001</v>
      </c>
      <c r="J123">
        <v>3200000</v>
      </c>
      <c r="K123" t="s">
        <v>164</v>
      </c>
      <c r="L123">
        <v>1</v>
      </c>
      <c r="M123">
        <v>0.14280399999999999</v>
      </c>
      <c r="N123">
        <v>287133.90600000002</v>
      </c>
      <c r="O123">
        <v>2.9148E-2</v>
      </c>
      <c r="P123">
        <v>1.9</v>
      </c>
      <c r="Q123">
        <v>4</v>
      </c>
    </row>
    <row r="124" spans="1:17">
      <c r="A124" t="s">
        <v>1330</v>
      </c>
      <c r="B124">
        <v>0</v>
      </c>
      <c r="C124">
        <v>14</v>
      </c>
      <c r="D124" t="s">
        <v>159</v>
      </c>
      <c r="E124" t="s">
        <v>1436</v>
      </c>
      <c r="F124" t="s">
        <v>1437</v>
      </c>
      <c r="G124" t="s">
        <v>160</v>
      </c>
      <c r="H124" t="s">
        <v>23</v>
      </c>
      <c r="I124">
        <v>95.819000000000003</v>
      </c>
      <c r="J124">
        <v>1000000</v>
      </c>
      <c r="K124" t="s">
        <v>164</v>
      </c>
      <c r="L124">
        <v>1</v>
      </c>
      <c r="M124">
        <v>3.4876999999999998E-2</v>
      </c>
      <c r="N124">
        <v>33653.248</v>
      </c>
      <c r="O124">
        <v>9.4699999999999993E-3</v>
      </c>
      <c r="P124">
        <v>8.6999999999999993</v>
      </c>
      <c r="Q124">
        <v>11</v>
      </c>
    </row>
    <row r="125" spans="1:17">
      <c r="A125" t="s">
        <v>1332</v>
      </c>
      <c r="B125">
        <v>0</v>
      </c>
      <c r="C125">
        <v>14</v>
      </c>
      <c r="D125" t="s">
        <v>159</v>
      </c>
      <c r="E125" t="s">
        <v>1438</v>
      </c>
      <c r="F125" t="s">
        <v>1439</v>
      </c>
      <c r="G125" t="s">
        <v>160</v>
      </c>
      <c r="H125" t="s">
        <v>23</v>
      </c>
      <c r="I125">
        <v>96.972999999999999</v>
      </c>
      <c r="J125">
        <v>5000000</v>
      </c>
      <c r="K125" t="s">
        <v>164</v>
      </c>
      <c r="L125">
        <v>1</v>
      </c>
      <c r="M125">
        <v>4.7718000000000003E-2</v>
      </c>
      <c r="N125">
        <v>231957.19200000001</v>
      </c>
      <c r="O125">
        <v>1.2347E-2</v>
      </c>
      <c r="P125">
        <v>1.5</v>
      </c>
      <c r="Q125">
        <v>4</v>
      </c>
    </row>
    <row r="126" spans="1:17">
      <c r="A126" t="s">
        <v>1220</v>
      </c>
      <c r="B126">
        <v>0</v>
      </c>
      <c r="C126">
        <v>14</v>
      </c>
      <c r="D126" t="s">
        <v>159</v>
      </c>
      <c r="E126" t="s">
        <v>1256</v>
      </c>
      <c r="F126" t="s">
        <v>1257</v>
      </c>
      <c r="G126" t="s">
        <v>160</v>
      </c>
      <c r="H126" t="s">
        <v>23</v>
      </c>
      <c r="I126">
        <v>95.991</v>
      </c>
      <c r="J126">
        <v>1000000</v>
      </c>
      <c r="K126" t="s">
        <v>173</v>
      </c>
      <c r="L126">
        <v>1</v>
      </c>
      <c r="M126">
        <v>1.5098E-2</v>
      </c>
      <c r="N126">
        <v>14508.955</v>
      </c>
      <c r="O126">
        <v>8.9350000000000002E-3</v>
      </c>
      <c r="P126">
        <v>0.7</v>
      </c>
      <c r="Q126">
        <v>3</v>
      </c>
    </row>
    <row r="127" spans="1:17">
      <c r="A127" t="s">
        <v>85</v>
      </c>
      <c r="B127">
        <v>0</v>
      </c>
      <c r="C127">
        <v>14</v>
      </c>
      <c r="D127" t="s">
        <v>159</v>
      </c>
      <c r="E127" t="s">
        <v>222</v>
      </c>
      <c r="F127" t="s">
        <v>223</v>
      </c>
      <c r="G127" t="s">
        <v>160</v>
      </c>
      <c r="H127" t="s">
        <v>23</v>
      </c>
      <c r="I127">
        <v>111.063</v>
      </c>
      <c r="J127">
        <v>7500000</v>
      </c>
      <c r="K127" t="s">
        <v>173</v>
      </c>
      <c r="L127">
        <v>1</v>
      </c>
      <c r="M127">
        <v>2.9824E-2</v>
      </c>
      <c r="N127">
        <v>249419.72399999999</v>
      </c>
      <c r="O127">
        <v>7.1929999999999997E-3</v>
      </c>
      <c r="P127">
        <v>2.2999999999999998</v>
      </c>
      <c r="Q127">
        <v>5</v>
      </c>
    </row>
    <row r="128" spans="1:17">
      <c r="A128" t="s">
        <v>87</v>
      </c>
      <c r="B128">
        <v>0</v>
      </c>
      <c r="C128">
        <v>14</v>
      </c>
      <c r="D128" t="s">
        <v>159</v>
      </c>
      <c r="E128" t="s">
        <v>224</v>
      </c>
      <c r="F128" t="s">
        <v>225</v>
      </c>
      <c r="G128" t="s">
        <v>160</v>
      </c>
      <c r="H128" t="s">
        <v>23</v>
      </c>
      <c r="I128">
        <v>109.545</v>
      </c>
      <c r="J128">
        <v>1500000</v>
      </c>
      <c r="K128" t="s">
        <v>173</v>
      </c>
      <c r="L128">
        <v>1</v>
      </c>
      <c r="M128">
        <v>1.8398000000000001E-2</v>
      </c>
      <c r="N128">
        <v>30263.483</v>
      </c>
      <c r="O128">
        <v>7.1879999999999999E-3</v>
      </c>
      <c r="P128">
        <v>0.7</v>
      </c>
      <c r="Q128">
        <v>3</v>
      </c>
    </row>
    <row r="129" spans="1:17">
      <c r="A129" t="s">
        <v>1117</v>
      </c>
      <c r="B129">
        <v>0</v>
      </c>
      <c r="C129">
        <v>14</v>
      </c>
      <c r="D129" t="s">
        <v>159</v>
      </c>
      <c r="E129" t="s">
        <v>1138</v>
      </c>
      <c r="F129" t="s">
        <v>1093</v>
      </c>
      <c r="G129" t="s">
        <v>160</v>
      </c>
      <c r="H129" t="s">
        <v>23</v>
      </c>
      <c r="I129">
        <v>94.798000000000002</v>
      </c>
      <c r="J129">
        <v>4500000</v>
      </c>
      <c r="K129" t="s">
        <v>164</v>
      </c>
      <c r="L129">
        <v>1</v>
      </c>
      <c r="M129">
        <v>3.1243E-2</v>
      </c>
      <c r="N129">
        <v>133564.81</v>
      </c>
      <c r="O129">
        <v>9.639E-3</v>
      </c>
      <c r="P129">
        <v>0.8</v>
      </c>
      <c r="Q129">
        <v>3</v>
      </c>
    </row>
    <row r="130" spans="1:17">
      <c r="A130" t="s">
        <v>1939</v>
      </c>
      <c r="B130">
        <v>0</v>
      </c>
      <c r="C130">
        <v>14</v>
      </c>
      <c r="D130" t="s">
        <v>159</v>
      </c>
      <c r="E130" t="s">
        <v>2000</v>
      </c>
      <c r="F130" t="s">
        <v>2001</v>
      </c>
      <c r="G130" t="s">
        <v>160</v>
      </c>
      <c r="H130" t="s">
        <v>23</v>
      </c>
      <c r="I130">
        <v>98.716999999999999</v>
      </c>
      <c r="J130">
        <v>2000000</v>
      </c>
      <c r="K130" t="s">
        <v>173</v>
      </c>
      <c r="L130">
        <v>1</v>
      </c>
      <c r="M130">
        <v>6.9543999999999995E-2</v>
      </c>
      <c r="N130">
        <v>138414.59400000001</v>
      </c>
      <c r="O130">
        <v>6.6670000000000002E-3</v>
      </c>
      <c r="P130">
        <v>1.7</v>
      </c>
      <c r="Q130">
        <v>4</v>
      </c>
    </row>
    <row r="131" spans="1:17">
      <c r="A131" t="s">
        <v>1334</v>
      </c>
      <c r="B131">
        <v>0</v>
      </c>
      <c r="C131">
        <v>14</v>
      </c>
      <c r="D131" t="s">
        <v>159</v>
      </c>
      <c r="E131" t="s">
        <v>1440</v>
      </c>
      <c r="F131" t="s">
        <v>1441</v>
      </c>
      <c r="G131" t="s">
        <v>160</v>
      </c>
      <c r="H131" t="s">
        <v>23</v>
      </c>
      <c r="I131">
        <v>100.84</v>
      </c>
      <c r="J131">
        <v>1235000</v>
      </c>
      <c r="K131" t="s">
        <v>173</v>
      </c>
      <c r="L131">
        <v>1</v>
      </c>
      <c r="M131">
        <v>2.4893999999999999E-2</v>
      </c>
      <c r="N131">
        <v>31069.242999999999</v>
      </c>
      <c r="O131">
        <v>7.051E-3</v>
      </c>
      <c r="P131">
        <v>0.8</v>
      </c>
      <c r="Q131">
        <v>3</v>
      </c>
    </row>
    <row r="132" spans="1:17">
      <c r="A132" t="s">
        <v>89</v>
      </c>
      <c r="B132">
        <v>0</v>
      </c>
      <c r="C132">
        <v>14</v>
      </c>
      <c r="D132" t="s">
        <v>159</v>
      </c>
      <c r="E132" t="s">
        <v>215</v>
      </c>
      <c r="F132" t="s">
        <v>1442</v>
      </c>
      <c r="G132" t="s">
        <v>160</v>
      </c>
      <c r="H132" t="s">
        <v>23</v>
      </c>
      <c r="I132">
        <v>98.73</v>
      </c>
      <c r="J132">
        <v>5000000</v>
      </c>
      <c r="K132" t="s">
        <v>164</v>
      </c>
      <c r="L132">
        <v>1</v>
      </c>
      <c r="M132">
        <v>1.3920999999999999E-2</v>
      </c>
      <c r="N132">
        <v>69107.638999999996</v>
      </c>
      <c r="O132">
        <v>5.4920000000000004E-3</v>
      </c>
      <c r="P132">
        <v>1.9</v>
      </c>
      <c r="Q132">
        <v>4</v>
      </c>
    </row>
    <row r="133" spans="1:17">
      <c r="A133" t="s">
        <v>1336</v>
      </c>
      <c r="B133">
        <v>0</v>
      </c>
      <c r="C133">
        <v>14</v>
      </c>
      <c r="D133" t="s">
        <v>159</v>
      </c>
      <c r="E133" t="s">
        <v>1443</v>
      </c>
      <c r="F133" t="s">
        <v>1444</v>
      </c>
      <c r="G133" t="s">
        <v>160</v>
      </c>
      <c r="H133" t="s">
        <v>23</v>
      </c>
      <c r="I133">
        <v>105.254</v>
      </c>
      <c r="J133">
        <v>4000000</v>
      </c>
      <c r="K133" t="s">
        <v>173</v>
      </c>
      <c r="L133">
        <v>1</v>
      </c>
      <c r="M133">
        <v>2.0351000000000001E-2</v>
      </c>
      <c r="N133">
        <v>85791.910999999993</v>
      </c>
      <c r="O133">
        <v>3.029E-3</v>
      </c>
      <c r="P133">
        <v>1.3</v>
      </c>
      <c r="Q133">
        <v>4</v>
      </c>
    </row>
    <row r="134" spans="1:17">
      <c r="A134" t="s">
        <v>525</v>
      </c>
      <c r="B134">
        <v>0</v>
      </c>
      <c r="C134">
        <v>14</v>
      </c>
      <c r="D134" t="s">
        <v>159</v>
      </c>
      <c r="E134" t="s">
        <v>534</v>
      </c>
      <c r="F134" t="s">
        <v>533</v>
      </c>
      <c r="G134" t="s">
        <v>160</v>
      </c>
      <c r="H134" t="s">
        <v>23</v>
      </c>
      <c r="I134">
        <v>110.797</v>
      </c>
      <c r="J134">
        <v>3000000</v>
      </c>
      <c r="K134" t="s">
        <v>173</v>
      </c>
      <c r="L134">
        <v>1</v>
      </c>
      <c r="M134">
        <v>1.8787000000000002E-2</v>
      </c>
      <c r="N134">
        <v>62478.192000000003</v>
      </c>
      <c r="O134">
        <v>4.1339999999999997E-3</v>
      </c>
      <c r="P134">
        <v>1.1000000000000001</v>
      </c>
      <c r="Q134">
        <v>4</v>
      </c>
    </row>
    <row r="135" spans="1:17">
      <c r="A135" t="s">
        <v>1941</v>
      </c>
      <c r="B135">
        <v>0</v>
      </c>
      <c r="C135">
        <v>14</v>
      </c>
      <c r="D135" t="s">
        <v>159</v>
      </c>
      <c r="E135" t="s">
        <v>2002</v>
      </c>
      <c r="F135" t="s">
        <v>2003</v>
      </c>
      <c r="G135" t="s">
        <v>160</v>
      </c>
      <c r="H135" t="s">
        <v>23</v>
      </c>
      <c r="I135">
        <v>72.62</v>
      </c>
      <c r="J135">
        <v>2000000</v>
      </c>
      <c r="K135" t="s">
        <v>164</v>
      </c>
      <c r="L135">
        <v>1</v>
      </c>
      <c r="M135">
        <v>0.156921</v>
      </c>
      <c r="N135">
        <v>228394.864</v>
      </c>
      <c r="O135">
        <v>6.5389999999999997E-3</v>
      </c>
      <c r="P135">
        <v>1.1000000000000001</v>
      </c>
      <c r="Q135">
        <v>4</v>
      </c>
    </row>
    <row r="136" spans="1:17">
      <c r="A136" t="s">
        <v>1943</v>
      </c>
      <c r="B136">
        <v>0</v>
      </c>
      <c r="C136">
        <v>14</v>
      </c>
      <c r="D136" t="s">
        <v>159</v>
      </c>
      <c r="E136" t="s">
        <v>2004</v>
      </c>
      <c r="F136" t="s">
        <v>2005</v>
      </c>
      <c r="G136" t="s">
        <v>160</v>
      </c>
      <c r="H136" t="s">
        <v>23</v>
      </c>
      <c r="I136">
        <v>104.292</v>
      </c>
      <c r="J136">
        <v>1000000</v>
      </c>
      <c r="K136" t="s">
        <v>173</v>
      </c>
      <c r="L136">
        <v>1</v>
      </c>
      <c r="M136">
        <v>3.2960000000000003E-2</v>
      </c>
      <c r="N136">
        <v>34376.233</v>
      </c>
      <c r="O136">
        <v>3.9579999999999997E-3</v>
      </c>
      <c r="P136">
        <v>0.5</v>
      </c>
      <c r="Q136">
        <v>3</v>
      </c>
    </row>
    <row r="137" spans="1:17">
      <c r="A137" t="s">
        <v>1945</v>
      </c>
      <c r="B137">
        <v>0</v>
      </c>
      <c r="C137">
        <v>14</v>
      </c>
      <c r="D137" t="s">
        <v>159</v>
      </c>
      <c r="E137" t="s">
        <v>2006</v>
      </c>
      <c r="F137" t="s">
        <v>2005</v>
      </c>
      <c r="G137" t="s">
        <v>160</v>
      </c>
      <c r="H137" t="s">
        <v>23</v>
      </c>
      <c r="I137">
        <v>108.749</v>
      </c>
      <c r="J137">
        <v>2000000</v>
      </c>
      <c r="K137" t="s">
        <v>173</v>
      </c>
      <c r="L137">
        <v>1</v>
      </c>
      <c r="M137">
        <v>7.8344999999999998E-2</v>
      </c>
      <c r="N137">
        <v>170400.67600000001</v>
      </c>
      <c r="O137">
        <v>5.9410000000000001E-3</v>
      </c>
      <c r="P137">
        <v>0.6</v>
      </c>
      <c r="Q137">
        <v>3</v>
      </c>
    </row>
    <row r="138" spans="1:17">
      <c r="A138" t="s">
        <v>1947</v>
      </c>
      <c r="B138">
        <v>0</v>
      </c>
      <c r="C138">
        <v>14</v>
      </c>
      <c r="D138" t="s">
        <v>159</v>
      </c>
      <c r="E138" t="s">
        <v>2007</v>
      </c>
      <c r="F138" t="s">
        <v>2008</v>
      </c>
      <c r="G138" t="s">
        <v>228</v>
      </c>
      <c r="H138" t="s">
        <v>23</v>
      </c>
      <c r="I138" t="s">
        <v>161</v>
      </c>
      <c r="J138" t="s">
        <v>161</v>
      </c>
      <c r="K138" t="s">
        <v>1186</v>
      </c>
      <c r="L138" t="s">
        <v>161</v>
      </c>
      <c r="M138" t="s">
        <v>161</v>
      </c>
      <c r="N138" t="s">
        <v>161</v>
      </c>
      <c r="O138" t="s">
        <v>161</v>
      </c>
      <c r="P138" t="s">
        <v>161</v>
      </c>
      <c r="Q138" t="s">
        <v>161</v>
      </c>
    </row>
    <row r="139" spans="1:17">
      <c r="A139" t="s">
        <v>91</v>
      </c>
      <c r="B139">
        <v>0</v>
      </c>
      <c r="C139">
        <v>14</v>
      </c>
      <c r="D139" t="s">
        <v>159</v>
      </c>
      <c r="E139" t="s">
        <v>226</v>
      </c>
      <c r="F139" t="s">
        <v>227</v>
      </c>
      <c r="G139" t="s">
        <v>160</v>
      </c>
      <c r="H139" t="s">
        <v>23</v>
      </c>
      <c r="I139">
        <v>97.64</v>
      </c>
      <c r="J139">
        <v>5000000</v>
      </c>
      <c r="K139" t="s">
        <v>164</v>
      </c>
      <c r="L139">
        <v>1</v>
      </c>
      <c r="M139">
        <v>2.4896000000000001E-2</v>
      </c>
      <c r="N139">
        <v>121545.177</v>
      </c>
      <c r="O139">
        <v>9.0259999999999993E-3</v>
      </c>
      <c r="P139">
        <v>1.3</v>
      </c>
      <c r="Q139">
        <v>4</v>
      </c>
    </row>
    <row r="140" spans="1:17">
      <c r="A140" t="s">
        <v>93</v>
      </c>
      <c r="B140">
        <v>0</v>
      </c>
      <c r="C140">
        <v>14</v>
      </c>
      <c r="D140" t="s">
        <v>159</v>
      </c>
      <c r="E140" t="s">
        <v>216</v>
      </c>
      <c r="F140" t="s">
        <v>217</v>
      </c>
      <c r="G140" t="s">
        <v>160</v>
      </c>
      <c r="H140" t="s">
        <v>23</v>
      </c>
      <c r="I140">
        <v>100.544</v>
      </c>
      <c r="J140">
        <v>8300000</v>
      </c>
      <c r="K140" t="s">
        <v>164</v>
      </c>
      <c r="L140">
        <v>1</v>
      </c>
      <c r="M140">
        <v>1.3127E-2</v>
      </c>
      <c r="N140">
        <v>109660.944</v>
      </c>
      <c r="O140">
        <v>3.5860000000000002E-3</v>
      </c>
      <c r="P140">
        <v>1</v>
      </c>
      <c r="Q140">
        <v>3</v>
      </c>
    </row>
    <row r="141" spans="1:17">
      <c r="A141" t="s">
        <v>1949</v>
      </c>
      <c r="B141">
        <v>0</v>
      </c>
      <c r="C141">
        <v>14</v>
      </c>
      <c r="D141" t="s">
        <v>159</v>
      </c>
      <c r="E141" t="s">
        <v>2009</v>
      </c>
      <c r="F141" t="s">
        <v>199</v>
      </c>
      <c r="G141" t="s">
        <v>160</v>
      </c>
      <c r="H141" t="s">
        <v>23</v>
      </c>
      <c r="I141">
        <v>102.991</v>
      </c>
      <c r="J141">
        <v>2000000</v>
      </c>
      <c r="K141" t="s">
        <v>173</v>
      </c>
      <c r="L141">
        <v>1</v>
      </c>
      <c r="M141">
        <v>2.7099000000000002E-2</v>
      </c>
      <c r="N141">
        <v>55927.040000000001</v>
      </c>
      <c r="O141">
        <v>5.4929999999999996E-3</v>
      </c>
      <c r="P141">
        <v>1.7</v>
      </c>
      <c r="Q141">
        <v>4</v>
      </c>
    </row>
    <row r="142" spans="1:17">
      <c r="A142" t="s">
        <v>95</v>
      </c>
      <c r="B142">
        <v>0</v>
      </c>
      <c r="C142">
        <v>14</v>
      </c>
      <c r="D142" t="s">
        <v>159</v>
      </c>
      <c r="E142" t="s">
        <v>184</v>
      </c>
      <c r="F142" t="s">
        <v>185</v>
      </c>
      <c r="G142" t="s">
        <v>160</v>
      </c>
      <c r="H142" t="s">
        <v>23</v>
      </c>
      <c r="I142">
        <v>104.202</v>
      </c>
      <c r="J142">
        <v>4000000</v>
      </c>
      <c r="K142" t="s">
        <v>173</v>
      </c>
      <c r="L142">
        <v>1</v>
      </c>
      <c r="M142">
        <v>1.2956000000000001E-2</v>
      </c>
      <c r="N142">
        <v>54067.487000000001</v>
      </c>
      <c r="O142">
        <v>1.25E-3</v>
      </c>
      <c r="P142">
        <v>6.7</v>
      </c>
      <c r="Q142">
        <v>9</v>
      </c>
    </row>
    <row r="143" spans="1:17">
      <c r="A143" t="s">
        <v>1338</v>
      </c>
      <c r="B143">
        <v>0</v>
      </c>
      <c r="C143">
        <v>14</v>
      </c>
      <c r="D143" t="s">
        <v>159</v>
      </c>
      <c r="E143" t="s">
        <v>1445</v>
      </c>
      <c r="F143" t="s">
        <v>1095</v>
      </c>
      <c r="G143" t="s">
        <v>160</v>
      </c>
      <c r="H143" t="s">
        <v>23</v>
      </c>
      <c r="I143">
        <v>99.79</v>
      </c>
      <c r="J143">
        <v>1500000</v>
      </c>
      <c r="K143" t="s">
        <v>164</v>
      </c>
      <c r="L143">
        <v>1</v>
      </c>
      <c r="M143">
        <v>8.9899999999999997E-3</v>
      </c>
      <c r="N143">
        <v>13461.405000000001</v>
      </c>
      <c r="O143">
        <v>5.3709999999999999E-3</v>
      </c>
      <c r="P143">
        <v>0.7</v>
      </c>
      <c r="Q143">
        <v>3</v>
      </c>
    </row>
    <row r="144" spans="1:17">
      <c r="A144" t="s">
        <v>1072</v>
      </c>
      <c r="B144">
        <v>0</v>
      </c>
      <c r="C144">
        <v>14</v>
      </c>
      <c r="D144" t="s">
        <v>159</v>
      </c>
      <c r="E144" t="s">
        <v>1094</v>
      </c>
      <c r="F144" t="s">
        <v>1095</v>
      </c>
      <c r="G144" t="s">
        <v>160</v>
      </c>
      <c r="H144" t="s">
        <v>23</v>
      </c>
      <c r="I144">
        <v>96.850999999999999</v>
      </c>
      <c r="J144">
        <v>6000000</v>
      </c>
      <c r="K144" t="s">
        <v>164</v>
      </c>
      <c r="L144">
        <v>1</v>
      </c>
      <c r="M144">
        <v>2.4913000000000001E-2</v>
      </c>
      <c r="N144">
        <v>144979.986</v>
      </c>
      <c r="O144">
        <v>8.0140000000000003E-3</v>
      </c>
      <c r="P144">
        <v>4.8</v>
      </c>
      <c r="Q144">
        <v>7</v>
      </c>
    </row>
    <row r="145" spans="1:17">
      <c r="A145" t="s">
        <v>1074</v>
      </c>
      <c r="B145">
        <v>0</v>
      </c>
      <c r="C145">
        <v>14</v>
      </c>
      <c r="D145" t="s">
        <v>159</v>
      </c>
      <c r="E145" t="s">
        <v>1096</v>
      </c>
      <c r="F145" t="s">
        <v>1095</v>
      </c>
      <c r="G145" t="s">
        <v>160</v>
      </c>
      <c r="H145" t="s">
        <v>23</v>
      </c>
      <c r="I145">
        <v>101.209</v>
      </c>
      <c r="J145">
        <v>1000000</v>
      </c>
      <c r="K145" t="s">
        <v>164</v>
      </c>
      <c r="L145">
        <v>1</v>
      </c>
      <c r="M145">
        <v>1.6368000000000001E-2</v>
      </c>
      <c r="N145">
        <v>16583.851999999999</v>
      </c>
      <c r="O145">
        <v>8.5950000000000002E-3</v>
      </c>
      <c r="P145">
        <v>0.6</v>
      </c>
      <c r="Q145">
        <v>3</v>
      </c>
    </row>
    <row r="146" spans="1:17">
      <c r="A146" t="s">
        <v>1951</v>
      </c>
      <c r="B146">
        <v>0</v>
      </c>
      <c r="C146">
        <v>14</v>
      </c>
      <c r="D146" t="s">
        <v>159</v>
      </c>
      <c r="E146" t="s">
        <v>2010</v>
      </c>
      <c r="F146" t="s">
        <v>2011</v>
      </c>
      <c r="G146" t="s">
        <v>228</v>
      </c>
      <c r="H146" t="s">
        <v>23</v>
      </c>
      <c r="I146">
        <v>108.20399999999999</v>
      </c>
      <c r="J146">
        <v>1000000</v>
      </c>
      <c r="K146" t="s">
        <v>1450</v>
      </c>
      <c r="L146">
        <v>1</v>
      </c>
      <c r="M146">
        <v>3.7246000000000001E-2</v>
      </c>
      <c r="N146">
        <v>40302.444000000003</v>
      </c>
      <c r="O146">
        <v>2.4239999999999999E-3</v>
      </c>
      <c r="P146">
        <v>0.9</v>
      </c>
      <c r="Q146">
        <v>3</v>
      </c>
    </row>
    <row r="147" spans="1:17">
      <c r="A147" t="s">
        <v>1119</v>
      </c>
      <c r="B147">
        <v>0</v>
      </c>
      <c r="C147">
        <v>14</v>
      </c>
      <c r="D147" t="s">
        <v>159</v>
      </c>
      <c r="E147" t="s">
        <v>1139</v>
      </c>
      <c r="F147" t="s">
        <v>1140</v>
      </c>
      <c r="G147" t="s">
        <v>160</v>
      </c>
      <c r="H147" t="s">
        <v>23</v>
      </c>
      <c r="I147">
        <v>97.587000000000003</v>
      </c>
      <c r="J147">
        <v>3700000</v>
      </c>
      <c r="K147" t="s">
        <v>164</v>
      </c>
      <c r="L147">
        <v>1</v>
      </c>
      <c r="M147">
        <v>1.0042000000000001E-2</v>
      </c>
      <c r="N147">
        <v>36286.942999999999</v>
      </c>
      <c r="O147">
        <v>7.0020000000000004E-3</v>
      </c>
      <c r="P147">
        <v>2</v>
      </c>
      <c r="Q147">
        <v>4</v>
      </c>
    </row>
    <row r="148" spans="1:17">
      <c r="A148" t="s">
        <v>1121</v>
      </c>
      <c r="B148">
        <v>0</v>
      </c>
      <c r="C148">
        <v>14</v>
      </c>
      <c r="D148" t="s">
        <v>159</v>
      </c>
      <c r="E148" t="s">
        <v>1141</v>
      </c>
      <c r="F148" t="s">
        <v>1140</v>
      </c>
      <c r="G148" t="s">
        <v>160</v>
      </c>
      <c r="H148" t="s">
        <v>23</v>
      </c>
      <c r="I148">
        <v>99.378</v>
      </c>
      <c r="J148">
        <v>1100000</v>
      </c>
      <c r="K148" t="s">
        <v>164</v>
      </c>
      <c r="L148">
        <v>1</v>
      </c>
      <c r="M148">
        <v>1.7519E-2</v>
      </c>
      <c r="N148">
        <v>19184.87</v>
      </c>
      <c r="O148">
        <v>6.711E-3</v>
      </c>
      <c r="P148">
        <v>1.9</v>
      </c>
      <c r="Q148">
        <v>4</v>
      </c>
    </row>
    <row r="149" spans="1:17">
      <c r="A149" t="s">
        <v>1159</v>
      </c>
      <c r="B149">
        <v>0</v>
      </c>
      <c r="C149">
        <v>14</v>
      </c>
      <c r="D149" t="s">
        <v>159</v>
      </c>
      <c r="E149" t="s">
        <v>1185</v>
      </c>
      <c r="F149" t="s">
        <v>1140</v>
      </c>
      <c r="G149" t="s">
        <v>160</v>
      </c>
      <c r="H149" t="s">
        <v>23</v>
      </c>
      <c r="I149">
        <v>92.239000000000004</v>
      </c>
      <c r="J149">
        <v>410000</v>
      </c>
      <c r="K149" t="s">
        <v>164</v>
      </c>
      <c r="L149">
        <v>1</v>
      </c>
      <c r="M149">
        <v>2.8990999999999999E-2</v>
      </c>
      <c r="N149">
        <v>10991.888999999999</v>
      </c>
      <c r="O149">
        <v>8.3239999999999998E-3</v>
      </c>
      <c r="P149">
        <v>1.5</v>
      </c>
      <c r="Q149">
        <v>4</v>
      </c>
    </row>
    <row r="150" spans="1:17">
      <c r="A150" t="s">
        <v>1222</v>
      </c>
      <c r="B150">
        <v>0</v>
      </c>
      <c r="C150">
        <v>14</v>
      </c>
      <c r="D150" t="s">
        <v>159</v>
      </c>
      <c r="E150" t="s">
        <v>1258</v>
      </c>
      <c r="F150" t="s">
        <v>1259</v>
      </c>
      <c r="G150" t="s">
        <v>160</v>
      </c>
      <c r="H150" t="s">
        <v>23</v>
      </c>
      <c r="I150">
        <v>95.751000000000005</v>
      </c>
      <c r="J150">
        <v>5000000</v>
      </c>
      <c r="K150" t="s">
        <v>173</v>
      </c>
      <c r="L150">
        <v>1</v>
      </c>
      <c r="M150">
        <v>3.4674000000000003E-2</v>
      </c>
      <c r="N150">
        <v>166608.06899999999</v>
      </c>
      <c r="O150">
        <v>6.3470000000000002E-3</v>
      </c>
      <c r="P150">
        <v>1.4</v>
      </c>
      <c r="Q150">
        <v>4</v>
      </c>
    </row>
    <row r="151" spans="1:17">
      <c r="A151" t="s">
        <v>1340</v>
      </c>
      <c r="B151">
        <v>0</v>
      </c>
      <c r="C151">
        <v>14</v>
      </c>
      <c r="D151" t="s">
        <v>159</v>
      </c>
      <c r="E151" t="s">
        <v>1446</v>
      </c>
      <c r="F151" t="s">
        <v>1447</v>
      </c>
      <c r="G151" t="s">
        <v>160</v>
      </c>
      <c r="H151" t="s">
        <v>23</v>
      </c>
      <c r="I151">
        <v>95.465999999999994</v>
      </c>
      <c r="J151">
        <v>1400000</v>
      </c>
      <c r="K151" t="s">
        <v>164</v>
      </c>
      <c r="L151">
        <v>1</v>
      </c>
      <c r="M151">
        <v>2.7175999999999999E-2</v>
      </c>
      <c r="N151">
        <v>36459.697</v>
      </c>
      <c r="O151">
        <v>6.6649999999999999E-3</v>
      </c>
      <c r="P151">
        <v>1.7</v>
      </c>
      <c r="Q151">
        <v>4</v>
      </c>
    </row>
    <row r="152" spans="1:17">
      <c r="A152" t="s">
        <v>97</v>
      </c>
      <c r="B152">
        <v>0</v>
      </c>
      <c r="C152">
        <v>14</v>
      </c>
      <c r="D152" t="s">
        <v>159</v>
      </c>
      <c r="E152" t="s">
        <v>162</v>
      </c>
      <c r="F152" t="s">
        <v>163</v>
      </c>
      <c r="G152" t="s">
        <v>160</v>
      </c>
      <c r="H152" t="s">
        <v>23</v>
      </c>
      <c r="I152">
        <v>103.256</v>
      </c>
      <c r="J152">
        <v>6000000</v>
      </c>
      <c r="K152" t="s">
        <v>164</v>
      </c>
      <c r="L152">
        <v>1</v>
      </c>
      <c r="M152">
        <v>2.7272999999999999E-2</v>
      </c>
      <c r="N152">
        <v>169349.12299999999</v>
      </c>
      <c r="O152">
        <v>8.1960000000000002E-3</v>
      </c>
      <c r="P152">
        <v>3</v>
      </c>
      <c r="Q152">
        <v>5</v>
      </c>
    </row>
    <row r="153" spans="1:17">
      <c r="A153" t="s">
        <v>527</v>
      </c>
      <c r="B153">
        <v>0</v>
      </c>
      <c r="C153">
        <v>14</v>
      </c>
      <c r="D153" t="s">
        <v>159</v>
      </c>
      <c r="E153" t="s">
        <v>535</v>
      </c>
      <c r="F153" t="s">
        <v>163</v>
      </c>
      <c r="G153" t="s">
        <v>160</v>
      </c>
      <c r="H153" t="s">
        <v>23</v>
      </c>
      <c r="I153">
        <v>103.598</v>
      </c>
      <c r="J153">
        <v>4000000</v>
      </c>
      <c r="K153" t="s">
        <v>164</v>
      </c>
      <c r="L153">
        <v>1</v>
      </c>
      <c r="M153">
        <v>2.2221000000000001E-2</v>
      </c>
      <c r="N153">
        <v>92178.817999999999</v>
      </c>
      <c r="O153">
        <v>7.2110000000000004E-3</v>
      </c>
      <c r="P153">
        <v>0.8</v>
      </c>
      <c r="Q153">
        <v>3</v>
      </c>
    </row>
    <row r="154" spans="1:17">
      <c r="A154" t="s">
        <v>1224</v>
      </c>
      <c r="B154">
        <v>0</v>
      </c>
      <c r="C154">
        <v>14</v>
      </c>
      <c r="D154" t="s">
        <v>159</v>
      </c>
      <c r="E154" t="s">
        <v>1260</v>
      </c>
      <c r="F154" t="s">
        <v>163</v>
      </c>
      <c r="G154" t="s">
        <v>160</v>
      </c>
      <c r="H154" t="s">
        <v>23</v>
      </c>
      <c r="I154">
        <v>99.72</v>
      </c>
      <c r="J154">
        <v>3100000</v>
      </c>
      <c r="K154" t="s">
        <v>164</v>
      </c>
      <c r="L154">
        <v>1</v>
      </c>
      <c r="M154">
        <v>2.4621000000000001E-2</v>
      </c>
      <c r="N154">
        <v>76226.335999999996</v>
      </c>
      <c r="O154">
        <v>6.9550000000000002E-3</v>
      </c>
      <c r="P154">
        <v>1.6</v>
      </c>
      <c r="Q154">
        <v>4</v>
      </c>
    </row>
    <row r="155" spans="1:17">
      <c r="A155" t="s">
        <v>99</v>
      </c>
      <c r="B155">
        <v>0</v>
      </c>
      <c r="C155">
        <v>14</v>
      </c>
      <c r="D155" t="s">
        <v>159</v>
      </c>
      <c r="E155" t="s">
        <v>195</v>
      </c>
      <c r="F155" t="s">
        <v>196</v>
      </c>
      <c r="G155" t="s">
        <v>160</v>
      </c>
      <c r="H155" t="s">
        <v>23</v>
      </c>
      <c r="I155">
        <v>108.55800000000001</v>
      </c>
      <c r="J155">
        <v>1500000</v>
      </c>
      <c r="K155" t="s">
        <v>173</v>
      </c>
      <c r="L155">
        <v>1</v>
      </c>
      <c r="M155">
        <v>4.3033000000000002E-2</v>
      </c>
      <c r="N155">
        <v>70721.937999999995</v>
      </c>
      <c r="O155">
        <v>3.7100000000000002E-3</v>
      </c>
      <c r="P155">
        <v>1.9</v>
      </c>
      <c r="Q155">
        <v>4</v>
      </c>
    </row>
    <row r="156" spans="1:17">
      <c r="A156" t="s">
        <v>101</v>
      </c>
      <c r="B156">
        <v>0</v>
      </c>
      <c r="C156">
        <v>14</v>
      </c>
      <c r="D156" t="s">
        <v>159</v>
      </c>
      <c r="E156" t="s">
        <v>169</v>
      </c>
      <c r="F156" t="s">
        <v>170</v>
      </c>
      <c r="G156" t="s">
        <v>160</v>
      </c>
      <c r="H156" t="s">
        <v>23</v>
      </c>
      <c r="I156">
        <v>103.41800000000001</v>
      </c>
      <c r="J156">
        <v>1500000</v>
      </c>
      <c r="K156" t="s">
        <v>164</v>
      </c>
      <c r="L156">
        <v>1</v>
      </c>
      <c r="M156">
        <v>2.0393999999999999E-2</v>
      </c>
      <c r="N156">
        <v>31655.507000000001</v>
      </c>
      <c r="O156">
        <v>4.8079999999999998E-3</v>
      </c>
      <c r="P156">
        <v>0.8</v>
      </c>
      <c r="Q156">
        <v>3</v>
      </c>
    </row>
    <row r="157" spans="1:17">
      <c r="A157" t="s">
        <v>103</v>
      </c>
      <c r="B157">
        <v>0</v>
      </c>
      <c r="C157">
        <v>14</v>
      </c>
      <c r="D157" t="s">
        <v>159</v>
      </c>
      <c r="E157" t="s">
        <v>206</v>
      </c>
      <c r="F157" t="s">
        <v>207</v>
      </c>
      <c r="G157" t="s">
        <v>160</v>
      </c>
      <c r="H157" t="s">
        <v>23</v>
      </c>
      <c r="I157">
        <v>102.61499999999999</v>
      </c>
      <c r="J157">
        <v>5000000</v>
      </c>
      <c r="K157" t="s">
        <v>173</v>
      </c>
      <c r="L157">
        <v>1</v>
      </c>
      <c r="M157">
        <v>1.3309E-2</v>
      </c>
      <c r="N157">
        <v>68559.383000000002</v>
      </c>
      <c r="O157">
        <v>6.3480000000000003E-3</v>
      </c>
      <c r="P157">
        <v>1.8</v>
      </c>
      <c r="Q157">
        <v>4</v>
      </c>
    </row>
    <row r="158" spans="1:17">
      <c r="A158" t="s">
        <v>889</v>
      </c>
      <c r="B158">
        <v>0</v>
      </c>
      <c r="C158">
        <v>14</v>
      </c>
      <c r="D158" t="s">
        <v>159</v>
      </c>
      <c r="E158" t="s">
        <v>912</v>
      </c>
      <c r="F158" t="s">
        <v>913</v>
      </c>
      <c r="G158" t="s">
        <v>160</v>
      </c>
      <c r="H158" t="s">
        <v>23</v>
      </c>
      <c r="I158">
        <v>91.305000000000007</v>
      </c>
      <c r="J158">
        <v>3000000</v>
      </c>
      <c r="K158" t="s">
        <v>173</v>
      </c>
      <c r="L158">
        <v>1</v>
      </c>
      <c r="M158">
        <v>0.19508900000000001</v>
      </c>
      <c r="N158">
        <v>575979.125</v>
      </c>
      <c r="O158">
        <v>9.4629999999999992E-3</v>
      </c>
      <c r="P158">
        <v>1.8</v>
      </c>
      <c r="Q158">
        <v>4</v>
      </c>
    </row>
    <row r="159" spans="1:17">
      <c r="A159" t="s">
        <v>1342</v>
      </c>
      <c r="B159">
        <v>0</v>
      </c>
      <c r="C159">
        <v>14</v>
      </c>
      <c r="D159" t="s">
        <v>159</v>
      </c>
      <c r="E159" t="s">
        <v>1448</v>
      </c>
      <c r="F159" t="s">
        <v>1449</v>
      </c>
      <c r="G159" t="s">
        <v>228</v>
      </c>
      <c r="H159" t="s">
        <v>23</v>
      </c>
      <c r="I159">
        <v>56.723999999999997</v>
      </c>
      <c r="J159">
        <v>2000000</v>
      </c>
      <c r="K159" t="s">
        <v>1450</v>
      </c>
      <c r="L159">
        <v>1</v>
      </c>
      <c r="M159">
        <v>7.6335E-2</v>
      </c>
      <c r="N159">
        <v>87011.967000000004</v>
      </c>
      <c r="O159">
        <v>1.9443999999999999E-2</v>
      </c>
      <c r="P159">
        <v>1</v>
      </c>
      <c r="Q159">
        <v>3</v>
      </c>
    </row>
    <row r="160" spans="1:17">
      <c r="A160" t="s">
        <v>1953</v>
      </c>
      <c r="B160">
        <v>0</v>
      </c>
      <c r="C160">
        <v>14</v>
      </c>
      <c r="D160" t="s">
        <v>159</v>
      </c>
      <c r="E160" t="s">
        <v>2012</v>
      </c>
      <c r="F160" t="s">
        <v>2013</v>
      </c>
      <c r="G160" t="s">
        <v>160</v>
      </c>
      <c r="H160" t="s">
        <v>23</v>
      </c>
      <c r="I160">
        <v>100.26</v>
      </c>
      <c r="J160">
        <v>0</v>
      </c>
      <c r="K160" t="s">
        <v>173</v>
      </c>
      <c r="L160">
        <v>1</v>
      </c>
      <c r="M160">
        <v>4.7980000000000002E-3</v>
      </c>
      <c r="N160">
        <v>0</v>
      </c>
      <c r="O160">
        <v>1.255E-3</v>
      </c>
      <c r="P160">
        <v>0.1</v>
      </c>
      <c r="Q160">
        <v>3</v>
      </c>
    </row>
    <row r="161" spans="1:17">
      <c r="A161" t="s">
        <v>1226</v>
      </c>
      <c r="B161">
        <v>0</v>
      </c>
      <c r="C161">
        <v>14</v>
      </c>
      <c r="D161" t="s">
        <v>159</v>
      </c>
      <c r="E161" t="s">
        <v>1261</v>
      </c>
      <c r="F161" t="s">
        <v>168</v>
      </c>
      <c r="G161" t="s">
        <v>160</v>
      </c>
      <c r="H161" t="s">
        <v>23</v>
      </c>
      <c r="I161">
        <v>92.034000000000006</v>
      </c>
      <c r="J161">
        <v>3700000</v>
      </c>
      <c r="K161" t="s">
        <v>164</v>
      </c>
      <c r="L161">
        <v>1</v>
      </c>
      <c r="M161">
        <v>4.8194000000000001E-2</v>
      </c>
      <c r="N161">
        <v>164326.25399999999</v>
      </c>
      <c r="O161">
        <v>9.9869999999999994E-3</v>
      </c>
      <c r="P161">
        <v>0.5</v>
      </c>
      <c r="Q161">
        <v>3</v>
      </c>
    </row>
    <row r="162" spans="1:17">
      <c r="A162" t="s">
        <v>1344</v>
      </c>
      <c r="B162">
        <v>0</v>
      </c>
      <c r="C162">
        <v>14</v>
      </c>
      <c r="D162" t="s">
        <v>159</v>
      </c>
      <c r="E162" t="s">
        <v>1451</v>
      </c>
      <c r="F162" t="s">
        <v>168</v>
      </c>
      <c r="G162" t="s">
        <v>160</v>
      </c>
      <c r="H162" t="s">
        <v>23</v>
      </c>
      <c r="I162">
        <v>96.567999999999998</v>
      </c>
      <c r="J162">
        <v>1000000</v>
      </c>
      <c r="K162" t="s">
        <v>164</v>
      </c>
      <c r="L162">
        <v>1</v>
      </c>
      <c r="M162">
        <v>4.3000999999999998E-2</v>
      </c>
      <c r="N162">
        <v>41525.834000000003</v>
      </c>
      <c r="O162">
        <v>7.2150000000000001E-3</v>
      </c>
      <c r="P162">
        <v>0.5</v>
      </c>
      <c r="Q162">
        <v>3</v>
      </c>
    </row>
    <row r="163" spans="1:17">
      <c r="A163" t="s">
        <v>105</v>
      </c>
      <c r="B163">
        <v>0</v>
      </c>
      <c r="C163">
        <v>14</v>
      </c>
      <c r="D163" t="s">
        <v>159</v>
      </c>
      <c r="E163" t="s">
        <v>167</v>
      </c>
      <c r="F163" t="s">
        <v>168</v>
      </c>
      <c r="G163" t="s">
        <v>160</v>
      </c>
      <c r="H163" t="s">
        <v>23</v>
      </c>
      <c r="I163">
        <v>100.438</v>
      </c>
      <c r="J163">
        <v>1500000</v>
      </c>
      <c r="K163" t="s">
        <v>164</v>
      </c>
      <c r="L163">
        <v>1</v>
      </c>
      <c r="M163">
        <v>2.1031000000000001E-2</v>
      </c>
      <c r="N163">
        <v>31699.041000000001</v>
      </c>
      <c r="O163">
        <v>6.5050000000000004E-3</v>
      </c>
      <c r="P163">
        <v>0.5</v>
      </c>
      <c r="Q163">
        <v>3</v>
      </c>
    </row>
    <row r="164" spans="1:17">
      <c r="A164" t="s">
        <v>1161</v>
      </c>
      <c r="B164">
        <v>0</v>
      </c>
      <c r="C164">
        <v>14</v>
      </c>
      <c r="D164" t="s">
        <v>159</v>
      </c>
      <c r="E164" t="s">
        <v>1187</v>
      </c>
      <c r="F164" t="s">
        <v>168</v>
      </c>
      <c r="G164" t="s">
        <v>160</v>
      </c>
      <c r="H164" t="s">
        <v>23</v>
      </c>
      <c r="I164">
        <v>99.866</v>
      </c>
      <c r="J164">
        <v>3000000</v>
      </c>
      <c r="K164" t="s">
        <v>164</v>
      </c>
      <c r="L164">
        <v>1</v>
      </c>
      <c r="M164">
        <v>2.6098E-2</v>
      </c>
      <c r="N164">
        <v>78250.998000000007</v>
      </c>
      <c r="O164">
        <v>6.2890000000000003E-3</v>
      </c>
      <c r="P164">
        <v>0.8</v>
      </c>
      <c r="Q164">
        <v>3</v>
      </c>
    </row>
    <row r="165" spans="1:17">
      <c r="A165" t="s">
        <v>1346</v>
      </c>
      <c r="B165">
        <v>0</v>
      </c>
      <c r="C165">
        <v>14</v>
      </c>
      <c r="D165" t="s">
        <v>159</v>
      </c>
      <c r="E165" t="s">
        <v>1452</v>
      </c>
      <c r="F165" t="s">
        <v>168</v>
      </c>
      <c r="G165" t="s">
        <v>160</v>
      </c>
      <c r="H165" t="s">
        <v>23</v>
      </c>
      <c r="I165">
        <v>99.933000000000007</v>
      </c>
      <c r="J165">
        <v>263000</v>
      </c>
      <c r="K165" t="s">
        <v>164</v>
      </c>
      <c r="L165">
        <v>1</v>
      </c>
      <c r="M165">
        <v>3.5180999999999997E-2</v>
      </c>
      <c r="N165">
        <v>9249.2749999999996</v>
      </c>
      <c r="O165">
        <v>6.9890000000000004E-3</v>
      </c>
      <c r="P165">
        <v>0.4</v>
      </c>
      <c r="Q165">
        <v>3</v>
      </c>
    </row>
    <row r="166" spans="1:17">
      <c r="A166" t="s">
        <v>107</v>
      </c>
      <c r="B166">
        <v>0</v>
      </c>
      <c r="C166">
        <v>14</v>
      </c>
      <c r="D166" t="s">
        <v>159</v>
      </c>
      <c r="E166" t="s">
        <v>181</v>
      </c>
      <c r="F166" t="s">
        <v>168</v>
      </c>
      <c r="G166" t="s">
        <v>160</v>
      </c>
      <c r="H166" t="s">
        <v>23</v>
      </c>
      <c r="I166">
        <v>100.877</v>
      </c>
      <c r="J166">
        <v>2000000</v>
      </c>
      <c r="K166" t="s">
        <v>164</v>
      </c>
      <c r="L166">
        <v>1</v>
      </c>
      <c r="M166">
        <v>1.2543E-2</v>
      </c>
      <c r="N166">
        <v>25315.543000000001</v>
      </c>
      <c r="O166">
        <v>5.5149999999999999E-3</v>
      </c>
      <c r="P166">
        <v>0.5</v>
      </c>
      <c r="Q166">
        <v>3</v>
      </c>
    </row>
    <row r="167" spans="1:17">
      <c r="A167" t="s">
        <v>109</v>
      </c>
      <c r="B167">
        <v>0</v>
      </c>
      <c r="C167">
        <v>14</v>
      </c>
      <c r="D167" t="s">
        <v>159</v>
      </c>
      <c r="E167" t="s">
        <v>202</v>
      </c>
      <c r="F167" t="s">
        <v>168</v>
      </c>
      <c r="G167" t="s">
        <v>160</v>
      </c>
      <c r="H167" t="s">
        <v>23</v>
      </c>
      <c r="I167">
        <v>100.27</v>
      </c>
      <c r="J167">
        <v>2000000</v>
      </c>
      <c r="K167" t="s">
        <v>164</v>
      </c>
      <c r="L167">
        <v>1</v>
      </c>
      <c r="M167">
        <v>9.7979999999999994E-3</v>
      </c>
      <c r="N167">
        <v>19671.05</v>
      </c>
      <c r="O167">
        <v>5.5970000000000004E-3</v>
      </c>
      <c r="P167">
        <v>0.8</v>
      </c>
      <c r="Q167">
        <v>3</v>
      </c>
    </row>
    <row r="168" spans="1:17">
      <c r="A168" t="s">
        <v>1076</v>
      </c>
      <c r="B168">
        <v>0</v>
      </c>
      <c r="C168">
        <v>14</v>
      </c>
      <c r="D168" t="s">
        <v>159</v>
      </c>
      <c r="E168" t="s">
        <v>1097</v>
      </c>
      <c r="F168" t="s">
        <v>1098</v>
      </c>
      <c r="G168" t="s">
        <v>160</v>
      </c>
      <c r="H168" t="s">
        <v>23</v>
      </c>
      <c r="I168">
        <v>98.013999999999996</v>
      </c>
      <c r="J168">
        <v>3700000</v>
      </c>
      <c r="K168" t="s">
        <v>164</v>
      </c>
      <c r="L168">
        <v>1</v>
      </c>
      <c r="M168">
        <v>4.8476999999999999E-2</v>
      </c>
      <c r="N168">
        <v>176920.94699999999</v>
      </c>
      <c r="O168">
        <v>1.2630000000000001E-2</v>
      </c>
      <c r="P168">
        <v>1.9</v>
      </c>
      <c r="Q168">
        <v>4</v>
      </c>
    </row>
    <row r="169" spans="1:17">
      <c r="A169" t="s">
        <v>1078</v>
      </c>
      <c r="B169">
        <v>0</v>
      </c>
      <c r="C169">
        <v>14</v>
      </c>
      <c r="D169" t="s">
        <v>159</v>
      </c>
      <c r="E169" t="s">
        <v>1099</v>
      </c>
      <c r="F169" t="s">
        <v>1098</v>
      </c>
      <c r="G169" t="s">
        <v>160</v>
      </c>
      <c r="H169" t="s">
        <v>23</v>
      </c>
      <c r="I169">
        <v>97.533000000000001</v>
      </c>
      <c r="J169">
        <v>2500000</v>
      </c>
      <c r="K169" t="s">
        <v>164</v>
      </c>
      <c r="L169">
        <v>1</v>
      </c>
      <c r="M169">
        <v>3.5139999999999998E-2</v>
      </c>
      <c r="N169">
        <v>86132.937000000005</v>
      </c>
      <c r="O169">
        <v>1.0038E-2</v>
      </c>
      <c r="P169">
        <v>1.7</v>
      </c>
      <c r="Q169">
        <v>4</v>
      </c>
    </row>
    <row r="170" spans="1:17">
      <c r="A170" t="s">
        <v>1348</v>
      </c>
      <c r="B170">
        <v>0</v>
      </c>
      <c r="C170">
        <v>14</v>
      </c>
      <c r="D170" t="s">
        <v>159</v>
      </c>
      <c r="E170" t="s">
        <v>1453</v>
      </c>
      <c r="F170" t="s">
        <v>1098</v>
      </c>
      <c r="G170" t="s">
        <v>160</v>
      </c>
      <c r="H170" t="s">
        <v>23</v>
      </c>
      <c r="I170">
        <v>98.097999999999999</v>
      </c>
      <c r="J170">
        <v>1000000</v>
      </c>
      <c r="K170" t="s">
        <v>164</v>
      </c>
      <c r="L170">
        <v>1</v>
      </c>
      <c r="M170">
        <v>4.7849000000000003E-2</v>
      </c>
      <c r="N170">
        <v>47510.254999999997</v>
      </c>
      <c r="O170">
        <v>8.3960000000000007E-3</v>
      </c>
      <c r="P170">
        <v>2</v>
      </c>
      <c r="Q170">
        <v>4</v>
      </c>
    </row>
    <row r="171" spans="1:17">
      <c r="A171" t="s">
        <v>1350</v>
      </c>
      <c r="B171">
        <v>0</v>
      </c>
      <c r="C171">
        <v>14</v>
      </c>
      <c r="D171" t="s">
        <v>159</v>
      </c>
      <c r="E171" t="s">
        <v>1454</v>
      </c>
      <c r="F171" t="s">
        <v>1098</v>
      </c>
      <c r="G171" t="s">
        <v>160</v>
      </c>
      <c r="H171" t="s">
        <v>23</v>
      </c>
      <c r="I171">
        <v>95.869</v>
      </c>
      <c r="J171">
        <v>14200000</v>
      </c>
      <c r="K171" t="s">
        <v>164</v>
      </c>
      <c r="L171">
        <v>1</v>
      </c>
      <c r="M171">
        <v>5.4468000000000003E-2</v>
      </c>
      <c r="N171">
        <v>751556.07499999995</v>
      </c>
      <c r="O171">
        <v>9.6200000000000001E-3</v>
      </c>
      <c r="P171">
        <v>6.8</v>
      </c>
      <c r="Q171">
        <v>9</v>
      </c>
    </row>
    <row r="172" spans="1:17">
      <c r="A172" t="s">
        <v>1163</v>
      </c>
      <c r="B172">
        <v>0</v>
      </c>
      <c r="C172">
        <v>14</v>
      </c>
      <c r="D172" t="s">
        <v>159</v>
      </c>
      <c r="E172" t="s">
        <v>1188</v>
      </c>
      <c r="F172" t="s">
        <v>1098</v>
      </c>
      <c r="G172" t="s">
        <v>160</v>
      </c>
      <c r="H172" t="s">
        <v>23</v>
      </c>
      <c r="I172">
        <v>91.24</v>
      </c>
      <c r="J172">
        <v>3000000</v>
      </c>
      <c r="K172" t="s">
        <v>164</v>
      </c>
      <c r="L172">
        <v>1</v>
      </c>
      <c r="M172">
        <v>3.7350000000000001E-2</v>
      </c>
      <c r="N172">
        <v>102798.12300000001</v>
      </c>
      <c r="O172">
        <v>9.8759999999999994E-3</v>
      </c>
      <c r="P172">
        <v>1.7</v>
      </c>
      <c r="Q172">
        <v>4</v>
      </c>
    </row>
    <row r="173" spans="1:17">
      <c r="A173" t="s">
        <v>1080</v>
      </c>
      <c r="B173">
        <v>0</v>
      </c>
      <c r="C173">
        <v>14</v>
      </c>
      <c r="D173" t="s">
        <v>159</v>
      </c>
      <c r="E173" t="s">
        <v>1100</v>
      </c>
      <c r="F173" t="s">
        <v>1098</v>
      </c>
      <c r="G173" t="s">
        <v>160</v>
      </c>
      <c r="H173" t="s">
        <v>23</v>
      </c>
      <c r="I173">
        <v>98.674999999999997</v>
      </c>
      <c r="J173">
        <v>2350000</v>
      </c>
      <c r="K173" t="s">
        <v>164</v>
      </c>
      <c r="L173">
        <v>1</v>
      </c>
      <c r="M173">
        <v>3.0211999999999999E-2</v>
      </c>
      <c r="N173">
        <v>70185.979000000007</v>
      </c>
      <c r="O173">
        <v>8.2950000000000003E-3</v>
      </c>
      <c r="P173">
        <v>1.9</v>
      </c>
      <c r="Q173">
        <v>4</v>
      </c>
    </row>
    <row r="174" spans="1:17">
      <c r="A174" t="s">
        <v>1352</v>
      </c>
      <c r="B174">
        <v>0</v>
      </c>
      <c r="C174">
        <v>14</v>
      </c>
      <c r="D174" t="s">
        <v>159</v>
      </c>
      <c r="E174" t="s">
        <v>1455</v>
      </c>
      <c r="F174" t="s">
        <v>175</v>
      </c>
      <c r="G174" t="s">
        <v>160</v>
      </c>
      <c r="H174" t="s">
        <v>23</v>
      </c>
      <c r="I174">
        <v>98.465999999999994</v>
      </c>
      <c r="J174">
        <v>1500000</v>
      </c>
      <c r="K174" t="s">
        <v>164</v>
      </c>
      <c r="L174">
        <v>1</v>
      </c>
      <c r="M174">
        <v>3.1913999999999998E-2</v>
      </c>
      <c r="N174">
        <v>47192.553999999996</v>
      </c>
      <c r="O174">
        <v>8.4919999999999995E-3</v>
      </c>
      <c r="P174">
        <v>0.5</v>
      </c>
      <c r="Q174">
        <v>3</v>
      </c>
    </row>
    <row r="175" spans="1:17">
      <c r="A175" t="s">
        <v>111</v>
      </c>
      <c r="B175">
        <v>0</v>
      </c>
      <c r="C175">
        <v>14</v>
      </c>
      <c r="D175" t="s">
        <v>159</v>
      </c>
      <c r="E175" t="s">
        <v>174</v>
      </c>
      <c r="F175" t="s">
        <v>175</v>
      </c>
      <c r="G175" t="s">
        <v>160</v>
      </c>
      <c r="H175" t="s">
        <v>23</v>
      </c>
      <c r="I175">
        <v>101.218</v>
      </c>
      <c r="J175">
        <v>5000000</v>
      </c>
      <c r="K175" t="s">
        <v>164</v>
      </c>
      <c r="L175">
        <v>1</v>
      </c>
      <c r="M175">
        <v>2.1260000000000001E-2</v>
      </c>
      <c r="N175">
        <v>107693.882</v>
      </c>
      <c r="O175">
        <v>7.3839999999999999E-3</v>
      </c>
      <c r="P175">
        <v>2</v>
      </c>
      <c r="Q175">
        <v>4</v>
      </c>
    </row>
    <row r="176" spans="1:17">
      <c r="A176" t="s">
        <v>1354</v>
      </c>
      <c r="B176">
        <v>0</v>
      </c>
      <c r="C176">
        <v>14</v>
      </c>
      <c r="D176" t="s">
        <v>159</v>
      </c>
      <c r="E176" t="s">
        <v>1456</v>
      </c>
      <c r="F176" t="s">
        <v>175</v>
      </c>
      <c r="G176" t="s">
        <v>160</v>
      </c>
      <c r="H176" t="s">
        <v>23</v>
      </c>
      <c r="I176">
        <v>101.083</v>
      </c>
      <c r="J176">
        <v>2000000</v>
      </c>
      <c r="K176" t="s">
        <v>164</v>
      </c>
      <c r="L176">
        <v>1</v>
      </c>
      <c r="M176">
        <v>1.4429000000000001E-2</v>
      </c>
      <c r="N176">
        <v>29185.151999999998</v>
      </c>
      <c r="O176">
        <v>5.7670000000000004E-3</v>
      </c>
      <c r="P176">
        <v>0.6</v>
      </c>
      <c r="Q176">
        <v>3</v>
      </c>
    </row>
    <row r="177" spans="1:17">
      <c r="A177" t="s">
        <v>1955</v>
      </c>
      <c r="B177">
        <v>0</v>
      </c>
      <c r="C177">
        <v>14</v>
      </c>
      <c r="D177" t="s">
        <v>159</v>
      </c>
      <c r="E177" t="s">
        <v>2014</v>
      </c>
      <c r="F177" t="s">
        <v>2015</v>
      </c>
      <c r="G177" t="s">
        <v>160</v>
      </c>
      <c r="H177" t="s">
        <v>23</v>
      </c>
      <c r="I177">
        <v>89.445999999999998</v>
      </c>
      <c r="J177">
        <v>1300000</v>
      </c>
      <c r="K177" t="s">
        <v>164</v>
      </c>
      <c r="L177">
        <v>1</v>
      </c>
      <c r="M177">
        <v>6.9287000000000001E-2</v>
      </c>
      <c r="N177">
        <v>81624.638999999996</v>
      </c>
      <c r="O177">
        <v>1.4770999999999999E-2</v>
      </c>
      <c r="P177">
        <v>2</v>
      </c>
      <c r="Q177">
        <v>4</v>
      </c>
    </row>
    <row r="178" spans="1:17">
      <c r="A178" t="s">
        <v>768</v>
      </c>
      <c r="B178">
        <v>0</v>
      </c>
      <c r="C178">
        <v>14</v>
      </c>
      <c r="D178" t="s">
        <v>159</v>
      </c>
      <c r="E178" t="s">
        <v>769</v>
      </c>
      <c r="F178" t="s">
        <v>218</v>
      </c>
      <c r="G178" t="s">
        <v>160</v>
      </c>
      <c r="H178" t="s">
        <v>23</v>
      </c>
      <c r="I178">
        <v>91.89</v>
      </c>
      <c r="J178">
        <v>5500000</v>
      </c>
      <c r="K178" t="s">
        <v>164</v>
      </c>
      <c r="L178">
        <v>1</v>
      </c>
      <c r="M178">
        <v>2.2839000000000002E-2</v>
      </c>
      <c r="N178">
        <v>115769.034</v>
      </c>
      <c r="O178">
        <v>8.8819999999999993E-3</v>
      </c>
      <c r="P178">
        <v>2.1</v>
      </c>
      <c r="Q178">
        <v>5</v>
      </c>
    </row>
    <row r="179" spans="1:17">
      <c r="A179" t="s">
        <v>1356</v>
      </c>
      <c r="B179">
        <v>0</v>
      </c>
      <c r="C179">
        <v>14</v>
      </c>
      <c r="D179" t="s">
        <v>159</v>
      </c>
      <c r="E179" t="s">
        <v>1457</v>
      </c>
      <c r="F179" t="s">
        <v>1458</v>
      </c>
      <c r="G179" t="s">
        <v>160</v>
      </c>
      <c r="H179" t="s">
        <v>23</v>
      </c>
      <c r="I179">
        <v>101.319</v>
      </c>
      <c r="J179">
        <v>2000000</v>
      </c>
      <c r="K179" t="s">
        <v>173</v>
      </c>
      <c r="L179">
        <v>1</v>
      </c>
      <c r="M179">
        <v>1.5402000000000001E-2</v>
      </c>
      <c r="N179">
        <v>31213.824000000001</v>
      </c>
      <c r="O179">
        <v>2.2650000000000001E-3</v>
      </c>
      <c r="P179">
        <v>0.8</v>
      </c>
      <c r="Q179">
        <v>3</v>
      </c>
    </row>
    <row r="180" spans="1:17">
      <c r="A180" t="s">
        <v>1957</v>
      </c>
      <c r="B180">
        <v>0</v>
      </c>
      <c r="C180">
        <v>14</v>
      </c>
      <c r="D180" t="s">
        <v>159</v>
      </c>
      <c r="E180" t="s">
        <v>2016</v>
      </c>
      <c r="F180" t="s">
        <v>2017</v>
      </c>
      <c r="G180" t="s">
        <v>160</v>
      </c>
      <c r="H180" t="s">
        <v>23</v>
      </c>
      <c r="I180" t="s">
        <v>161</v>
      </c>
      <c r="J180" t="s">
        <v>161</v>
      </c>
      <c r="K180" t="s">
        <v>1186</v>
      </c>
      <c r="L180" t="s">
        <v>161</v>
      </c>
      <c r="M180" t="s">
        <v>161</v>
      </c>
      <c r="N180" t="s">
        <v>161</v>
      </c>
      <c r="O180" t="s">
        <v>161</v>
      </c>
      <c r="P180" t="s">
        <v>161</v>
      </c>
      <c r="Q180" t="s">
        <v>161</v>
      </c>
    </row>
    <row r="181" spans="1:17">
      <c r="A181" t="s">
        <v>770</v>
      </c>
      <c r="B181">
        <v>0</v>
      </c>
      <c r="C181">
        <v>14</v>
      </c>
      <c r="D181" t="s">
        <v>159</v>
      </c>
      <c r="E181" t="s">
        <v>771</v>
      </c>
      <c r="F181" t="s">
        <v>772</v>
      </c>
      <c r="G181" t="s">
        <v>160</v>
      </c>
      <c r="H181" t="s">
        <v>23</v>
      </c>
      <c r="I181">
        <v>99.569000000000003</v>
      </c>
      <c r="J181">
        <v>2500000</v>
      </c>
      <c r="K181" t="s">
        <v>173</v>
      </c>
      <c r="L181">
        <v>1</v>
      </c>
      <c r="M181">
        <v>3.8126E-2</v>
      </c>
      <c r="N181">
        <v>95909.68</v>
      </c>
      <c r="O181">
        <v>5.3189999999999999E-3</v>
      </c>
      <c r="P181">
        <v>1.6</v>
      </c>
      <c r="Q181">
        <v>4</v>
      </c>
    </row>
    <row r="182" spans="1:17">
      <c r="A182" t="s">
        <v>1358</v>
      </c>
      <c r="B182">
        <v>0</v>
      </c>
      <c r="C182">
        <v>14</v>
      </c>
      <c r="D182" t="s">
        <v>159</v>
      </c>
      <c r="E182" t="s">
        <v>1459</v>
      </c>
      <c r="F182" t="s">
        <v>1460</v>
      </c>
      <c r="G182" t="s">
        <v>160</v>
      </c>
      <c r="H182" t="s">
        <v>23</v>
      </c>
      <c r="I182">
        <v>97.671999999999997</v>
      </c>
      <c r="J182">
        <v>500000</v>
      </c>
      <c r="K182" t="s">
        <v>164</v>
      </c>
      <c r="L182">
        <v>1</v>
      </c>
      <c r="M182">
        <v>2.0823999999999999E-2</v>
      </c>
      <c r="N182">
        <v>10189.311</v>
      </c>
      <c r="O182">
        <v>8.8020000000000008E-3</v>
      </c>
      <c r="P182">
        <v>0.7</v>
      </c>
      <c r="Q182">
        <v>3</v>
      </c>
    </row>
    <row r="183" spans="1:17">
      <c r="A183" t="s">
        <v>1360</v>
      </c>
      <c r="B183">
        <v>0</v>
      </c>
      <c r="C183">
        <v>14</v>
      </c>
      <c r="D183" t="s">
        <v>159</v>
      </c>
      <c r="E183" t="s">
        <v>1461</v>
      </c>
      <c r="F183" t="s">
        <v>1460</v>
      </c>
      <c r="G183" t="s">
        <v>160</v>
      </c>
      <c r="H183" t="s">
        <v>23</v>
      </c>
      <c r="I183">
        <v>95.293000000000006</v>
      </c>
      <c r="J183">
        <v>3000000</v>
      </c>
      <c r="K183" t="s">
        <v>164</v>
      </c>
      <c r="L183">
        <v>1</v>
      </c>
      <c r="M183">
        <v>3.3623E-2</v>
      </c>
      <c r="N183">
        <v>96846.906000000003</v>
      </c>
      <c r="O183">
        <v>1.355E-2</v>
      </c>
      <c r="P183">
        <v>1.5</v>
      </c>
      <c r="Q183">
        <v>4</v>
      </c>
    </row>
    <row r="184" spans="1:17">
      <c r="A184" t="s">
        <v>1228</v>
      </c>
      <c r="B184">
        <v>0</v>
      </c>
      <c r="C184">
        <v>14</v>
      </c>
      <c r="D184" t="s">
        <v>159</v>
      </c>
      <c r="E184" t="s">
        <v>1262</v>
      </c>
      <c r="F184" t="s">
        <v>178</v>
      </c>
      <c r="G184" t="s">
        <v>160</v>
      </c>
      <c r="H184" t="s">
        <v>23</v>
      </c>
      <c r="I184">
        <v>99.231999999999999</v>
      </c>
      <c r="J184">
        <v>1800000</v>
      </c>
      <c r="K184" t="s">
        <v>164</v>
      </c>
      <c r="L184">
        <v>1</v>
      </c>
      <c r="M184">
        <v>1.3295E-2</v>
      </c>
      <c r="N184">
        <v>23797.583999999999</v>
      </c>
      <c r="O184">
        <v>6.0350000000000004E-3</v>
      </c>
      <c r="P184">
        <v>1.5</v>
      </c>
      <c r="Q184">
        <v>4</v>
      </c>
    </row>
    <row r="185" spans="1:17">
      <c r="A185" t="s">
        <v>1362</v>
      </c>
      <c r="B185">
        <v>0</v>
      </c>
      <c r="C185">
        <v>14</v>
      </c>
      <c r="D185" t="s">
        <v>159</v>
      </c>
      <c r="E185" t="s">
        <v>1462</v>
      </c>
      <c r="F185" t="s">
        <v>178</v>
      </c>
      <c r="G185" t="s">
        <v>160</v>
      </c>
      <c r="H185" t="s">
        <v>23</v>
      </c>
      <c r="I185">
        <v>81.840999999999994</v>
      </c>
      <c r="J185">
        <v>1000000</v>
      </c>
      <c r="K185" t="s">
        <v>164</v>
      </c>
      <c r="L185">
        <v>1</v>
      </c>
      <c r="M185">
        <v>6.2039999999999998E-2</v>
      </c>
      <c r="N185">
        <v>50832.591999999997</v>
      </c>
      <c r="O185">
        <v>1.4213E-2</v>
      </c>
      <c r="P185">
        <v>0.5</v>
      </c>
      <c r="Q185">
        <v>3</v>
      </c>
    </row>
    <row r="186" spans="1:17">
      <c r="A186" t="s">
        <v>1364</v>
      </c>
      <c r="B186">
        <v>0</v>
      </c>
      <c r="C186">
        <v>14</v>
      </c>
      <c r="D186" t="s">
        <v>159</v>
      </c>
      <c r="E186" t="s">
        <v>1463</v>
      </c>
      <c r="F186" t="s">
        <v>178</v>
      </c>
      <c r="G186" t="s">
        <v>160</v>
      </c>
      <c r="H186" t="s">
        <v>23</v>
      </c>
      <c r="I186">
        <v>85.581999999999994</v>
      </c>
      <c r="J186">
        <v>5500000</v>
      </c>
      <c r="K186" t="s">
        <v>164</v>
      </c>
      <c r="L186">
        <v>1</v>
      </c>
      <c r="M186">
        <v>4.9165E-2</v>
      </c>
      <c r="N186">
        <v>231790.61600000001</v>
      </c>
      <c r="O186">
        <v>9.0240000000000008E-3</v>
      </c>
      <c r="P186">
        <v>0.9</v>
      </c>
      <c r="Q186">
        <v>3</v>
      </c>
    </row>
    <row r="187" spans="1:17">
      <c r="A187" t="s">
        <v>1230</v>
      </c>
      <c r="B187">
        <v>0</v>
      </c>
      <c r="C187">
        <v>14</v>
      </c>
      <c r="D187" t="s">
        <v>159</v>
      </c>
      <c r="E187" t="s">
        <v>1263</v>
      </c>
      <c r="F187" t="s">
        <v>178</v>
      </c>
      <c r="G187" t="s">
        <v>160</v>
      </c>
      <c r="H187" t="s">
        <v>23</v>
      </c>
      <c r="I187">
        <v>99.995000000000005</v>
      </c>
      <c r="J187">
        <v>4000000</v>
      </c>
      <c r="K187" t="s">
        <v>164</v>
      </c>
      <c r="L187">
        <v>1</v>
      </c>
      <c r="M187">
        <v>2.1561E-2</v>
      </c>
      <c r="N187">
        <v>86387.153000000006</v>
      </c>
      <c r="O187">
        <v>8.8970000000000004E-3</v>
      </c>
      <c r="P187">
        <v>1.9</v>
      </c>
      <c r="Q187">
        <v>4</v>
      </c>
    </row>
    <row r="188" spans="1:17">
      <c r="A188" t="s">
        <v>795</v>
      </c>
      <c r="B188">
        <v>0</v>
      </c>
      <c r="C188">
        <v>14</v>
      </c>
      <c r="D188" t="s">
        <v>159</v>
      </c>
      <c r="E188" t="s">
        <v>799</v>
      </c>
      <c r="F188" t="s">
        <v>800</v>
      </c>
      <c r="G188" t="s">
        <v>160</v>
      </c>
      <c r="H188" t="s">
        <v>23</v>
      </c>
      <c r="I188">
        <v>99.176000000000002</v>
      </c>
      <c r="J188">
        <v>5000000</v>
      </c>
      <c r="K188" t="s">
        <v>173</v>
      </c>
      <c r="L188">
        <v>1</v>
      </c>
      <c r="M188">
        <v>2.3139E-2</v>
      </c>
      <c r="N188">
        <v>115182.052</v>
      </c>
      <c r="O188">
        <v>2.7209999999999999E-3</v>
      </c>
      <c r="P188">
        <v>2</v>
      </c>
      <c r="Q188">
        <v>4</v>
      </c>
    </row>
    <row r="189" spans="1:17">
      <c r="A189" t="s">
        <v>113</v>
      </c>
      <c r="B189">
        <v>0</v>
      </c>
      <c r="C189">
        <v>14</v>
      </c>
      <c r="D189" t="s">
        <v>159</v>
      </c>
      <c r="E189" t="s">
        <v>213</v>
      </c>
      <c r="F189" t="s">
        <v>214</v>
      </c>
      <c r="G189" t="s">
        <v>160</v>
      </c>
      <c r="H189" t="s">
        <v>23</v>
      </c>
      <c r="I189">
        <v>99.619</v>
      </c>
      <c r="J189">
        <v>2000000</v>
      </c>
      <c r="K189" t="s">
        <v>164</v>
      </c>
      <c r="L189">
        <v>1</v>
      </c>
      <c r="M189">
        <v>9.9570000000000006E-3</v>
      </c>
      <c r="N189">
        <v>19870.501</v>
      </c>
      <c r="O189">
        <v>4.7219999999999996E-3</v>
      </c>
      <c r="P189">
        <v>1.7</v>
      </c>
      <c r="Q189">
        <v>4</v>
      </c>
    </row>
    <row r="190" spans="1:17">
      <c r="A190" t="s">
        <v>1232</v>
      </c>
      <c r="B190">
        <v>0</v>
      </c>
      <c r="C190">
        <v>14</v>
      </c>
      <c r="D190" t="s">
        <v>159</v>
      </c>
      <c r="E190" t="s">
        <v>1264</v>
      </c>
      <c r="F190" t="s">
        <v>172</v>
      </c>
      <c r="G190" t="s">
        <v>160</v>
      </c>
      <c r="H190" t="s">
        <v>23</v>
      </c>
      <c r="I190">
        <v>97.581000000000003</v>
      </c>
      <c r="J190">
        <v>3000000</v>
      </c>
      <c r="K190" t="s">
        <v>164</v>
      </c>
      <c r="L190">
        <v>1</v>
      </c>
      <c r="M190">
        <v>1.8194999999999999E-2</v>
      </c>
      <c r="N190">
        <v>53381.275000000001</v>
      </c>
      <c r="O190">
        <v>8.9840000000000007E-3</v>
      </c>
      <c r="P190">
        <v>1</v>
      </c>
      <c r="Q190">
        <v>3</v>
      </c>
    </row>
    <row r="191" spans="1:17">
      <c r="A191" t="s">
        <v>1234</v>
      </c>
      <c r="B191">
        <v>0</v>
      </c>
      <c r="C191">
        <v>14</v>
      </c>
      <c r="D191" t="s">
        <v>159</v>
      </c>
      <c r="E191" t="s">
        <v>1265</v>
      </c>
      <c r="F191" t="s">
        <v>172</v>
      </c>
      <c r="G191" t="s">
        <v>160</v>
      </c>
      <c r="H191" t="s">
        <v>23</v>
      </c>
      <c r="I191">
        <v>97.302000000000007</v>
      </c>
      <c r="J191">
        <v>2191000</v>
      </c>
      <c r="K191" t="s">
        <v>164</v>
      </c>
      <c r="L191">
        <v>1</v>
      </c>
      <c r="M191">
        <v>5.0563999999999998E-2</v>
      </c>
      <c r="N191">
        <v>108243.2</v>
      </c>
      <c r="O191">
        <v>1.0819E-2</v>
      </c>
      <c r="P191">
        <v>1.7</v>
      </c>
      <c r="Q191">
        <v>4</v>
      </c>
    </row>
    <row r="192" spans="1:17">
      <c r="A192" t="s">
        <v>529</v>
      </c>
      <c r="B192">
        <v>0</v>
      </c>
      <c r="C192">
        <v>14</v>
      </c>
      <c r="D192" t="s">
        <v>159</v>
      </c>
      <c r="E192" t="s">
        <v>536</v>
      </c>
      <c r="F192" t="s">
        <v>172</v>
      </c>
      <c r="G192" t="s">
        <v>160</v>
      </c>
      <c r="H192" t="s">
        <v>23</v>
      </c>
      <c r="I192">
        <v>99.93</v>
      </c>
      <c r="J192">
        <v>3500000</v>
      </c>
      <c r="K192" t="s">
        <v>164</v>
      </c>
      <c r="L192">
        <v>1</v>
      </c>
      <c r="M192">
        <v>2.7630999999999999E-2</v>
      </c>
      <c r="N192">
        <v>96858.284</v>
      </c>
      <c r="O192">
        <v>9.9310000000000006E-3</v>
      </c>
      <c r="P192">
        <v>1.9</v>
      </c>
      <c r="Q192">
        <v>4</v>
      </c>
    </row>
    <row r="193" spans="1:17">
      <c r="A193" t="s">
        <v>115</v>
      </c>
      <c r="B193">
        <v>0</v>
      </c>
      <c r="C193">
        <v>14</v>
      </c>
      <c r="D193" t="s">
        <v>159</v>
      </c>
      <c r="E193" t="s">
        <v>171</v>
      </c>
      <c r="F193" t="s">
        <v>172</v>
      </c>
      <c r="G193" t="s">
        <v>160</v>
      </c>
      <c r="H193" t="s">
        <v>23</v>
      </c>
      <c r="I193">
        <v>100.82899999999999</v>
      </c>
      <c r="J193">
        <v>4000000</v>
      </c>
      <c r="K193" t="s">
        <v>164</v>
      </c>
      <c r="L193">
        <v>1</v>
      </c>
      <c r="M193">
        <v>2.8334999999999999E-2</v>
      </c>
      <c r="N193">
        <v>114672.73299999999</v>
      </c>
      <c r="O193">
        <v>9.2189999999999998E-3</v>
      </c>
      <c r="P193">
        <v>2.4</v>
      </c>
      <c r="Q193">
        <v>5</v>
      </c>
    </row>
    <row r="194" spans="1:17">
      <c r="A194" t="s">
        <v>1366</v>
      </c>
      <c r="B194">
        <v>0</v>
      </c>
      <c r="C194">
        <v>14</v>
      </c>
      <c r="D194" t="s">
        <v>159</v>
      </c>
      <c r="E194" t="s">
        <v>1464</v>
      </c>
      <c r="F194" t="s">
        <v>172</v>
      </c>
      <c r="G194" t="s">
        <v>160</v>
      </c>
      <c r="H194" t="s">
        <v>23</v>
      </c>
      <c r="I194">
        <v>88.441000000000003</v>
      </c>
      <c r="J194">
        <v>1300000</v>
      </c>
      <c r="K194" t="s">
        <v>164</v>
      </c>
      <c r="L194">
        <v>1</v>
      </c>
      <c r="M194">
        <v>3.1036000000000001E-2</v>
      </c>
      <c r="N194">
        <v>35909.03</v>
      </c>
      <c r="O194">
        <v>2.5384E-2</v>
      </c>
      <c r="P194">
        <v>1.4</v>
      </c>
      <c r="Q194">
        <v>4</v>
      </c>
    </row>
    <row r="195" spans="1:17">
      <c r="A195" t="s">
        <v>261</v>
      </c>
      <c r="B195">
        <v>0</v>
      </c>
      <c r="C195">
        <v>14</v>
      </c>
      <c r="D195" t="s">
        <v>159</v>
      </c>
      <c r="E195" t="s">
        <v>262</v>
      </c>
      <c r="F195" t="s">
        <v>263</v>
      </c>
      <c r="G195" t="s">
        <v>235</v>
      </c>
      <c r="H195" t="s">
        <v>21</v>
      </c>
      <c r="I195">
        <v>71.808000000000007</v>
      </c>
      <c r="J195">
        <v>177200</v>
      </c>
      <c r="K195" t="s">
        <v>236</v>
      </c>
      <c r="L195">
        <v>1</v>
      </c>
      <c r="M195">
        <v>2.9774999999999999E-2</v>
      </c>
      <c r="N195">
        <v>379493.21</v>
      </c>
      <c r="O195">
        <v>1.4549999999999999E-3</v>
      </c>
      <c r="P195">
        <v>0.4</v>
      </c>
      <c r="Q195">
        <v>3</v>
      </c>
    </row>
    <row r="196" spans="1:17">
      <c r="A196" t="s">
        <v>1101</v>
      </c>
      <c r="B196">
        <v>0</v>
      </c>
      <c r="C196">
        <v>14</v>
      </c>
      <c r="D196" t="s">
        <v>159</v>
      </c>
      <c r="E196" t="s">
        <v>1102</v>
      </c>
      <c r="F196" t="s">
        <v>803</v>
      </c>
      <c r="G196" t="s">
        <v>235</v>
      </c>
      <c r="H196" t="s">
        <v>21</v>
      </c>
      <c r="I196">
        <v>196.679</v>
      </c>
      <c r="J196">
        <v>127000</v>
      </c>
      <c r="K196" t="s">
        <v>236</v>
      </c>
      <c r="L196">
        <v>1</v>
      </c>
      <c r="M196">
        <v>2.852E-2</v>
      </c>
      <c r="N196">
        <v>713384.18700000003</v>
      </c>
      <c r="O196">
        <v>1.2099999999999999E-3</v>
      </c>
      <c r="P196">
        <v>0.5</v>
      </c>
      <c r="Q196">
        <v>3</v>
      </c>
    </row>
    <row r="197" spans="1:17">
      <c r="A197" t="s">
        <v>2018</v>
      </c>
      <c r="B197">
        <v>0</v>
      </c>
      <c r="C197">
        <v>14</v>
      </c>
      <c r="D197" t="s">
        <v>159</v>
      </c>
      <c r="E197" t="s">
        <v>2019</v>
      </c>
      <c r="F197" t="s">
        <v>2020</v>
      </c>
      <c r="G197" t="s">
        <v>235</v>
      </c>
      <c r="H197" t="s">
        <v>21</v>
      </c>
      <c r="I197">
        <v>65.099999999999994</v>
      </c>
      <c r="J197">
        <v>50000</v>
      </c>
      <c r="K197" t="s">
        <v>236</v>
      </c>
      <c r="L197">
        <v>1</v>
      </c>
      <c r="M197">
        <v>7.0986999999999995E-2</v>
      </c>
      <c r="N197">
        <v>232041.571</v>
      </c>
      <c r="O197">
        <v>4.0740000000000004E-3</v>
      </c>
      <c r="P197">
        <v>0.3</v>
      </c>
      <c r="Q197">
        <v>3</v>
      </c>
    </row>
    <row r="198" spans="1:17">
      <c r="A198" t="s">
        <v>1058</v>
      </c>
      <c r="B198">
        <v>0</v>
      </c>
      <c r="C198">
        <v>14</v>
      </c>
      <c r="D198" t="s">
        <v>159</v>
      </c>
      <c r="E198" t="s">
        <v>1059</v>
      </c>
      <c r="F198" t="s">
        <v>1060</v>
      </c>
      <c r="G198" t="s">
        <v>235</v>
      </c>
      <c r="H198" t="s">
        <v>21</v>
      </c>
      <c r="I198">
        <v>27.599</v>
      </c>
      <c r="J198">
        <v>110000</v>
      </c>
      <c r="K198" t="s">
        <v>236</v>
      </c>
      <c r="L198">
        <v>1</v>
      </c>
      <c r="M198">
        <v>3.7441000000000002E-2</v>
      </c>
      <c r="N198">
        <v>113980.629</v>
      </c>
      <c r="O198">
        <v>2.1940000000000002E-3</v>
      </c>
      <c r="P198">
        <v>0.7</v>
      </c>
      <c r="Q198">
        <v>3</v>
      </c>
    </row>
    <row r="199" spans="1:17">
      <c r="A199" t="s">
        <v>983</v>
      </c>
      <c r="B199">
        <v>0</v>
      </c>
      <c r="C199">
        <v>14</v>
      </c>
      <c r="D199" t="s">
        <v>159</v>
      </c>
      <c r="E199" t="s">
        <v>984</v>
      </c>
      <c r="F199" t="s">
        <v>985</v>
      </c>
      <c r="G199" t="s">
        <v>235</v>
      </c>
      <c r="H199" t="s">
        <v>21</v>
      </c>
      <c r="I199">
        <v>37.042000000000002</v>
      </c>
      <c r="J199">
        <v>290000</v>
      </c>
      <c r="K199" t="s">
        <v>236</v>
      </c>
      <c r="L199">
        <v>1</v>
      </c>
      <c r="M199">
        <v>3.3168999999999997E-2</v>
      </c>
      <c r="N199">
        <v>357106.11800000002</v>
      </c>
      <c r="O199">
        <v>1.5900000000000001E-3</v>
      </c>
      <c r="P199">
        <v>1.3</v>
      </c>
      <c r="Q199">
        <v>4</v>
      </c>
    </row>
    <row r="200" spans="1:17">
      <c r="A200" t="s">
        <v>232</v>
      </c>
      <c r="B200">
        <v>0</v>
      </c>
      <c r="C200">
        <v>14</v>
      </c>
      <c r="D200" t="s">
        <v>159</v>
      </c>
      <c r="E200" t="s">
        <v>233</v>
      </c>
      <c r="F200" t="s">
        <v>234</v>
      </c>
      <c r="G200" t="s">
        <v>235</v>
      </c>
      <c r="H200" t="s">
        <v>21</v>
      </c>
      <c r="I200">
        <v>62.323999999999998</v>
      </c>
      <c r="J200">
        <v>125000</v>
      </c>
      <c r="K200" t="s">
        <v>236</v>
      </c>
      <c r="L200">
        <v>1</v>
      </c>
      <c r="M200">
        <v>3.2431000000000001E-2</v>
      </c>
      <c r="N200">
        <v>253066.91899999999</v>
      </c>
      <c r="O200">
        <v>1.537E-3</v>
      </c>
      <c r="P200">
        <v>0.4</v>
      </c>
      <c r="Q200">
        <v>3</v>
      </c>
    </row>
    <row r="201" spans="1:17">
      <c r="A201" t="s">
        <v>1465</v>
      </c>
      <c r="B201">
        <v>0</v>
      </c>
      <c r="C201">
        <v>14</v>
      </c>
      <c r="D201" t="s">
        <v>159</v>
      </c>
      <c r="E201" t="s">
        <v>1466</v>
      </c>
      <c r="F201" t="s">
        <v>1467</v>
      </c>
      <c r="G201" t="s">
        <v>235</v>
      </c>
      <c r="H201" t="s">
        <v>21</v>
      </c>
      <c r="I201">
        <v>1.73</v>
      </c>
      <c r="J201">
        <v>3500000</v>
      </c>
      <c r="K201" t="s">
        <v>236</v>
      </c>
      <c r="L201">
        <v>1</v>
      </c>
      <c r="M201">
        <v>3.3730000000000003E-2</v>
      </c>
      <c r="N201">
        <v>204830.073</v>
      </c>
      <c r="O201">
        <v>1.807E-3</v>
      </c>
      <c r="P201">
        <v>0.5</v>
      </c>
      <c r="Q201">
        <v>3</v>
      </c>
    </row>
    <row r="202" spans="1:17">
      <c r="A202" t="s">
        <v>255</v>
      </c>
      <c r="B202">
        <v>0</v>
      </c>
      <c r="C202">
        <v>14</v>
      </c>
      <c r="D202" t="s">
        <v>159</v>
      </c>
      <c r="E202" t="s">
        <v>256</v>
      </c>
      <c r="F202" t="s">
        <v>257</v>
      </c>
      <c r="G202" t="s">
        <v>235</v>
      </c>
      <c r="H202" t="s">
        <v>21</v>
      </c>
      <c r="I202">
        <v>82.597999999999999</v>
      </c>
      <c r="J202">
        <v>55000</v>
      </c>
      <c r="K202" t="s">
        <v>236</v>
      </c>
      <c r="L202">
        <v>1</v>
      </c>
      <c r="M202">
        <v>2.9912000000000001E-2</v>
      </c>
      <c r="N202">
        <v>136181.337</v>
      </c>
      <c r="O202">
        <v>1.647E-3</v>
      </c>
      <c r="P202">
        <v>0.8</v>
      </c>
      <c r="Q202">
        <v>3</v>
      </c>
    </row>
    <row r="203" spans="1:17">
      <c r="A203" t="s">
        <v>249</v>
      </c>
      <c r="B203">
        <v>0</v>
      </c>
      <c r="C203">
        <v>14</v>
      </c>
      <c r="D203" t="s">
        <v>159</v>
      </c>
      <c r="E203" t="s">
        <v>250</v>
      </c>
      <c r="F203" t="s">
        <v>251</v>
      </c>
      <c r="G203" t="s">
        <v>235</v>
      </c>
      <c r="H203" t="s">
        <v>21</v>
      </c>
      <c r="I203">
        <v>16.077999999999999</v>
      </c>
      <c r="J203">
        <v>750000</v>
      </c>
      <c r="K203" t="s">
        <v>236</v>
      </c>
      <c r="L203">
        <v>1</v>
      </c>
      <c r="M203">
        <v>2.5059000000000001E-2</v>
      </c>
      <c r="N203">
        <v>302786.44799999997</v>
      </c>
      <c r="O203">
        <v>1.4109999999999999E-3</v>
      </c>
      <c r="P203">
        <v>5.7</v>
      </c>
      <c r="Q203">
        <v>8</v>
      </c>
    </row>
    <row r="204" spans="1:17">
      <c r="A204" t="s">
        <v>1266</v>
      </c>
      <c r="B204">
        <v>0</v>
      </c>
      <c r="C204">
        <v>14</v>
      </c>
      <c r="D204" t="s">
        <v>159</v>
      </c>
      <c r="E204" t="s">
        <v>1267</v>
      </c>
      <c r="F204" t="s">
        <v>1268</v>
      </c>
      <c r="G204" t="s">
        <v>235</v>
      </c>
      <c r="H204" t="s">
        <v>21</v>
      </c>
      <c r="I204">
        <v>7.9809999999999999</v>
      </c>
      <c r="J204">
        <v>1052500</v>
      </c>
      <c r="K204" t="s">
        <v>236</v>
      </c>
      <c r="L204">
        <v>1</v>
      </c>
      <c r="M204">
        <v>2.1561E-2</v>
      </c>
      <c r="N204">
        <v>181435.356</v>
      </c>
      <c r="O204">
        <v>1.232E-3</v>
      </c>
      <c r="P204">
        <v>10.4</v>
      </c>
      <c r="Q204">
        <v>13</v>
      </c>
    </row>
    <row r="205" spans="1:17">
      <c r="A205" t="s">
        <v>240</v>
      </c>
      <c r="B205">
        <v>0</v>
      </c>
      <c r="C205">
        <v>14</v>
      </c>
      <c r="D205" t="s">
        <v>159</v>
      </c>
      <c r="E205" t="s">
        <v>241</v>
      </c>
      <c r="F205" t="s">
        <v>242</v>
      </c>
      <c r="G205" t="s">
        <v>235</v>
      </c>
      <c r="H205" t="s">
        <v>21</v>
      </c>
      <c r="I205">
        <v>12.375999999999999</v>
      </c>
      <c r="J205">
        <v>957000</v>
      </c>
      <c r="K205" t="s">
        <v>236</v>
      </c>
      <c r="L205">
        <v>1</v>
      </c>
      <c r="M205">
        <v>3.5222999999999997E-2</v>
      </c>
      <c r="N205">
        <v>419002.85499999998</v>
      </c>
      <c r="O205">
        <v>2.0209999999999998E-3</v>
      </c>
      <c r="P205">
        <v>4.4000000000000004</v>
      </c>
      <c r="Q205">
        <v>7</v>
      </c>
    </row>
    <row r="206" spans="1:17">
      <c r="A206" t="s">
        <v>986</v>
      </c>
      <c r="B206">
        <v>0</v>
      </c>
      <c r="C206">
        <v>14</v>
      </c>
      <c r="D206" t="s">
        <v>159</v>
      </c>
      <c r="E206" t="s">
        <v>987</v>
      </c>
      <c r="F206" t="s">
        <v>988</v>
      </c>
      <c r="G206" t="s">
        <v>235</v>
      </c>
      <c r="H206" t="s">
        <v>21</v>
      </c>
      <c r="I206">
        <v>251.761</v>
      </c>
      <c r="J206">
        <v>40000</v>
      </c>
      <c r="K206" t="s">
        <v>236</v>
      </c>
      <c r="L206">
        <v>1</v>
      </c>
      <c r="M206">
        <v>2.035E-2</v>
      </c>
      <c r="N206">
        <v>205215.85699999999</v>
      </c>
      <c r="O206">
        <v>1.077E-3</v>
      </c>
      <c r="P206">
        <v>0.7</v>
      </c>
      <c r="Q206">
        <v>3</v>
      </c>
    </row>
    <row r="207" spans="1:17">
      <c r="A207" t="s">
        <v>258</v>
      </c>
      <c r="B207">
        <v>0</v>
      </c>
      <c r="C207">
        <v>14</v>
      </c>
      <c r="D207" t="s">
        <v>159</v>
      </c>
      <c r="E207" t="s">
        <v>259</v>
      </c>
      <c r="F207" t="s">
        <v>260</v>
      </c>
      <c r="G207" t="s">
        <v>235</v>
      </c>
      <c r="H207" t="s">
        <v>21</v>
      </c>
      <c r="I207">
        <v>5.258</v>
      </c>
      <c r="J207">
        <v>1500000</v>
      </c>
      <c r="K207" t="s">
        <v>236</v>
      </c>
      <c r="L207">
        <v>1</v>
      </c>
      <c r="M207">
        <v>2.2110000000000001E-2</v>
      </c>
      <c r="N207">
        <v>174617.45</v>
      </c>
      <c r="O207">
        <v>1E-3</v>
      </c>
      <c r="P207">
        <v>0.5</v>
      </c>
      <c r="Q207">
        <v>3</v>
      </c>
    </row>
    <row r="208" spans="1:17">
      <c r="A208" t="s">
        <v>1468</v>
      </c>
      <c r="B208">
        <v>0</v>
      </c>
      <c r="C208">
        <v>14</v>
      </c>
      <c r="D208" t="s">
        <v>159</v>
      </c>
      <c r="E208" t="s">
        <v>1469</v>
      </c>
      <c r="F208" t="s">
        <v>2021</v>
      </c>
      <c r="G208" t="s">
        <v>235</v>
      </c>
      <c r="H208" t="s">
        <v>21</v>
      </c>
      <c r="I208">
        <v>13.933</v>
      </c>
      <c r="J208">
        <v>530000</v>
      </c>
      <c r="K208" t="s">
        <v>236</v>
      </c>
      <c r="L208">
        <v>1</v>
      </c>
      <c r="M208">
        <v>1.9488999999999999E-2</v>
      </c>
      <c r="N208">
        <v>144197.31299999999</v>
      </c>
      <c r="O208">
        <v>1.3140000000000001E-3</v>
      </c>
      <c r="P208">
        <v>1</v>
      </c>
      <c r="Q208">
        <v>3</v>
      </c>
    </row>
    <row r="209" spans="1:17">
      <c r="A209" t="s">
        <v>237</v>
      </c>
      <c r="B209">
        <v>0</v>
      </c>
      <c r="C209">
        <v>14</v>
      </c>
      <c r="D209" t="s">
        <v>159</v>
      </c>
      <c r="E209" t="s">
        <v>238</v>
      </c>
      <c r="F209" t="s">
        <v>239</v>
      </c>
      <c r="G209" t="s">
        <v>235</v>
      </c>
      <c r="H209" t="s">
        <v>21</v>
      </c>
      <c r="I209">
        <v>69.409000000000006</v>
      </c>
      <c r="J209">
        <v>92000</v>
      </c>
      <c r="K209" t="s">
        <v>236</v>
      </c>
      <c r="L209">
        <v>1</v>
      </c>
      <c r="M209">
        <v>3.1961999999999997E-2</v>
      </c>
      <c r="N209">
        <v>204586.84</v>
      </c>
      <c r="O209">
        <v>1.82E-3</v>
      </c>
      <c r="P209">
        <v>0.8</v>
      </c>
      <c r="Q209">
        <v>3</v>
      </c>
    </row>
    <row r="210" spans="1:17">
      <c r="A210" t="s">
        <v>1189</v>
      </c>
      <c r="B210">
        <v>0</v>
      </c>
      <c r="C210">
        <v>14</v>
      </c>
      <c r="D210" t="s">
        <v>159</v>
      </c>
      <c r="E210" t="s">
        <v>1190</v>
      </c>
      <c r="F210" t="s">
        <v>1191</v>
      </c>
      <c r="G210" t="s">
        <v>235</v>
      </c>
      <c r="H210" t="s">
        <v>21</v>
      </c>
      <c r="I210">
        <v>103.3</v>
      </c>
      <c r="J210">
        <v>70000</v>
      </c>
      <c r="K210" t="s">
        <v>236</v>
      </c>
      <c r="L210">
        <v>1</v>
      </c>
      <c r="M210">
        <v>2.6790999999999999E-2</v>
      </c>
      <c r="N210">
        <v>194196.155</v>
      </c>
      <c r="O210">
        <v>1.358E-3</v>
      </c>
      <c r="P210">
        <v>0.2</v>
      </c>
      <c r="Q210">
        <v>3</v>
      </c>
    </row>
    <row r="211" spans="1:17">
      <c r="A211" t="s">
        <v>243</v>
      </c>
      <c r="B211">
        <v>0</v>
      </c>
      <c r="C211">
        <v>14</v>
      </c>
      <c r="D211" t="s">
        <v>159</v>
      </c>
      <c r="E211" t="s">
        <v>244</v>
      </c>
      <c r="F211" t="s">
        <v>245</v>
      </c>
      <c r="G211" t="s">
        <v>235</v>
      </c>
      <c r="H211" t="s">
        <v>21</v>
      </c>
      <c r="I211">
        <v>42.838999999999999</v>
      </c>
      <c r="J211">
        <v>331500</v>
      </c>
      <c r="K211" t="s">
        <v>236</v>
      </c>
      <c r="L211">
        <v>1</v>
      </c>
      <c r="M211">
        <v>2.8695999999999999E-2</v>
      </c>
      <c r="N211">
        <v>408821.50300000003</v>
      </c>
      <c r="O211">
        <v>1.5070000000000001E-3</v>
      </c>
      <c r="P211">
        <v>4.2</v>
      </c>
      <c r="Q211">
        <v>7</v>
      </c>
    </row>
    <row r="212" spans="1:17">
      <c r="A212" t="s">
        <v>252</v>
      </c>
      <c r="B212">
        <v>0</v>
      </c>
      <c r="C212">
        <v>14</v>
      </c>
      <c r="D212" t="s">
        <v>159</v>
      </c>
      <c r="E212" t="s">
        <v>253</v>
      </c>
      <c r="F212" t="s">
        <v>254</v>
      </c>
      <c r="G212" t="s">
        <v>235</v>
      </c>
      <c r="H212" t="s">
        <v>21</v>
      </c>
      <c r="I212">
        <v>79.650999999999996</v>
      </c>
      <c r="J212">
        <v>125000</v>
      </c>
      <c r="K212" t="s">
        <v>236</v>
      </c>
      <c r="L212">
        <v>1</v>
      </c>
      <c r="M212">
        <v>2.0555E-2</v>
      </c>
      <c r="N212">
        <v>204851.255</v>
      </c>
      <c r="O212">
        <v>9.59E-4</v>
      </c>
      <c r="P212">
        <v>0.3</v>
      </c>
      <c r="Q212">
        <v>3</v>
      </c>
    </row>
    <row r="213" spans="1:17">
      <c r="A213" t="s">
        <v>246</v>
      </c>
      <c r="B213">
        <v>0</v>
      </c>
      <c r="C213">
        <v>14</v>
      </c>
      <c r="D213" t="s">
        <v>159</v>
      </c>
      <c r="E213" t="s">
        <v>247</v>
      </c>
      <c r="F213" t="s">
        <v>248</v>
      </c>
      <c r="G213" t="s">
        <v>235</v>
      </c>
      <c r="H213" t="s">
        <v>21</v>
      </c>
      <c r="I213">
        <v>51.7</v>
      </c>
      <c r="J213">
        <v>100000</v>
      </c>
      <c r="K213" t="s">
        <v>236</v>
      </c>
      <c r="L213">
        <v>1</v>
      </c>
      <c r="M213">
        <v>3.0074E-2</v>
      </c>
      <c r="N213">
        <v>155863.42300000001</v>
      </c>
      <c r="O213">
        <v>1.7329999999999999E-3</v>
      </c>
      <c r="P213">
        <v>1.6</v>
      </c>
      <c r="Q213">
        <v>4</v>
      </c>
    </row>
    <row r="214" spans="1:17">
      <c r="A214" t="s">
        <v>798</v>
      </c>
      <c r="B214">
        <v>0</v>
      </c>
      <c r="C214">
        <v>14</v>
      </c>
      <c r="D214" t="s">
        <v>159</v>
      </c>
      <c r="E214" t="s">
        <v>801</v>
      </c>
      <c r="F214" t="s">
        <v>802</v>
      </c>
      <c r="G214" t="s">
        <v>235</v>
      </c>
      <c r="H214" t="s">
        <v>21</v>
      </c>
      <c r="I214">
        <v>416.72800000000001</v>
      </c>
      <c r="J214">
        <v>43000</v>
      </c>
      <c r="K214" t="s">
        <v>236</v>
      </c>
      <c r="L214">
        <v>1</v>
      </c>
      <c r="M214">
        <v>2.3987999999999999E-2</v>
      </c>
      <c r="N214">
        <v>430242.29</v>
      </c>
      <c r="O214">
        <v>1.029E-3</v>
      </c>
      <c r="P214">
        <v>0.2</v>
      </c>
      <c r="Q214">
        <v>3</v>
      </c>
    </row>
    <row r="215" spans="1:17">
      <c r="A215" t="s">
        <v>1470</v>
      </c>
      <c r="B215">
        <v>0</v>
      </c>
      <c r="C215">
        <v>14</v>
      </c>
      <c r="D215" t="s">
        <v>159</v>
      </c>
      <c r="E215" t="s">
        <v>1471</v>
      </c>
      <c r="F215" t="s">
        <v>1472</v>
      </c>
      <c r="G215" t="s">
        <v>235</v>
      </c>
      <c r="H215" t="s">
        <v>21</v>
      </c>
      <c r="I215">
        <v>120.544</v>
      </c>
      <c r="J215">
        <v>25000</v>
      </c>
      <c r="K215" t="s">
        <v>236</v>
      </c>
      <c r="L215">
        <v>1</v>
      </c>
      <c r="M215">
        <v>3.9018999999999998E-2</v>
      </c>
      <c r="N215">
        <v>117838.94</v>
      </c>
      <c r="O215">
        <v>2.2399999999999998E-3</v>
      </c>
      <c r="P215">
        <v>0.2</v>
      </c>
      <c r="Q215">
        <v>3</v>
      </c>
    </row>
    <row r="216" spans="1:17">
      <c r="A216" t="s">
        <v>989</v>
      </c>
    </row>
    <row r="217" spans="1:17">
      <c r="A217" t="s">
        <v>2024</v>
      </c>
    </row>
    <row r="218" spans="1:17">
      <c r="A218" t="s">
        <v>773</v>
      </c>
    </row>
  </sheetData>
  <autoFilter ref="A39:Q172" xr:uid="{8211B33E-3CCF-4D74-87E5-FD4E85AB906F}"/>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B3E98-EE72-4756-B839-2E91ED241405}">
  <sheetPr codeName="Sheet6">
    <tabColor theme="5" tint="0.39997558519241921"/>
  </sheetPr>
  <dimension ref="A1:C6"/>
  <sheetViews>
    <sheetView workbookViewId="0">
      <selection activeCell="C33" sqref="C33"/>
    </sheetView>
  </sheetViews>
  <sheetFormatPr defaultRowHeight="14.4"/>
  <cols>
    <col min="1" max="1" width="18.88671875" bestFit="1" customWidth="1"/>
    <col min="2" max="2" width="10.109375" bestFit="1" customWidth="1"/>
  </cols>
  <sheetData>
    <row r="1" spans="1:3">
      <c r="A1" t="s">
        <v>266</v>
      </c>
      <c r="B1" s="164">
        <v>43951</v>
      </c>
    </row>
    <row r="2" spans="1:3">
      <c r="B2" s="8"/>
    </row>
    <row r="3" spans="1:3">
      <c r="B3" t="s">
        <v>268</v>
      </c>
      <c r="C3" t="s">
        <v>264</v>
      </c>
    </row>
    <row r="4" spans="1:3">
      <c r="A4" t="s">
        <v>22</v>
      </c>
      <c r="B4" t="s">
        <v>23</v>
      </c>
      <c r="C4">
        <v>1</v>
      </c>
    </row>
    <row r="5" spans="1:3">
      <c r="A5" t="s">
        <v>20</v>
      </c>
      <c r="B5" t="s">
        <v>265</v>
      </c>
      <c r="C5">
        <f>_xll.BDH(B5&amp;" Curncy",$B$3, $B$1,$B$1)</f>
        <v>7.7519999999999998</v>
      </c>
    </row>
    <row r="6" spans="1:3">
      <c r="A6" t="s">
        <v>18</v>
      </c>
      <c r="B6" t="s">
        <v>267</v>
      </c>
      <c r="C6">
        <f>_xll.BDH(B6&amp;" Curncy",$B$3, $B$1,$B$1)</f>
        <v>0.91310000000000002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B2A8D-3D22-4853-A8E8-5FF778F6BA34}">
  <sheetPr codeName="Sheet7"/>
  <dimension ref="A2:J25"/>
  <sheetViews>
    <sheetView workbookViewId="0">
      <selection activeCell="I17" sqref="I17"/>
    </sheetView>
  </sheetViews>
  <sheetFormatPr defaultRowHeight="14.4"/>
  <cols>
    <col min="1" max="1" width="17.109375" customWidth="1"/>
    <col min="2" max="2" width="25.44140625" customWidth="1"/>
    <col min="3" max="3" width="19.88671875" bestFit="1" customWidth="1"/>
    <col min="4" max="4" width="8.44140625" bestFit="1" customWidth="1"/>
    <col min="9" max="9" width="21" customWidth="1"/>
  </cols>
  <sheetData>
    <row r="2" spans="1:10">
      <c r="A2" t="s">
        <v>269</v>
      </c>
      <c r="E2" t="s">
        <v>278</v>
      </c>
      <c r="I2" t="s">
        <v>288</v>
      </c>
    </row>
    <row r="3" spans="1:10">
      <c r="A3" s="11" t="s">
        <v>235</v>
      </c>
      <c r="B3" s="11" t="s">
        <v>277</v>
      </c>
      <c r="C3" s="11" t="s">
        <v>281</v>
      </c>
      <c r="E3" t="s">
        <v>279</v>
      </c>
      <c r="F3" t="s">
        <v>277</v>
      </c>
    </row>
    <row r="4" spans="1:10">
      <c r="A4">
        <v>3</v>
      </c>
      <c r="I4" t="s">
        <v>272</v>
      </c>
      <c r="J4" t="s">
        <v>289</v>
      </c>
    </row>
    <row r="5" spans="1:10">
      <c r="A5">
        <v>7</v>
      </c>
      <c r="I5" t="s">
        <v>273</v>
      </c>
      <c r="J5" t="s">
        <v>290</v>
      </c>
    </row>
    <row r="6" spans="1:10">
      <c r="A6">
        <v>10</v>
      </c>
      <c r="I6" t="s">
        <v>274</v>
      </c>
      <c r="J6" t="s">
        <v>291</v>
      </c>
    </row>
    <row r="7" spans="1:10">
      <c r="A7" s="11">
        <v>10</v>
      </c>
      <c r="I7" t="s">
        <v>275</v>
      </c>
      <c r="J7" t="s">
        <v>292</v>
      </c>
    </row>
    <row r="8" spans="1:10">
      <c r="A8" s="11" t="s">
        <v>161</v>
      </c>
      <c r="I8" t="s">
        <v>276</v>
      </c>
      <c r="J8" t="s">
        <v>293</v>
      </c>
    </row>
    <row r="12" spans="1:10">
      <c r="A12" t="s">
        <v>301</v>
      </c>
    </row>
    <row r="14" spans="1:10">
      <c r="A14" t="s">
        <v>302</v>
      </c>
      <c r="B14" s="18" t="s">
        <v>457</v>
      </c>
      <c r="C14" t="s">
        <v>308</v>
      </c>
    </row>
    <row r="15" spans="1:10">
      <c r="A15" t="s">
        <v>303</v>
      </c>
      <c r="B15" t="s">
        <v>463</v>
      </c>
      <c r="C15" s="17">
        <v>0.05</v>
      </c>
      <c r="D15" t="s">
        <v>272</v>
      </c>
      <c r="E15">
        <v>4</v>
      </c>
      <c r="F15">
        <f>E15*3</f>
        <v>12</v>
      </c>
    </row>
    <row r="16" spans="1:10">
      <c r="A16" t="s">
        <v>304</v>
      </c>
      <c r="B16" t="s">
        <v>462</v>
      </c>
      <c r="C16" s="17">
        <v>0.1</v>
      </c>
      <c r="D16" t="s">
        <v>273</v>
      </c>
      <c r="E16">
        <v>3</v>
      </c>
      <c r="F16">
        <f t="shared" ref="F16:F18" si="0">E16*3</f>
        <v>9</v>
      </c>
    </row>
    <row r="17" spans="1:6">
      <c r="A17" t="s">
        <v>305</v>
      </c>
      <c r="B17" t="s">
        <v>461</v>
      </c>
      <c r="C17" s="17">
        <v>0.2</v>
      </c>
      <c r="D17" t="s">
        <v>307</v>
      </c>
      <c r="E17">
        <v>2</v>
      </c>
      <c r="F17">
        <f t="shared" si="0"/>
        <v>6</v>
      </c>
    </row>
    <row r="18" spans="1:6">
      <c r="A18" t="s">
        <v>306</v>
      </c>
      <c r="B18" t="s">
        <v>460</v>
      </c>
      <c r="C18" s="18" t="s">
        <v>309</v>
      </c>
      <c r="D18" t="s">
        <v>275</v>
      </c>
      <c r="E18">
        <v>1</v>
      </c>
      <c r="F18">
        <f t="shared" si="0"/>
        <v>3</v>
      </c>
    </row>
    <row r="25" spans="1:6">
      <c r="A25" t="s">
        <v>282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1BE34-801C-47C7-A46E-48C792490E6A}">
  <sheetPr codeName="Sheet8"/>
  <dimension ref="A2:H40"/>
  <sheetViews>
    <sheetView workbookViewId="0">
      <selection activeCell="P6" sqref="P6"/>
    </sheetView>
  </sheetViews>
  <sheetFormatPr defaultRowHeight="14.4"/>
  <sheetData>
    <row r="2" spans="1:8">
      <c r="A2" s="19" t="s">
        <v>325</v>
      </c>
      <c r="B2" s="19" t="s">
        <v>326</v>
      </c>
      <c r="C2" s="19"/>
      <c r="D2" s="19" t="s">
        <v>327</v>
      </c>
      <c r="E2" s="19" t="s">
        <v>326</v>
      </c>
      <c r="F2" s="19"/>
      <c r="G2" s="19" t="s">
        <v>328</v>
      </c>
      <c r="H2" s="19" t="s">
        <v>326</v>
      </c>
    </row>
    <row r="3" spans="1:8">
      <c r="A3" s="19" t="s">
        <v>329</v>
      </c>
      <c r="B3" s="19">
        <v>21</v>
      </c>
      <c r="C3" s="19" t="str">
        <f>A3</f>
        <v>AAA</v>
      </c>
      <c r="D3" s="19" t="s">
        <v>330</v>
      </c>
      <c r="E3" s="19">
        <v>21</v>
      </c>
      <c r="F3" s="19"/>
      <c r="G3" s="19" t="s">
        <v>329</v>
      </c>
      <c r="H3" s="19">
        <v>21</v>
      </c>
    </row>
    <row r="4" spans="1:8">
      <c r="A4" s="19" t="s">
        <v>331</v>
      </c>
      <c r="B4" s="19">
        <v>20</v>
      </c>
      <c r="C4" s="19" t="str">
        <f t="shared" ref="C4:C27" si="0">A4</f>
        <v>AA+</v>
      </c>
      <c r="D4" s="19" t="s">
        <v>332</v>
      </c>
      <c r="E4" s="19">
        <v>20</v>
      </c>
      <c r="F4" s="19"/>
      <c r="G4" s="19" t="s">
        <v>331</v>
      </c>
      <c r="H4" s="19">
        <v>20</v>
      </c>
    </row>
    <row r="5" spans="1:8">
      <c r="A5" s="19" t="s">
        <v>333</v>
      </c>
      <c r="B5" s="19">
        <v>19</v>
      </c>
      <c r="C5" s="19" t="str">
        <f t="shared" si="0"/>
        <v>AA</v>
      </c>
      <c r="D5" s="19" t="s">
        <v>334</v>
      </c>
      <c r="E5" s="19">
        <v>19</v>
      </c>
      <c r="F5" s="19"/>
      <c r="G5" s="19" t="s">
        <v>333</v>
      </c>
      <c r="H5" s="19">
        <v>19</v>
      </c>
    </row>
    <row r="6" spans="1:8">
      <c r="A6" s="19" t="s">
        <v>335</v>
      </c>
      <c r="B6" s="19">
        <v>18</v>
      </c>
      <c r="C6" s="19" t="str">
        <f t="shared" si="0"/>
        <v>AA-</v>
      </c>
      <c r="D6" s="19" t="s">
        <v>336</v>
      </c>
      <c r="E6" s="19">
        <v>18</v>
      </c>
      <c r="F6" s="19"/>
      <c r="G6" s="19" t="s">
        <v>335</v>
      </c>
      <c r="H6" s="19">
        <v>18</v>
      </c>
    </row>
    <row r="7" spans="1:8">
      <c r="A7" s="19" t="s">
        <v>337</v>
      </c>
      <c r="B7" s="19">
        <v>17</v>
      </c>
      <c r="C7" s="19" t="str">
        <f t="shared" si="0"/>
        <v>A+</v>
      </c>
      <c r="D7" s="19" t="s">
        <v>338</v>
      </c>
      <c r="E7" s="19">
        <v>17</v>
      </c>
      <c r="F7" s="19"/>
      <c r="G7" s="19" t="s">
        <v>337</v>
      </c>
      <c r="H7" s="19">
        <v>17</v>
      </c>
    </row>
    <row r="8" spans="1:8">
      <c r="A8" s="19" t="s">
        <v>339</v>
      </c>
      <c r="B8" s="19">
        <v>16</v>
      </c>
      <c r="C8" s="19" t="str">
        <f t="shared" si="0"/>
        <v>A</v>
      </c>
      <c r="D8" s="19" t="s">
        <v>340</v>
      </c>
      <c r="E8" s="19">
        <v>16</v>
      </c>
      <c r="F8" s="19"/>
      <c r="G8" s="19" t="s">
        <v>339</v>
      </c>
      <c r="H8" s="19">
        <v>16</v>
      </c>
    </row>
    <row r="9" spans="1:8">
      <c r="A9" s="19" t="s">
        <v>341</v>
      </c>
      <c r="B9" s="19">
        <v>15</v>
      </c>
      <c r="C9" s="19" t="str">
        <f t="shared" si="0"/>
        <v>A-</v>
      </c>
      <c r="D9" s="19" t="s">
        <v>342</v>
      </c>
      <c r="E9" s="19">
        <v>15</v>
      </c>
      <c r="F9" s="19"/>
      <c r="G9" s="19" t="s">
        <v>341</v>
      </c>
      <c r="H9" s="19">
        <v>15</v>
      </c>
    </row>
    <row r="10" spans="1:8">
      <c r="A10" s="19" t="s">
        <v>343</v>
      </c>
      <c r="B10" s="19">
        <v>14</v>
      </c>
      <c r="C10" s="19" t="str">
        <f t="shared" si="0"/>
        <v>BBB+</v>
      </c>
      <c r="D10" s="19" t="s">
        <v>344</v>
      </c>
      <c r="E10" s="19">
        <v>14</v>
      </c>
      <c r="F10" s="19"/>
      <c r="G10" s="19" t="s">
        <v>343</v>
      </c>
      <c r="H10" s="19">
        <v>14</v>
      </c>
    </row>
    <row r="11" spans="1:8">
      <c r="A11" s="19" t="s">
        <v>345</v>
      </c>
      <c r="B11" s="19">
        <v>13</v>
      </c>
      <c r="C11" s="19" t="str">
        <f t="shared" si="0"/>
        <v>BBB</v>
      </c>
      <c r="D11" s="19" t="s">
        <v>346</v>
      </c>
      <c r="E11" s="19">
        <v>13</v>
      </c>
      <c r="F11" s="19"/>
      <c r="G11" s="19" t="s">
        <v>345</v>
      </c>
      <c r="H11" s="19">
        <v>13</v>
      </c>
    </row>
    <row r="12" spans="1:8">
      <c r="A12" s="19" t="s">
        <v>347</v>
      </c>
      <c r="B12" s="19">
        <v>12</v>
      </c>
      <c r="C12" s="19" t="str">
        <f t="shared" si="0"/>
        <v>BBB-</v>
      </c>
      <c r="D12" s="19" t="s">
        <v>348</v>
      </c>
      <c r="E12" s="19">
        <v>12</v>
      </c>
      <c r="F12" s="19"/>
      <c r="G12" s="19" t="s">
        <v>347</v>
      </c>
      <c r="H12" s="19">
        <v>12</v>
      </c>
    </row>
    <row r="13" spans="1:8">
      <c r="A13" s="19" t="s">
        <v>349</v>
      </c>
      <c r="B13" s="19">
        <v>11</v>
      </c>
      <c r="C13" s="19" t="str">
        <f t="shared" si="0"/>
        <v>BB+</v>
      </c>
      <c r="D13" s="19" t="s">
        <v>350</v>
      </c>
      <c r="E13" s="19">
        <v>11</v>
      </c>
      <c r="F13" s="19"/>
      <c r="G13" s="19" t="s">
        <v>349</v>
      </c>
      <c r="H13" s="19">
        <v>11</v>
      </c>
    </row>
    <row r="14" spans="1:8">
      <c r="A14" s="19" t="s">
        <v>351</v>
      </c>
      <c r="B14" s="19">
        <v>10</v>
      </c>
      <c r="C14" s="19" t="str">
        <f t="shared" si="0"/>
        <v>BB</v>
      </c>
      <c r="D14" s="19" t="s">
        <v>352</v>
      </c>
      <c r="E14" s="19">
        <v>10</v>
      </c>
      <c r="F14" s="19"/>
      <c r="G14" s="19" t="s">
        <v>351</v>
      </c>
      <c r="H14" s="19">
        <v>10</v>
      </c>
    </row>
    <row r="15" spans="1:8">
      <c r="A15" s="19" t="s">
        <v>353</v>
      </c>
      <c r="B15" s="19">
        <v>9</v>
      </c>
      <c r="C15" s="19" t="str">
        <f t="shared" si="0"/>
        <v>BB-</v>
      </c>
      <c r="D15" s="19" t="s">
        <v>354</v>
      </c>
      <c r="E15" s="19">
        <v>9</v>
      </c>
      <c r="F15" s="19"/>
      <c r="G15" s="19" t="s">
        <v>353</v>
      </c>
      <c r="H15" s="19">
        <v>9</v>
      </c>
    </row>
    <row r="16" spans="1:8">
      <c r="A16" s="19" t="s">
        <v>355</v>
      </c>
      <c r="B16" s="19">
        <v>8</v>
      </c>
      <c r="C16" s="19" t="str">
        <f t="shared" si="0"/>
        <v>B+</v>
      </c>
      <c r="D16" s="19" t="s">
        <v>356</v>
      </c>
      <c r="E16" s="19">
        <v>8</v>
      </c>
      <c r="F16" s="19"/>
      <c r="G16" s="19" t="s">
        <v>355</v>
      </c>
      <c r="H16" s="19">
        <v>8</v>
      </c>
    </row>
    <row r="17" spans="1:8">
      <c r="A17" s="19" t="s">
        <v>357</v>
      </c>
      <c r="B17" s="19">
        <v>7</v>
      </c>
      <c r="C17" s="19" t="str">
        <f t="shared" si="0"/>
        <v>B</v>
      </c>
      <c r="D17" s="19" t="s">
        <v>358</v>
      </c>
      <c r="E17" s="19">
        <v>7</v>
      </c>
      <c r="F17" s="19"/>
      <c r="G17" s="19" t="s">
        <v>357</v>
      </c>
      <c r="H17" s="19">
        <v>7</v>
      </c>
    </row>
    <row r="18" spans="1:8">
      <c r="A18" s="19" t="s">
        <v>359</v>
      </c>
      <c r="B18" s="19">
        <v>6</v>
      </c>
      <c r="C18" s="19" t="str">
        <f t="shared" si="0"/>
        <v>B-</v>
      </c>
      <c r="D18" s="19" t="s">
        <v>360</v>
      </c>
      <c r="E18" s="19">
        <v>6</v>
      </c>
      <c r="F18" s="19"/>
      <c r="G18" s="19" t="s">
        <v>359</v>
      </c>
      <c r="H18" s="19">
        <v>6</v>
      </c>
    </row>
    <row r="19" spans="1:8">
      <c r="A19" s="19" t="s">
        <v>361</v>
      </c>
      <c r="B19" s="19">
        <v>5</v>
      </c>
      <c r="C19" s="19" t="str">
        <f t="shared" si="0"/>
        <v>CCC+</v>
      </c>
      <c r="D19" s="19" t="s">
        <v>362</v>
      </c>
      <c r="E19" s="19">
        <v>5</v>
      </c>
      <c r="F19" s="19"/>
      <c r="G19" s="19" t="s">
        <v>361</v>
      </c>
      <c r="H19" s="19">
        <v>5</v>
      </c>
    </row>
    <row r="20" spans="1:8">
      <c r="A20" s="19" t="s">
        <v>363</v>
      </c>
      <c r="B20" s="19">
        <v>4</v>
      </c>
      <c r="C20" s="19" t="str">
        <f t="shared" si="0"/>
        <v>CCC</v>
      </c>
      <c r="D20" s="19" t="s">
        <v>364</v>
      </c>
      <c r="E20" s="19">
        <v>4</v>
      </c>
      <c r="F20" s="19"/>
      <c r="G20" s="19" t="s">
        <v>363</v>
      </c>
      <c r="H20" s="19">
        <v>4</v>
      </c>
    </row>
    <row r="21" spans="1:8">
      <c r="A21" s="19" t="s">
        <v>365</v>
      </c>
      <c r="B21" s="19">
        <v>3</v>
      </c>
      <c r="C21" s="19" t="str">
        <f t="shared" si="0"/>
        <v>CCC-</v>
      </c>
      <c r="D21" s="19" t="s">
        <v>366</v>
      </c>
      <c r="E21" s="19">
        <v>3</v>
      </c>
      <c r="F21" s="19"/>
      <c r="G21" s="19" t="s">
        <v>365</v>
      </c>
      <c r="H21" s="19">
        <v>3</v>
      </c>
    </row>
    <row r="22" spans="1:8">
      <c r="A22" s="19" t="s">
        <v>367</v>
      </c>
      <c r="B22" s="19">
        <v>2</v>
      </c>
      <c r="C22" s="19" t="str">
        <f t="shared" si="0"/>
        <v>CC</v>
      </c>
      <c r="D22" s="19" t="s">
        <v>368</v>
      </c>
      <c r="E22" s="19">
        <v>2</v>
      </c>
      <c r="F22" s="19"/>
      <c r="G22" s="19" t="s">
        <v>367</v>
      </c>
      <c r="H22" s="19">
        <v>2</v>
      </c>
    </row>
    <row r="23" spans="1:8">
      <c r="A23" s="19" t="s">
        <v>369</v>
      </c>
      <c r="B23" s="19">
        <v>1</v>
      </c>
      <c r="C23" s="19" t="str">
        <f t="shared" si="0"/>
        <v>C</v>
      </c>
      <c r="D23" s="19" t="s">
        <v>369</v>
      </c>
      <c r="E23" s="19">
        <v>1</v>
      </c>
      <c r="F23" s="19"/>
      <c r="G23" s="19" t="s">
        <v>369</v>
      </c>
      <c r="H23" s="19">
        <v>1</v>
      </c>
    </row>
    <row r="24" spans="1:8">
      <c r="A24" s="19" t="s">
        <v>371</v>
      </c>
      <c r="B24" s="19">
        <v>0</v>
      </c>
      <c r="C24" s="19" t="str">
        <f t="shared" si="0"/>
        <v>D</v>
      </c>
      <c r="D24" s="19" t="s">
        <v>447</v>
      </c>
      <c r="E24" s="19">
        <v>0</v>
      </c>
      <c r="F24" s="19"/>
      <c r="G24" s="19" t="s">
        <v>371</v>
      </c>
      <c r="H24" s="19">
        <v>0</v>
      </c>
    </row>
    <row r="25" spans="1:8">
      <c r="A25" s="19" t="s">
        <v>370</v>
      </c>
      <c r="B25" s="19">
        <v>0</v>
      </c>
      <c r="C25" s="19" t="str">
        <f t="shared" si="0"/>
        <v>SD</v>
      </c>
      <c r="D25" s="19" t="s">
        <v>767</v>
      </c>
      <c r="E25" s="19">
        <v>11</v>
      </c>
      <c r="F25" s="19"/>
      <c r="G25" s="19" t="s">
        <v>370</v>
      </c>
      <c r="H25" s="19">
        <v>0</v>
      </c>
    </row>
    <row r="26" spans="1:8">
      <c r="A26" s="19" t="s">
        <v>372</v>
      </c>
      <c r="B26" s="19">
        <v>0</v>
      </c>
      <c r="C26" s="19" t="str">
        <f t="shared" si="0"/>
        <v>NR</v>
      </c>
      <c r="D26" s="19" t="s">
        <v>948</v>
      </c>
      <c r="E26" s="19">
        <v>9</v>
      </c>
      <c r="F26" s="19"/>
      <c r="G26" s="19" t="s">
        <v>372</v>
      </c>
      <c r="H26" s="19">
        <v>0</v>
      </c>
    </row>
    <row r="27" spans="1:8">
      <c r="A27" s="19" t="s">
        <v>446</v>
      </c>
      <c r="B27" s="19">
        <v>15</v>
      </c>
      <c r="C27" s="19" t="str">
        <f t="shared" si="0"/>
        <v>A-u</v>
      </c>
      <c r="D27" t="s">
        <v>995</v>
      </c>
      <c r="E27">
        <v>12</v>
      </c>
      <c r="G27" s="19" t="s">
        <v>448</v>
      </c>
      <c r="H27" s="19">
        <v>15</v>
      </c>
    </row>
    <row r="28" spans="1:8">
      <c r="A28" t="s">
        <v>931</v>
      </c>
      <c r="B28">
        <v>9</v>
      </c>
      <c r="D28" t="s">
        <v>996</v>
      </c>
      <c r="E28">
        <v>11</v>
      </c>
      <c r="G28" s="19" t="s">
        <v>446</v>
      </c>
      <c r="H28" s="19">
        <v>15</v>
      </c>
    </row>
    <row r="29" spans="1:8">
      <c r="A29" t="s">
        <v>930</v>
      </c>
      <c r="B29">
        <v>10</v>
      </c>
      <c r="D29" t="s">
        <v>997</v>
      </c>
      <c r="E29">
        <v>9</v>
      </c>
      <c r="G29" t="s">
        <v>449</v>
      </c>
      <c r="H29" s="19">
        <v>8</v>
      </c>
    </row>
    <row r="30" spans="1:8">
      <c r="A30" t="s">
        <v>2026</v>
      </c>
      <c r="B30">
        <v>11</v>
      </c>
      <c r="D30" t="s">
        <v>1283</v>
      </c>
      <c r="E30">
        <v>12</v>
      </c>
      <c r="G30" s="19" t="s">
        <v>450</v>
      </c>
      <c r="H30">
        <v>0</v>
      </c>
    </row>
    <row r="31" spans="1:8">
      <c r="A31" t="s">
        <v>2028</v>
      </c>
      <c r="B31">
        <v>6</v>
      </c>
      <c r="D31" t="s">
        <v>2027</v>
      </c>
      <c r="E31">
        <v>10</v>
      </c>
      <c r="G31" s="19" t="s">
        <v>537</v>
      </c>
      <c r="H31" s="19">
        <v>12</v>
      </c>
    </row>
    <row r="32" spans="1:8">
      <c r="D32" t="s">
        <v>2030</v>
      </c>
      <c r="E32">
        <v>8</v>
      </c>
      <c r="G32" t="s">
        <v>538</v>
      </c>
      <c r="H32" s="19">
        <v>11</v>
      </c>
    </row>
    <row r="33" spans="4:8">
      <c r="D33" t="s">
        <v>2031</v>
      </c>
      <c r="E33">
        <v>7</v>
      </c>
      <c r="G33" t="s">
        <v>539</v>
      </c>
      <c r="H33" s="19">
        <v>21</v>
      </c>
    </row>
    <row r="34" spans="4:8">
      <c r="G34" t="s">
        <v>540</v>
      </c>
      <c r="H34" s="19">
        <v>13</v>
      </c>
    </row>
    <row r="35" spans="4:8">
      <c r="G35" t="s">
        <v>778</v>
      </c>
      <c r="H35" s="19">
        <v>6</v>
      </c>
    </row>
    <row r="36" spans="4:8">
      <c r="G36" t="s">
        <v>930</v>
      </c>
      <c r="H36">
        <v>9</v>
      </c>
    </row>
    <row r="37" spans="4:8">
      <c r="G37" t="s">
        <v>992</v>
      </c>
      <c r="H37" s="19">
        <v>9</v>
      </c>
    </row>
    <row r="38" spans="4:8">
      <c r="G38" t="s">
        <v>1474</v>
      </c>
      <c r="H38">
        <v>9</v>
      </c>
    </row>
    <row r="39" spans="4:8">
      <c r="G39" t="s">
        <v>2025</v>
      </c>
      <c r="H39">
        <v>14</v>
      </c>
    </row>
    <row r="40" spans="4:8">
      <c r="G40" t="s">
        <v>2029</v>
      </c>
      <c r="H40">
        <v>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4199D-0ED9-4D89-A449-991B9BC845F4}">
  <sheetPr codeName="Sheet9"/>
  <dimension ref="A1:H33"/>
  <sheetViews>
    <sheetView tabSelected="1" workbookViewId="0">
      <selection activeCell="K8" sqref="K8"/>
    </sheetView>
  </sheetViews>
  <sheetFormatPr defaultRowHeight="14.4"/>
  <cols>
    <col min="1" max="1" width="13.88671875" bestFit="1" customWidth="1"/>
    <col min="2" max="3" width="22.109375" bestFit="1" customWidth="1"/>
    <col min="6" max="6" width="26.109375" customWidth="1"/>
    <col min="7" max="8" width="26" bestFit="1" customWidth="1"/>
  </cols>
  <sheetData>
    <row r="1" spans="1:8">
      <c r="A1" s="19" t="s">
        <v>373</v>
      </c>
      <c r="B1" s="19" t="s">
        <v>374</v>
      </c>
      <c r="C1" s="19" t="s">
        <v>375</v>
      </c>
      <c r="F1" s="19" t="s">
        <v>407</v>
      </c>
      <c r="G1" s="19" t="s">
        <v>408</v>
      </c>
      <c r="H1" s="19" t="s">
        <v>409</v>
      </c>
    </row>
    <row r="2" spans="1:8">
      <c r="A2" s="19" t="s">
        <v>376</v>
      </c>
      <c r="B2" s="19" t="s">
        <v>377</v>
      </c>
      <c r="C2" s="19" t="s">
        <v>377</v>
      </c>
      <c r="F2" s="21" t="s">
        <v>235</v>
      </c>
      <c r="G2" t="s">
        <v>235</v>
      </c>
      <c r="H2" t="s">
        <v>235</v>
      </c>
    </row>
    <row r="3" spans="1:8">
      <c r="A3" s="19" t="s">
        <v>378</v>
      </c>
      <c r="B3" s="19" t="s">
        <v>379</v>
      </c>
      <c r="C3" s="19" t="s">
        <v>379</v>
      </c>
      <c r="F3" s="21" t="s">
        <v>160</v>
      </c>
      <c r="G3" t="s">
        <v>404</v>
      </c>
      <c r="H3" t="s">
        <v>438</v>
      </c>
    </row>
    <row r="4" spans="1:8">
      <c r="A4" s="19" t="s">
        <v>380</v>
      </c>
      <c r="B4" s="19" t="s">
        <v>381</v>
      </c>
      <c r="C4" s="19" t="s">
        <v>381</v>
      </c>
      <c r="F4" s="21" t="s">
        <v>228</v>
      </c>
      <c r="G4" t="s">
        <v>404</v>
      </c>
      <c r="H4" t="s">
        <v>411</v>
      </c>
    </row>
    <row r="5" spans="1:8">
      <c r="A5" s="19" t="s">
        <v>382</v>
      </c>
      <c r="B5" s="19" t="s">
        <v>383</v>
      </c>
      <c r="C5" s="19" t="s">
        <v>383</v>
      </c>
      <c r="F5" s="21" t="s">
        <v>229</v>
      </c>
      <c r="G5" t="s">
        <v>281</v>
      </c>
      <c r="H5" t="s">
        <v>281</v>
      </c>
    </row>
    <row r="6" spans="1:8">
      <c r="A6" s="19" t="s">
        <v>384</v>
      </c>
      <c r="B6" s="19" t="s">
        <v>385</v>
      </c>
      <c r="C6" s="20" t="s">
        <v>386</v>
      </c>
      <c r="F6" s="21" t="s">
        <v>405</v>
      </c>
      <c r="G6" t="s">
        <v>405</v>
      </c>
      <c r="H6" t="s">
        <v>405</v>
      </c>
    </row>
    <row r="7" spans="1:8">
      <c r="A7" s="19" t="s">
        <v>387</v>
      </c>
      <c r="B7" s="19" t="s">
        <v>388</v>
      </c>
      <c r="C7" s="19" t="s">
        <v>388</v>
      </c>
      <c r="F7" s="21" t="s">
        <v>414</v>
      </c>
      <c r="G7" s="21" t="s">
        <v>414</v>
      </c>
      <c r="H7" s="21" t="s">
        <v>414</v>
      </c>
    </row>
    <row r="8" spans="1:8">
      <c r="A8" s="19" t="s">
        <v>389</v>
      </c>
      <c r="B8" s="19" t="s">
        <v>390</v>
      </c>
      <c r="C8" s="20" t="s">
        <v>391</v>
      </c>
      <c r="F8" s="6" t="s">
        <v>453</v>
      </c>
      <c r="G8" t="s">
        <v>451</v>
      </c>
      <c r="H8" t="s">
        <v>452</v>
      </c>
    </row>
    <row r="9" spans="1:8">
      <c r="A9" s="19" t="s">
        <v>392</v>
      </c>
      <c r="B9" s="19" t="s">
        <v>393</v>
      </c>
      <c r="C9" s="19" t="s">
        <v>394</v>
      </c>
      <c r="F9" s="21" t="s">
        <v>776</v>
      </c>
      <c r="G9" t="s">
        <v>451</v>
      </c>
      <c r="H9" t="s">
        <v>451</v>
      </c>
    </row>
    <row r="10" spans="1:8">
      <c r="A10" s="19" t="s">
        <v>395</v>
      </c>
      <c r="B10" s="19" t="s">
        <v>396</v>
      </c>
      <c r="C10" s="19" t="s">
        <v>396</v>
      </c>
    </row>
    <row r="11" spans="1:8">
      <c r="A11" s="19" t="s">
        <v>397</v>
      </c>
      <c r="B11" s="19" t="s">
        <v>398</v>
      </c>
      <c r="C11" s="20" t="s">
        <v>386</v>
      </c>
    </row>
    <row r="12" spans="1:8">
      <c r="A12" s="19" t="s">
        <v>399</v>
      </c>
      <c r="B12" s="19" t="s">
        <v>400</v>
      </c>
      <c r="C12" s="19" t="s">
        <v>400</v>
      </c>
    </row>
    <row r="13" spans="1:8">
      <c r="A13" s="19" t="s">
        <v>412</v>
      </c>
      <c r="B13" s="19" t="s">
        <v>413</v>
      </c>
      <c r="C13" s="19" t="s">
        <v>413</v>
      </c>
    </row>
    <row r="14" spans="1:8">
      <c r="A14" t="s">
        <v>418</v>
      </c>
      <c r="B14" s="19" t="s">
        <v>424</v>
      </c>
      <c r="C14" s="19" t="s">
        <v>424</v>
      </c>
    </row>
    <row r="15" spans="1:8">
      <c r="A15" t="s">
        <v>419</v>
      </c>
      <c r="B15" s="19" t="s">
        <v>425</v>
      </c>
      <c r="C15" t="s">
        <v>425</v>
      </c>
    </row>
    <row r="16" spans="1:8">
      <c r="A16" t="s">
        <v>420</v>
      </c>
      <c r="B16" s="19" t="s">
        <v>426</v>
      </c>
      <c r="C16" t="s">
        <v>426</v>
      </c>
    </row>
    <row r="17" spans="1:3">
      <c r="A17" t="s">
        <v>421</v>
      </c>
      <c r="B17" s="19" t="s">
        <v>429</v>
      </c>
      <c r="C17" t="s">
        <v>429</v>
      </c>
    </row>
    <row r="18" spans="1:3">
      <c r="A18" t="s">
        <v>422</v>
      </c>
      <c r="B18" s="19" t="s">
        <v>427</v>
      </c>
      <c r="C18" t="s">
        <v>427</v>
      </c>
    </row>
    <row r="19" spans="1:3">
      <c r="A19" t="s">
        <v>423</v>
      </c>
      <c r="B19" s="19" t="s">
        <v>428</v>
      </c>
      <c r="C19" t="s">
        <v>428</v>
      </c>
    </row>
    <row r="20" spans="1:3">
      <c r="A20" t="s">
        <v>541</v>
      </c>
      <c r="B20" s="19" t="s">
        <v>760</v>
      </c>
      <c r="C20" t="s">
        <v>760</v>
      </c>
    </row>
    <row r="21" spans="1:3">
      <c r="A21" t="s">
        <v>542</v>
      </c>
      <c r="B21" s="19" t="s">
        <v>761</v>
      </c>
      <c r="C21" t="s">
        <v>545</v>
      </c>
    </row>
    <row r="22" spans="1:3">
      <c r="A22" t="s">
        <v>543</v>
      </c>
      <c r="B22" s="19" t="s">
        <v>762</v>
      </c>
      <c r="C22" s="19" t="s">
        <v>762</v>
      </c>
    </row>
    <row r="23" spans="1:3">
      <c r="A23" t="s">
        <v>779</v>
      </c>
      <c r="B23" s="19" t="s">
        <v>780</v>
      </c>
      <c r="C23" s="19" t="s">
        <v>780</v>
      </c>
    </row>
    <row r="24" spans="1:3">
      <c r="A24" t="s">
        <v>804</v>
      </c>
      <c r="B24" s="19" t="s">
        <v>805</v>
      </c>
      <c r="C24" t="s">
        <v>546</v>
      </c>
    </row>
    <row r="25" spans="1:3">
      <c r="A25" t="s">
        <v>916</v>
      </c>
      <c r="B25" s="19" t="s">
        <v>915</v>
      </c>
      <c r="C25" t="s">
        <v>386</v>
      </c>
    </row>
    <row r="26" spans="1:3">
      <c r="A26" t="s">
        <v>917</v>
      </c>
      <c r="B26" s="19" t="s">
        <v>918</v>
      </c>
      <c r="C26" s="19" t="s">
        <v>918</v>
      </c>
    </row>
    <row r="27" spans="1:3">
      <c r="A27" t="s">
        <v>949</v>
      </c>
      <c r="B27" s="19" t="s">
        <v>950</v>
      </c>
      <c r="C27" s="19" t="s">
        <v>950</v>
      </c>
    </row>
    <row r="28" spans="1:3">
      <c r="A28" t="s">
        <v>955</v>
      </c>
      <c r="B28" s="19" t="s">
        <v>954</v>
      </c>
      <c r="C28" t="s">
        <v>386</v>
      </c>
    </row>
    <row r="29" spans="1:3">
      <c r="A29" t="s">
        <v>1061</v>
      </c>
      <c r="B29" s="19" t="s">
        <v>1062</v>
      </c>
      <c r="C29" t="s">
        <v>545</v>
      </c>
    </row>
    <row r="30" spans="1:3">
      <c r="A30" t="s">
        <v>1192</v>
      </c>
      <c r="B30" s="19" t="s">
        <v>1193</v>
      </c>
      <c r="C30" t="s">
        <v>545</v>
      </c>
    </row>
    <row r="31" spans="1:3">
      <c r="A31" t="s">
        <v>1477</v>
      </c>
      <c r="B31" t="s">
        <v>1695</v>
      </c>
      <c r="C31" t="s">
        <v>391</v>
      </c>
    </row>
    <row r="32" spans="1:3">
      <c r="A32" t="s">
        <v>1747</v>
      </c>
      <c r="B32" s="19" t="s">
        <v>1748</v>
      </c>
      <c r="C32" t="s">
        <v>386</v>
      </c>
    </row>
    <row r="33" spans="1:3">
      <c r="A33" t="s">
        <v>1746</v>
      </c>
      <c r="B33" s="19" t="s">
        <v>761</v>
      </c>
      <c r="C33" t="s">
        <v>545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F582-3908-4FA4-874F-D1BEAB76034B}">
  <sheetPr codeName="Sheet12"/>
  <dimension ref="A2:R7"/>
  <sheetViews>
    <sheetView topLeftCell="B1" workbookViewId="0">
      <selection activeCell="R6" sqref="R6"/>
    </sheetView>
  </sheetViews>
  <sheetFormatPr defaultRowHeight="14.4"/>
  <cols>
    <col min="1" max="1" width="13" customWidth="1"/>
    <col min="2" max="2" width="15.33203125" bestFit="1" customWidth="1"/>
    <col min="3" max="3" width="17.5546875" customWidth="1"/>
    <col min="4" max="4" width="18.88671875" bestFit="1" customWidth="1"/>
  </cols>
  <sheetData>
    <row r="2" spans="1:18">
      <c r="D2" s="4"/>
    </row>
    <row r="3" spans="1:18">
      <c r="A3" t="s">
        <v>0</v>
      </c>
      <c r="B3" t="s">
        <v>1</v>
      </c>
      <c r="C3" t="s">
        <v>2</v>
      </c>
      <c r="D3" s="5" t="s">
        <v>3</v>
      </c>
      <c r="E3" t="s">
        <v>4</v>
      </c>
      <c r="F3" t="s">
        <v>5</v>
      </c>
      <c r="G3" t="s">
        <v>6</v>
      </c>
      <c r="H3" t="s">
        <v>7</v>
      </c>
      <c r="I3" t="s">
        <v>8</v>
      </c>
      <c r="J3" t="s">
        <v>9</v>
      </c>
      <c r="K3" t="s">
        <v>10</v>
      </c>
      <c r="L3" t="s">
        <v>11</v>
      </c>
      <c r="M3" t="s">
        <v>12</v>
      </c>
      <c r="N3" t="s">
        <v>13</v>
      </c>
      <c r="O3" t="s">
        <v>14</v>
      </c>
      <c r="P3" s="7" t="s">
        <v>969</v>
      </c>
      <c r="Q3" s="248" t="s">
        <v>530</v>
      </c>
      <c r="R3" t="s">
        <v>970</v>
      </c>
    </row>
    <row r="4" spans="1:18">
      <c r="D4" s="5"/>
      <c r="P4" s="6"/>
      <c r="Q4" s="6"/>
    </row>
    <row r="5" spans="1:18">
      <c r="B5" s="172"/>
      <c r="C5" s="172"/>
      <c r="D5" s="173"/>
      <c r="P5" s="6"/>
      <c r="Q5" s="6"/>
    </row>
    <row r="6" spans="1:18">
      <c r="A6" t="s">
        <v>15</v>
      </c>
      <c r="B6" s="172" t="s">
        <v>16</v>
      </c>
      <c r="C6" s="172" t="s">
        <v>17</v>
      </c>
      <c r="D6" s="173" t="s">
        <v>22</v>
      </c>
      <c r="F6" t="s">
        <v>22</v>
      </c>
      <c r="G6" t="s">
        <v>23</v>
      </c>
      <c r="H6">
        <v>24902758.57</v>
      </c>
      <c r="I6">
        <v>1</v>
      </c>
      <c r="J6">
        <v>24902758.57</v>
      </c>
      <c r="K6">
        <v>194933700.71000001</v>
      </c>
      <c r="L6">
        <v>25015.58</v>
      </c>
      <c r="M6">
        <v>0</v>
      </c>
      <c r="N6">
        <v>194958716.28999999</v>
      </c>
      <c r="O6">
        <v>3.8300000000000001E-2</v>
      </c>
      <c r="P6" s="6">
        <v>25116508.519999947</v>
      </c>
      <c r="Q6" s="6">
        <v>-213749.9499999471</v>
      </c>
      <c r="R6" t="s">
        <v>1082</v>
      </c>
    </row>
    <row r="7" spans="1:18">
      <c r="B7" s="172"/>
      <c r="C7" s="172"/>
      <c r="D7" s="17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9FC1D-059D-4D07-8C37-A8D4D720B7A1}">
  <sheetPr codeName="Sheet13"/>
  <dimension ref="A1:I61"/>
  <sheetViews>
    <sheetView workbookViewId="0">
      <selection activeCell="A4" sqref="A4"/>
    </sheetView>
  </sheetViews>
  <sheetFormatPr defaultRowHeight="14.4"/>
  <cols>
    <col min="1" max="1" width="27" bestFit="1" customWidth="1"/>
    <col min="3" max="3" width="20" bestFit="1" customWidth="1"/>
    <col min="5" max="5" width="20.6640625" bestFit="1" customWidth="1"/>
    <col min="7" max="7" width="19.44140625" bestFit="1" customWidth="1"/>
    <col min="9" max="9" width="19" bestFit="1" customWidth="1"/>
  </cols>
  <sheetData>
    <row r="1" spans="1:9" ht="15" thickBot="1"/>
    <row r="2" spans="1:9" ht="15" thickBot="1">
      <c r="A2" s="281" t="s">
        <v>544</v>
      </c>
      <c r="B2" s="282"/>
      <c r="C2" s="282"/>
      <c r="D2" s="282"/>
      <c r="E2" s="282"/>
      <c r="F2" s="282"/>
      <c r="G2" s="282"/>
      <c r="H2" s="282"/>
      <c r="I2" s="283"/>
    </row>
    <row r="3" spans="1:9" ht="15" thickBot="1">
      <c r="A3" s="87"/>
      <c r="B3" s="87"/>
      <c r="C3" s="87"/>
      <c r="D3" s="87"/>
      <c r="E3" s="87"/>
      <c r="F3" s="87"/>
      <c r="G3" s="87"/>
      <c r="H3" s="87"/>
      <c r="I3" s="87"/>
    </row>
    <row r="4" spans="1:9">
      <c r="A4" s="88" t="s">
        <v>545</v>
      </c>
      <c r="B4" s="87"/>
      <c r="C4" s="88" t="s">
        <v>546</v>
      </c>
      <c r="D4" s="87"/>
      <c r="E4" s="88" t="s">
        <v>547</v>
      </c>
      <c r="F4" s="87"/>
      <c r="G4" s="89" t="s">
        <v>548</v>
      </c>
      <c r="H4" s="87"/>
      <c r="I4" s="88" t="s">
        <v>386</v>
      </c>
    </row>
    <row r="5" spans="1:9">
      <c r="A5" s="90" t="s">
        <v>549</v>
      </c>
      <c r="B5" s="87"/>
      <c r="C5" s="90" t="s">
        <v>550</v>
      </c>
      <c r="D5" s="87"/>
      <c r="E5" s="90" t="s">
        <v>551</v>
      </c>
      <c r="F5" s="87"/>
      <c r="G5" s="90" t="s">
        <v>552</v>
      </c>
      <c r="H5" s="87"/>
      <c r="I5" s="90" t="s">
        <v>553</v>
      </c>
    </row>
    <row r="6" spans="1:9">
      <c r="A6" s="90" t="s">
        <v>554</v>
      </c>
      <c r="B6" s="87"/>
      <c r="C6" s="90" t="s">
        <v>555</v>
      </c>
      <c r="D6" s="87"/>
      <c r="E6" s="90" t="s">
        <v>556</v>
      </c>
      <c r="F6" s="87"/>
      <c r="G6" s="90" t="s">
        <v>557</v>
      </c>
      <c r="H6" s="87"/>
      <c r="I6" s="90" t="s">
        <v>558</v>
      </c>
    </row>
    <row r="7" spans="1:9" ht="15" thickBot="1">
      <c r="A7" s="90" t="s">
        <v>559</v>
      </c>
      <c r="B7" s="87"/>
      <c r="C7" s="90" t="s">
        <v>560</v>
      </c>
      <c r="D7" s="87"/>
      <c r="E7" s="91" t="s">
        <v>561</v>
      </c>
      <c r="F7" s="87"/>
      <c r="G7" s="90" t="s">
        <v>562</v>
      </c>
      <c r="H7" s="87"/>
      <c r="I7" s="90" t="s">
        <v>563</v>
      </c>
    </row>
    <row r="8" spans="1:9" ht="15" thickBot="1">
      <c r="A8" s="91" t="s">
        <v>564</v>
      </c>
      <c r="B8" s="87"/>
      <c r="C8" s="90" t="s">
        <v>565</v>
      </c>
      <c r="D8" s="87"/>
      <c r="E8" s="87"/>
      <c r="F8" s="87"/>
      <c r="G8" s="90" t="s">
        <v>566</v>
      </c>
      <c r="H8" s="87"/>
      <c r="I8" s="90" t="s">
        <v>567</v>
      </c>
    </row>
    <row r="9" spans="1:9" ht="15" thickBot="1">
      <c r="A9" s="87"/>
      <c r="B9" s="87"/>
      <c r="C9" s="91" t="s">
        <v>568</v>
      </c>
      <c r="D9" s="87"/>
      <c r="E9" s="88" t="s">
        <v>569</v>
      </c>
      <c r="F9" s="87"/>
      <c r="G9" s="90" t="s">
        <v>570</v>
      </c>
      <c r="H9" s="87"/>
      <c r="I9" s="90" t="s">
        <v>571</v>
      </c>
    </row>
    <row r="10" spans="1:9" ht="15" thickBot="1">
      <c r="A10" s="88" t="s">
        <v>394</v>
      </c>
      <c r="B10" s="87"/>
      <c r="C10" s="87"/>
      <c r="D10" s="87"/>
      <c r="E10" s="90" t="s">
        <v>572</v>
      </c>
      <c r="F10" s="87"/>
      <c r="G10" s="90" t="s">
        <v>573</v>
      </c>
      <c r="H10" s="87"/>
      <c r="I10" s="90" t="s">
        <v>574</v>
      </c>
    </row>
    <row r="11" spans="1:9">
      <c r="A11" s="90" t="s">
        <v>575</v>
      </c>
      <c r="B11" s="87"/>
      <c r="C11" s="88" t="s">
        <v>576</v>
      </c>
      <c r="D11" s="87"/>
      <c r="E11" s="90" t="s">
        <v>577</v>
      </c>
      <c r="F11" s="87"/>
      <c r="G11" s="90" t="s">
        <v>578</v>
      </c>
      <c r="H11" s="87"/>
      <c r="I11" s="90" t="s">
        <v>579</v>
      </c>
    </row>
    <row r="12" spans="1:9">
      <c r="A12" s="90" t="s">
        <v>580</v>
      </c>
      <c r="B12" s="87"/>
      <c r="C12" s="90" t="s">
        <v>581</v>
      </c>
      <c r="D12" s="87"/>
      <c r="E12" s="90" t="s">
        <v>582</v>
      </c>
      <c r="F12" s="87"/>
      <c r="G12" s="90" t="s">
        <v>583</v>
      </c>
      <c r="H12" s="87"/>
      <c r="I12" s="90" t="s">
        <v>584</v>
      </c>
    </row>
    <row r="13" spans="1:9" ht="15" thickBot="1">
      <c r="A13" s="90" t="s">
        <v>585</v>
      </c>
      <c r="B13" s="87"/>
      <c r="C13" s="90" t="s">
        <v>586</v>
      </c>
      <c r="D13" s="87"/>
      <c r="E13" s="90" t="s">
        <v>587</v>
      </c>
      <c r="F13" s="87"/>
      <c r="G13" s="90" t="s">
        <v>588</v>
      </c>
      <c r="H13" s="87"/>
      <c r="I13" s="91" t="s">
        <v>589</v>
      </c>
    </row>
    <row r="14" spans="1:9" ht="15" thickBot="1">
      <c r="A14" s="90" t="s">
        <v>590</v>
      </c>
      <c r="B14" s="87"/>
      <c r="C14" s="90" t="s">
        <v>591</v>
      </c>
      <c r="D14" s="87"/>
      <c r="E14" s="90" t="s">
        <v>592</v>
      </c>
      <c r="F14" s="87"/>
      <c r="G14" s="90" t="s">
        <v>593</v>
      </c>
      <c r="H14" s="87"/>
      <c r="I14" s="87"/>
    </row>
    <row r="15" spans="1:9">
      <c r="A15" s="90" t="s">
        <v>594</v>
      </c>
      <c r="B15" s="87"/>
      <c r="C15" s="90" t="s">
        <v>595</v>
      </c>
      <c r="D15" s="87"/>
      <c r="E15" s="90" t="s">
        <v>596</v>
      </c>
      <c r="F15" s="87"/>
      <c r="G15" s="90" t="s">
        <v>597</v>
      </c>
      <c r="H15" s="87"/>
      <c r="I15" s="88" t="s">
        <v>598</v>
      </c>
    </row>
    <row r="16" spans="1:9">
      <c r="A16" s="90" t="s">
        <v>599</v>
      </c>
      <c r="B16" s="87"/>
      <c r="C16" s="90" t="s">
        <v>600</v>
      </c>
      <c r="D16" s="87"/>
      <c r="E16" s="90" t="s">
        <v>601</v>
      </c>
      <c r="F16" s="87"/>
      <c r="G16" s="90" t="s">
        <v>602</v>
      </c>
      <c r="H16" s="87"/>
      <c r="I16" s="90" t="s">
        <v>603</v>
      </c>
    </row>
    <row r="17" spans="1:9" ht="15" thickBot="1">
      <c r="A17" s="90" t="s">
        <v>604</v>
      </c>
      <c r="B17" s="87"/>
      <c r="C17" s="90" t="s">
        <v>605</v>
      </c>
      <c r="D17" s="87"/>
      <c r="E17" s="91" t="s">
        <v>606</v>
      </c>
      <c r="F17" s="87"/>
      <c r="G17" s="90" t="s">
        <v>607</v>
      </c>
      <c r="H17" s="87"/>
      <c r="I17" s="90" t="s">
        <v>608</v>
      </c>
    </row>
    <row r="18" spans="1:9">
      <c r="A18" s="90" t="s">
        <v>609</v>
      </c>
      <c r="B18" s="87"/>
      <c r="C18" s="90" t="s">
        <v>610</v>
      </c>
      <c r="D18" s="87"/>
      <c r="E18" s="87"/>
      <c r="F18" s="87"/>
      <c r="G18" s="90" t="s">
        <v>611</v>
      </c>
      <c r="H18" s="87"/>
      <c r="I18" s="90" t="s">
        <v>612</v>
      </c>
    </row>
    <row r="19" spans="1:9" ht="15" thickBot="1">
      <c r="A19" s="91" t="s">
        <v>613</v>
      </c>
      <c r="B19" s="87"/>
      <c r="C19" s="90" t="s">
        <v>614</v>
      </c>
      <c r="D19" s="87"/>
      <c r="E19" s="87"/>
      <c r="F19" s="87"/>
      <c r="G19" s="90" t="s">
        <v>615</v>
      </c>
      <c r="H19" s="87"/>
      <c r="I19" s="91" t="s">
        <v>616</v>
      </c>
    </row>
    <row r="20" spans="1:9" ht="15" thickBot="1">
      <c r="A20" s="87"/>
      <c r="B20" s="87"/>
      <c r="C20" s="90" t="s">
        <v>617</v>
      </c>
      <c r="D20" s="87"/>
      <c r="E20" s="87"/>
      <c r="F20" s="87"/>
      <c r="G20" s="90" t="s">
        <v>618</v>
      </c>
      <c r="H20" s="87"/>
      <c r="I20" s="87"/>
    </row>
    <row r="21" spans="1:9">
      <c r="A21" s="88" t="s">
        <v>619</v>
      </c>
      <c r="B21" s="87"/>
      <c r="C21" s="90" t="s">
        <v>620</v>
      </c>
      <c r="D21" s="87"/>
      <c r="E21" s="87"/>
      <c r="F21" s="87"/>
      <c r="G21" s="90" t="s">
        <v>621</v>
      </c>
      <c r="H21" s="87"/>
      <c r="I21" s="88" t="s">
        <v>391</v>
      </c>
    </row>
    <row r="22" spans="1:9">
      <c r="A22" s="90" t="s">
        <v>622</v>
      </c>
      <c r="B22" s="87"/>
      <c r="C22" s="90" t="s">
        <v>623</v>
      </c>
      <c r="D22" s="87"/>
      <c r="E22" s="87"/>
      <c r="F22" s="87"/>
      <c r="G22" s="90" t="s">
        <v>624</v>
      </c>
      <c r="H22" s="87"/>
      <c r="I22" s="90" t="s">
        <v>625</v>
      </c>
    </row>
    <row r="23" spans="1:9">
      <c r="A23" s="90" t="s">
        <v>626</v>
      </c>
      <c r="B23" s="87"/>
      <c r="C23" s="90" t="s">
        <v>627</v>
      </c>
      <c r="D23" s="87"/>
      <c r="E23" s="87"/>
      <c r="F23" s="87"/>
      <c r="G23" s="90" t="s">
        <v>628</v>
      </c>
      <c r="H23" s="87"/>
      <c r="I23" s="90" t="s">
        <v>629</v>
      </c>
    </row>
    <row r="24" spans="1:9" ht="15" thickBot="1">
      <c r="A24" s="90" t="s">
        <v>630</v>
      </c>
      <c r="B24" s="87"/>
      <c r="C24" s="91" t="s">
        <v>631</v>
      </c>
      <c r="D24" s="87"/>
      <c r="E24" s="87"/>
      <c r="F24" s="87"/>
      <c r="G24" s="90" t="s">
        <v>632</v>
      </c>
      <c r="H24" s="87"/>
      <c r="I24" s="90" t="s">
        <v>633</v>
      </c>
    </row>
    <row r="25" spans="1:9" ht="15" thickBot="1">
      <c r="A25" s="90" t="s">
        <v>634</v>
      </c>
      <c r="B25" s="87"/>
      <c r="C25" s="87"/>
      <c r="D25" s="87"/>
      <c r="E25" s="87"/>
      <c r="F25" s="87"/>
      <c r="G25" s="90" t="s">
        <v>635</v>
      </c>
      <c r="H25" s="87"/>
      <c r="I25" s="90" t="s">
        <v>636</v>
      </c>
    </row>
    <row r="26" spans="1:9">
      <c r="A26" s="90" t="s">
        <v>637</v>
      </c>
      <c r="B26" s="87"/>
      <c r="C26" s="88" t="s">
        <v>638</v>
      </c>
      <c r="D26" s="87"/>
      <c r="E26" s="87"/>
      <c r="F26" s="87"/>
      <c r="G26" s="90" t="s">
        <v>639</v>
      </c>
      <c r="H26" s="87"/>
      <c r="I26" s="90" t="s">
        <v>640</v>
      </c>
    </row>
    <row r="27" spans="1:9">
      <c r="A27" s="90" t="s">
        <v>641</v>
      </c>
      <c r="B27" s="87"/>
      <c r="C27" s="90" t="s">
        <v>642</v>
      </c>
      <c r="D27" s="87"/>
      <c r="E27" s="87"/>
      <c r="F27" s="87"/>
      <c r="G27" s="90" t="s">
        <v>643</v>
      </c>
      <c r="H27" s="87"/>
      <c r="I27" s="90" t="s">
        <v>644</v>
      </c>
    </row>
    <row r="28" spans="1:9">
      <c r="A28" s="90" t="s">
        <v>645</v>
      </c>
      <c r="B28" s="87"/>
      <c r="C28" s="90" t="s">
        <v>646</v>
      </c>
      <c r="D28" s="87"/>
      <c r="E28" s="87"/>
      <c r="F28" s="87"/>
      <c r="G28" s="90" t="s">
        <v>647</v>
      </c>
      <c r="H28" s="87"/>
      <c r="I28" s="90" t="s">
        <v>648</v>
      </c>
    </row>
    <row r="29" spans="1:9">
      <c r="A29" s="90" t="s">
        <v>649</v>
      </c>
      <c r="B29" s="87"/>
      <c r="C29" s="90" t="s">
        <v>650</v>
      </c>
      <c r="D29" s="87"/>
      <c r="E29" s="87"/>
      <c r="F29" s="87"/>
      <c r="G29" s="90" t="s">
        <v>651</v>
      </c>
      <c r="H29" s="87"/>
      <c r="I29" s="90" t="s">
        <v>652</v>
      </c>
    </row>
    <row r="30" spans="1:9">
      <c r="A30" s="90" t="s">
        <v>653</v>
      </c>
      <c r="B30" s="87"/>
      <c r="C30" s="90" t="s">
        <v>654</v>
      </c>
      <c r="D30" s="87"/>
      <c r="E30" s="87"/>
      <c r="F30" s="87"/>
      <c r="G30" s="90" t="s">
        <v>655</v>
      </c>
      <c r="H30" s="87"/>
      <c r="I30" s="90" t="s">
        <v>656</v>
      </c>
    </row>
    <row r="31" spans="1:9">
      <c r="A31" s="90" t="s">
        <v>657</v>
      </c>
      <c r="B31" s="87"/>
      <c r="C31" s="90" t="s">
        <v>658</v>
      </c>
      <c r="D31" s="87"/>
      <c r="E31" s="87"/>
      <c r="F31" s="87"/>
      <c r="G31" s="90" t="s">
        <v>659</v>
      </c>
      <c r="H31" s="87"/>
      <c r="I31" s="90" t="s">
        <v>660</v>
      </c>
    </row>
    <row r="32" spans="1:9">
      <c r="A32" s="90" t="s">
        <v>661</v>
      </c>
      <c r="B32" s="87"/>
      <c r="C32" s="90" t="s">
        <v>662</v>
      </c>
      <c r="D32" s="87"/>
      <c r="E32" s="87"/>
      <c r="F32" s="87"/>
      <c r="G32" s="90" t="s">
        <v>663</v>
      </c>
      <c r="H32" s="87"/>
      <c r="I32" s="90" t="s">
        <v>664</v>
      </c>
    </row>
    <row r="33" spans="1:9">
      <c r="A33" s="90" t="s">
        <v>665</v>
      </c>
      <c r="B33" s="87"/>
      <c r="C33" s="90" t="s">
        <v>666</v>
      </c>
      <c r="D33" s="87"/>
      <c r="E33" s="87"/>
      <c r="F33" s="87"/>
      <c r="G33" s="90" t="s">
        <v>667</v>
      </c>
      <c r="H33" s="87"/>
      <c r="I33" s="90" t="s">
        <v>668</v>
      </c>
    </row>
    <row r="34" spans="1:9">
      <c r="A34" s="90" t="s">
        <v>669</v>
      </c>
      <c r="B34" s="87"/>
      <c r="C34" s="90" t="s">
        <v>670</v>
      </c>
      <c r="D34" s="87"/>
      <c r="E34" s="87"/>
      <c r="F34" s="87"/>
      <c r="G34" s="90" t="s">
        <v>671</v>
      </c>
      <c r="H34" s="87"/>
      <c r="I34" s="90" t="s">
        <v>672</v>
      </c>
    </row>
    <row r="35" spans="1:9">
      <c r="A35" s="90" t="s">
        <v>673</v>
      </c>
      <c r="B35" s="87"/>
      <c r="C35" s="90" t="s">
        <v>674</v>
      </c>
      <c r="D35" s="87"/>
      <c r="E35" s="87"/>
      <c r="F35" s="87"/>
      <c r="G35" s="90" t="s">
        <v>675</v>
      </c>
      <c r="H35" s="87"/>
      <c r="I35" s="90" t="s">
        <v>676</v>
      </c>
    </row>
    <row r="36" spans="1:9">
      <c r="A36" s="90" t="s">
        <v>677</v>
      </c>
      <c r="B36" s="87"/>
      <c r="C36" s="90" t="s">
        <v>678</v>
      </c>
      <c r="D36" s="87"/>
      <c r="E36" s="87"/>
      <c r="F36" s="87"/>
      <c r="G36" s="90" t="s">
        <v>679</v>
      </c>
      <c r="H36" s="87"/>
      <c r="I36" s="90" t="s">
        <v>680</v>
      </c>
    </row>
    <row r="37" spans="1:9">
      <c r="A37" s="90" t="s">
        <v>681</v>
      </c>
      <c r="B37" s="87"/>
      <c r="C37" s="90" t="s">
        <v>682</v>
      </c>
      <c r="D37" s="87"/>
      <c r="E37" s="87"/>
      <c r="F37" s="87"/>
      <c r="G37" s="90" t="s">
        <v>683</v>
      </c>
      <c r="H37" s="87"/>
      <c r="I37" s="90" t="s">
        <v>684</v>
      </c>
    </row>
    <row r="38" spans="1:9">
      <c r="A38" s="90" t="s">
        <v>685</v>
      </c>
      <c r="B38" s="87"/>
      <c r="C38" s="90" t="s">
        <v>686</v>
      </c>
      <c r="D38" s="87"/>
      <c r="E38" s="87"/>
      <c r="F38" s="87"/>
      <c r="G38" s="90" t="s">
        <v>687</v>
      </c>
      <c r="H38" s="87"/>
      <c r="I38" s="90" t="s">
        <v>688</v>
      </c>
    </row>
    <row r="39" spans="1:9">
      <c r="A39" s="90" t="s">
        <v>689</v>
      </c>
      <c r="B39" s="87"/>
      <c r="C39" s="90" t="s">
        <v>690</v>
      </c>
      <c r="D39" s="87"/>
      <c r="E39" s="87"/>
      <c r="F39" s="87"/>
      <c r="G39" s="90" t="s">
        <v>691</v>
      </c>
      <c r="H39" s="87"/>
      <c r="I39" s="90" t="s">
        <v>692</v>
      </c>
    </row>
    <row r="40" spans="1:9">
      <c r="A40" s="90" t="s">
        <v>693</v>
      </c>
      <c r="B40" s="87"/>
      <c r="C40" s="90" t="s">
        <v>694</v>
      </c>
      <c r="D40" s="87"/>
      <c r="E40" s="87"/>
      <c r="F40" s="87"/>
      <c r="G40" s="90" t="s">
        <v>695</v>
      </c>
      <c r="H40" s="87"/>
      <c r="I40" s="90" t="s">
        <v>696</v>
      </c>
    </row>
    <row r="41" spans="1:9">
      <c r="A41" s="90" t="s">
        <v>697</v>
      </c>
      <c r="B41" s="87"/>
      <c r="C41" s="90" t="s">
        <v>698</v>
      </c>
      <c r="D41" s="87"/>
      <c r="E41" s="87"/>
      <c r="F41" s="87"/>
      <c r="G41" s="90" t="s">
        <v>699</v>
      </c>
      <c r="H41" s="87"/>
      <c r="I41" s="90" t="s">
        <v>700</v>
      </c>
    </row>
    <row r="42" spans="1:9">
      <c r="A42" s="90" t="s">
        <v>701</v>
      </c>
      <c r="B42" s="87"/>
      <c r="C42" s="90" t="s">
        <v>702</v>
      </c>
      <c r="D42" s="87"/>
      <c r="E42" s="87"/>
      <c r="F42" s="87"/>
      <c r="G42" s="90" t="s">
        <v>703</v>
      </c>
      <c r="H42" s="87"/>
      <c r="I42" s="90" t="s">
        <v>704</v>
      </c>
    </row>
    <row r="43" spans="1:9" ht="15" thickBot="1">
      <c r="A43" s="90" t="s">
        <v>705</v>
      </c>
      <c r="B43" s="87"/>
      <c r="C43" s="91" t="s">
        <v>706</v>
      </c>
      <c r="D43" s="87"/>
      <c r="E43" s="87"/>
      <c r="F43" s="87"/>
      <c r="G43" s="90" t="s">
        <v>707</v>
      </c>
      <c r="H43" s="87"/>
      <c r="I43" s="90" t="s">
        <v>708</v>
      </c>
    </row>
    <row r="44" spans="1:9">
      <c r="A44" s="90" t="s">
        <v>709</v>
      </c>
      <c r="B44" s="87"/>
      <c r="C44" s="87"/>
      <c r="D44" s="87"/>
      <c r="E44" s="87"/>
      <c r="F44" s="87"/>
      <c r="G44" s="90" t="s">
        <v>710</v>
      </c>
      <c r="H44" s="87"/>
      <c r="I44" s="90" t="s">
        <v>711</v>
      </c>
    </row>
    <row r="45" spans="1:9">
      <c r="A45" s="90" t="s">
        <v>712</v>
      </c>
      <c r="B45" s="87"/>
      <c r="C45" s="87"/>
      <c r="D45" s="87"/>
      <c r="E45" s="87"/>
      <c r="F45" s="87"/>
      <c r="G45" s="90" t="s">
        <v>713</v>
      </c>
      <c r="H45" s="87"/>
      <c r="I45" s="90" t="s">
        <v>714</v>
      </c>
    </row>
    <row r="46" spans="1:9">
      <c r="A46" s="90" t="s">
        <v>715</v>
      </c>
      <c r="B46" s="87"/>
      <c r="C46" s="87"/>
      <c r="D46" s="87"/>
      <c r="E46" s="87"/>
      <c r="F46" s="87"/>
      <c r="G46" s="90" t="s">
        <v>716</v>
      </c>
      <c r="H46" s="87"/>
      <c r="I46" s="90" t="s">
        <v>717</v>
      </c>
    </row>
    <row r="47" spans="1:9">
      <c r="A47" s="90" t="s">
        <v>718</v>
      </c>
      <c r="B47" s="87"/>
      <c r="C47" s="87"/>
      <c r="D47" s="87"/>
      <c r="E47" s="87"/>
      <c r="F47" s="87"/>
      <c r="G47" s="90" t="s">
        <v>719</v>
      </c>
      <c r="H47" s="87"/>
      <c r="I47" s="90" t="s">
        <v>720</v>
      </c>
    </row>
    <row r="48" spans="1:9">
      <c r="A48" s="90" t="s">
        <v>721</v>
      </c>
      <c r="B48" s="87"/>
      <c r="C48" s="87"/>
      <c r="D48" s="87"/>
      <c r="E48" s="87"/>
      <c r="F48" s="87"/>
      <c r="G48" s="90" t="s">
        <v>722</v>
      </c>
      <c r="H48" s="87"/>
      <c r="I48" s="90" t="s">
        <v>723</v>
      </c>
    </row>
    <row r="49" spans="1:9">
      <c r="A49" s="90" t="s">
        <v>724</v>
      </c>
      <c r="B49" s="87"/>
      <c r="C49" s="87"/>
      <c r="D49" s="87"/>
      <c r="E49" s="87"/>
      <c r="F49" s="87"/>
      <c r="G49" s="90" t="s">
        <v>725</v>
      </c>
      <c r="H49" s="87"/>
      <c r="I49" s="90" t="s">
        <v>726</v>
      </c>
    </row>
    <row r="50" spans="1:9">
      <c r="A50" s="90" t="s">
        <v>727</v>
      </c>
      <c r="B50" s="87"/>
      <c r="C50" s="87"/>
      <c r="D50" s="87"/>
      <c r="E50" s="87"/>
      <c r="F50" s="87"/>
      <c r="G50" s="90" t="s">
        <v>728</v>
      </c>
      <c r="H50" s="87"/>
      <c r="I50" s="90" t="s">
        <v>729</v>
      </c>
    </row>
    <row r="51" spans="1:9">
      <c r="A51" s="90" t="s">
        <v>730</v>
      </c>
      <c r="B51" s="87"/>
      <c r="C51" s="87"/>
      <c r="D51" s="87"/>
      <c r="E51" s="87"/>
      <c r="F51" s="87"/>
      <c r="G51" s="90" t="s">
        <v>731</v>
      </c>
      <c r="H51" s="87"/>
      <c r="I51" s="90" t="s">
        <v>732</v>
      </c>
    </row>
    <row r="52" spans="1:9">
      <c r="A52" s="90" t="s">
        <v>733</v>
      </c>
      <c r="B52" s="87"/>
      <c r="C52" s="87"/>
      <c r="D52" s="87"/>
      <c r="E52" s="87"/>
      <c r="F52" s="87"/>
      <c r="G52" s="90" t="s">
        <v>734</v>
      </c>
      <c r="H52" s="87"/>
      <c r="I52" s="90" t="s">
        <v>735</v>
      </c>
    </row>
    <row r="53" spans="1:9">
      <c r="A53" s="90" t="s">
        <v>736</v>
      </c>
      <c r="B53" s="87"/>
      <c r="C53" s="87"/>
      <c r="D53" s="87"/>
      <c r="E53" s="87"/>
      <c r="F53" s="87"/>
      <c r="G53" s="90" t="s">
        <v>737</v>
      </c>
      <c r="H53" s="87"/>
      <c r="I53" s="90" t="s">
        <v>738</v>
      </c>
    </row>
    <row r="54" spans="1:9">
      <c r="A54" s="90" t="s">
        <v>739</v>
      </c>
      <c r="B54" s="87"/>
      <c r="C54" s="87"/>
      <c r="D54" s="87"/>
      <c r="E54" s="87"/>
      <c r="F54" s="87"/>
      <c r="G54" s="90" t="s">
        <v>740</v>
      </c>
      <c r="H54" s="87"/>
      <c r="I54" s="90" t="s">
        <v>741</v>
      </c>
    </row>
    <row r="55" spans="1:9">
      <c r="A55" s="90" t="s">
        <v>742</v>
      </c>
      <c r="B55" s="87"/>
      <c r="C55" s="87"/>
      <c r="D55" s="87"/>
      <c r="E55" s="87"/>
      <c r="F55" s="87"/>
      <c r="G55" s="90" t="s">
        <v>743</v>
      </c>
      <c r="H55" s="87"/>
      <c r="I55" s="90" t="s">
        <v>744</v>
      </c>
    </row>
    <row r="56" spans="1:9">
      <c r="A56" s="90" t="s">
        <v>745</v>
      </c>
      <c r="B56" s="87"/>
      <c r="C56" s="87"/>
      <c r="D56" s="87"/>
      <c r="E56" s="87"/>
      <c r="F56" s="87"/>
      <c r="G56" s="90" t="s">
        <v>746</v>
      </c>
      <c r="H56" s="87"/>
      <c r="I56" s="90" t="s">
        <v>747</v>
      </c>
    </row>
    <row r="57" spans="1:9">
      <c r="A57" s="90" t="s">
        <v>748</v>
      </c>
      <c r="B57" s="87"/>
      <c r="C57" s="87"/>
      <c r="D57" s="87"/>
      <c r="E57" s="87"/>
      <c r="F57" s="87"/>
      <c r="G57" s="90" t="s">
        <v>749</v>
      </c>
      <c r="H57" s="87"/>
      <c r="I57" s="90" t="s">
        <v>750</v>
      </c>
    </row>
    <row r="58" spans="1:9" ht="15" thickBot="1">
      <c r="A58" s="91" t="s">
        <v>751</v>
      </c>
      <c r="B58" s="87"/>
      <c r="C58" s="87"/>
      <c r="D58" s="87"/>
      <c r="E58" s="87"/>
      <c r="F58" s="87"/>
      <c r="G58" s="90" t="s">
        <v>752</v>
      </c>
      <c r="H58" s="87"/>
      <c r="I58" s="90" t="s">
        <v>753</v>
      </c>
    </row>
    <row r="59" spans="1:9">
      <c r="A59" s="87"/>
      <c r="B59" s="87"/>
      <c r="C59" s="87"/>
      <c r="D59" s="87"/>
      <c r="E59" s="87"/>
      <c r="F59" s="87"/>
      <c r="G59" s="90" t="s">
        <v>754</v>
      </c>
      <c r="H59" s="87"/>
      <c r="I59" s="90" t="s">
        <v>755</v>
      </c>
    </row>
    <row r="60" spans="1:9">
      <c r="A60" s="87"/>
      <c r="B60" s="87"/>
      <c r="C60" s="87"/>
      <c r="D60" s="87"/>
      <c r="E60" s="87"/>
      <c r="F60" s="87"/>
      <c r="G60" s="90" t="s">
        <v>756</v>
      </c>
      <c r="H60" s="87"/>
      <c r="I60" s="90" t="s">
        <v>757</v>
      </c>
    </row>
    <row r="61" spans="1:9" ht="15" thickBot="1">
      <c r="A61" s="87"/>
      <c r="B61" s="87"/>
      <c r="C61" s="87"/>
      <c r="D61" s="87"/>
      <c r="E61" s="87"/>
      <c r="F61" s="87"/>
      <c r="G61" s="91" t="s">
        <v>758</v>
      </c>
      <c r="H61" s="87"/>
      <c r="I61" s="91" t="s">
        <v>759</v>
      </c>
    </row>
  </sheetData>
  <mergeCells count="1">
    <mergeCell ref="A2:I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E1109-DC54-4B97-944A-D429FB8F5EC0}">
  <sheetPr codeName="Sheet14"/>
  <dimension ref="A2"/>
  <sheetViews>
    <sheetView workbookViewId="0">
      <selection activeCell="F28" sqref="F28"/>
    </sheetView>
  </sheetViews>
  <sheetFormatPr defaultRowHeight="14.4"/>
  <sheetData>
    <row r="2" spans="1:1">
      <c r="A2" t="s">
        <v>777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883BC-BE08-4A1B-A429-95D484562F29}">
  <dimension ref="B1:C246"/>
  <sheetViews>
    <sheetView topLeftCell="A16" workbookViewId="0">
      <selection activeCell="C8" sqref="C8"/>
    </sheetView>
  </sheetViews>
  <sheetFormatPr defaultColWidth="9.109375" defaultRowHeight="14.4"/>
  <cols>
    <col min="1" max="1" width="3.33203125" style="265" customWidth="1"/>
    <col min="2" max="2" width="13.5546875" style="265" bestFit="1" customWidth="1"/>
    <col min="3" max="3" width="42.6640625" style="265" bestFit="1" customWidth="1"/>
    <col min="4" max="16384" width="9.109375" style="265"/>
  </cols>
  <sheetData>
    <row r="1" spans="2:3" ht="15" customHeight="1"/>
    <row r="2" spans="2:3">
      <c r="B2" s="265" t="s">
        <v>1478</v>
      </c>
      <c r="C2" s="265" t="s">
        <v>1479</v>
      </c>
    </row>
    <row r="3" spans="2:3">
      <c r="B3" s="265" t="s">
        <v>1480</v>
      </c>
      <c r="C3" s="265" t="s">
        <v>1481</v>
      </c>
    </row>
    <row r="4" spans="2:3">
      <c r="B4" s="265" t="s">
        <v>418</v>
      </c>
      <c r="C4" s="265" t="s">
        <v>424</v>
      </c>
    </row>
    <row r="5" spans="2:3">
      <c r="B5" s="265" t="s">
        <v>1482</v>
      </c>
      <c r="C5" s="265" t="s">
        <v>1483</v>
      </c>
    </row>
    <row r="6" spans="2:3">
      <c r="B6" s="265" t="s">
        <v>1484</v>
      </c>
      <c r="C6" s="265" t="s">
        <v>1485</v>
      </c>
    </row>
    <row r="7" spans="2:3">
      <c r="B7" s="265" t="s">
        <v>1486</v>
      </c>
      <c r="C7" s="265" t="s">
        <v>1487</v>
      </c>
    </row>
    <row r="8" spans="2:3">
      <c r="B8" s="265" t="s">
        <v>1488</v>
      </c>
      <c r="C8" s="265" t="s">
        <v>1489</v>
      </c>
    </row>
    <row r="9" spans="2:3">
      <c r="B9" s="265" t="s">
        <v>1490</v>
      </c>
      <c r="C9" s="265" t="s">
        <v>1491</v>
      </c>
    </row>
    <row r="10" spans="2:3">
      <c r="B10" s="265" t="s">
        <v>1492</v>
      </c>
      <c r="C10" s="265" t="s">
        <v>1493</v>
      </c>
    </row>
    <row r="11" spans="2:3">
      <c r="B11" s="265" t="s">
        <v>1494</v>
      </c>
      <c r="C11" s="265" t="s">
        <v>1495</v>
      </c>
    </row>
    <row r="12" spans="2:3">
      <c r="B12" s="265" t="s">
        <v>1496</v>
      </c>
      <c r="C12" s="265" t="s">
        <v>1497</v>
      </c>
    </row>
    <row r="13" spans="2:3">
      <c r="B13" s="265" t="s">
        <v>1498</v>
      </c>
      <c r="C13" s="265" t="s">
        <v>1499</v>
      </c>
    </row>
    <row r="14" spans="2:3">
      <c r="B14" s="265" t="s">
        <v>423</v>
      </c>
      <c r="C14" s="265" t="s">
        <v>428</v>
      </c>
    </row>
    <row r="15" spans="2:3">
      <c r="B15" s="265" t="s">
        <v>1500</v>
      </c>
      <c r="C15" s="265" t="s">
        <v>1501</v>
      </c>
    </row>
    <row r="16" spans="2:3">
      <c r="B16" s="265" t="s">
        <v>1502</v>
      </c>
      <c r="C16" s="265" t="s">
        <v>1503</v>
      </c>
    </row>
    <row r="17" spans="2:3">
      <c r="B17" s="265" t="s">
        <v>1504</v>
      </c>
      <c r="C17" s="265" t="s">
        <v>1505</v>
      </c>
    </row>
    <row r="18" spans="2:3">
      <c r="B18" s="265" t="s">
        <v>351</v>
      </c>
      <c r="C18" s="265" t="s">
        <v>1506</v>
      </c>
    </row>
    <row r="19" spans="2:3">
      <c r="B19" s="265" t="s">
        <v>1507</v>
      </c>
      <c r="C19" s="265" t="s">
        <v>1508</v>
      </c>
    </row>
    <row r="20" spans="2:3">
      <c r="B20" s="265" t="s">
        <v>1509</v>
      </c>
      <c r="C20" s="265" t="s">
        <v>1510</v>
      </c>
    </row>
    <row r="21" spans="2:3">
      <c r="B21" s="265" t="s">
        <v>1511</v>
      </c>
      <c r="C21" s="265" t="s">
        <v>1512</v>
      </c>
    </row>
    <row r="22" spans="2:3">
      <c r="B22" s="265" t="s">
        <v>1513</v>
      </c>
      <c r="C22" s="265" t="s">
        <v>1514</v>
      </c>
    </row>
    <row r="23" spans="2:3">
      <c r="B23" s="265" t="s">
        <v>1515</v>
      </c>
      <c r="C23" s="265" t="s">
        <v>1516</v>
      </c>
    </row>
    <row r="24" spans="2:3">
      <c r="B24" s="265" t="s">
        <v>1517</v>
      </c>
      <c r="C24" s="265" t="s">
        <v>1518</v>
      </c>
    </row>
    <row r="25" spans="2:3">
      <c r="B25" s="265" t="s">
        <v>1519</v>
      </c>
      <c r="C25" s="265" t="s">
        <v>1520</v>
      </c>
    </row>
    <row r="26" spans="2:3">
      <c r="B26" s="265" t="s">
        <v>1521</v>
      </c>
      <c r="C26" s="265" t="s">
        <v>1522</v>
      </c>
    </row>
    <row r="27" spans="2:3">
      <c r="B27" s="265" t="s">
        <v>1523</v>
      </c>
      <c r="C27" s="265" t="s">
        <v>1524</v>
      </c>
    </row>
    <row r="28" spans="2:3">
      <c r="B28" s="265" t="s">
        <v>1525</v>
      </c>
      <c r="C28" s="265" t="s">
        <v>1526</v>
      </c>
    </row>
    <row r="29" spans="2:3">
      <c r="B29" s="265" t="s">
        <v>1527</v>
      </c>
      <c r="C29" s="265" t="s">
        <v>1528</v>
      </c>
    </row>
    <row r="30" spans="2:3">
      <c r="B30" s="265" t="s">
        <v>1061</v>
      </c>
      <c r="C30" s="265" t="s">
        <v>1062</v>
      </c>
    </row>
    <row r="31" spans="2:3">
      <c r="B31" s="265" t="s">
        <v>1529</v>
      </c>
      <c r="C31" s="265" t="s">
        <v>1530</v>
      </c>
    </row>
    <row r="32" spans="2:3">
      <c r="B32" s="265" t="s">
        <v>1531</v>
      </c>
      <c r="C32" s="265" t="s">
        <v>1532</v>
      </c>
    </row>
    <row r="33" spans="2:3">
      <c r="B33" s="265" t="s">
        <v>1533</v>
      </c>
      <c r="C33" s="265" t="s">
        <v>1534</v>
      </c>
    </row>
    <row r="34" spans="2:3">
      <c r="B34" s="265" t="s">
        <v>1535</v>
      </c>
      <c r="C34" s="265" t="s">
        <v>1536</v>
      </c>
    </row>
    <row r="35" spans="2:3">
      <c r="B35" s="265" t="s">
        <v>1537</v>
      </c>
      <c r="C35" s="265" t="s">
        <v>1538</v>
      </c>
    </row>
    <row r="36" spans="2:3">
      <c r="B36" s="265" t="s">
        <v>1539</v>
      </c>
      <c r="C36" s="265" t="s">
        <v>1540</v>
      </c>
    </row>
    <row r="37" spans="2:3">
      <c r="B37" s="265" t="s">
        <v>1541</v>
      </c>
      <c r="C37" s="265" t="s">
        <v>1542</v>
      </c>
    </row>
    <row r="38" spans="2:3">
      <c r="B38" s="265" t="s">
        <v>367</v>
      </c>
      <c r="C38" s="265" t="s">
        <v>1543</v>
      </c>
    </row>
    <row r="39" spans="2:3">
      <c r="B39" s="265" t="s">
        <v>1544</v>
      </c>
      <c r="C39" s="265" t="s">
        <v>1545</v>
      </c>
    </row>
    <row r="40" spans="2:3">
      <c r="B40" s="265" t="s">
        <v>1546</v>
      </c>
      <c r="C40" s="265" t="s">
        <v>1547</v>
      </c>
    </row>
    <row r="41" spans="2:3">
      <c r="B41" s="265" t="s">
        <v>1548</v>
      </c>
      <c r="C41" s="265" t="s">
        <v>1549</v>
      </c>
    </row>
    <row r="42" spans="2:3">
      <c r="B42" s="265" t="s">
        <v>543</v>
      </c>
      <c r="C42" s="265" t="s">
        <v>762</v>
      </c>
    </row>
    <row r="43" spans="2:3">
      <c r="B43" s="265" t="s">
        <v>1550</v>
      </c>
      <c r="C43" s="265" t="s">
        <v>1551</v>
      </c>
    </row>
    <row r="44" spans="2:3">
      <c r="B44" s="265" t="s">
        <v>1552</v>
      </c>
      <c r="C44" s="265" t="s">
        <v>1553</v>
      </c>
    </row>
    <row r="45" spans="2:3">
      <c r="B45" s="265" t="s">
        <v>1192</v>
      </c>
      <c r="C45" s="265" t="s">
        <v>1193</v>
      </c>
    </row>
    <row r="46" spans="2:3">
      <c r="B46" s="265" t="s">
        <v>1554</v>
      </c>
      <c r="C46" s="265" t="s">
        <v>1555</v>
      </c>
    </row>
    <row r="47" spans="2:3">
      <c r="B47" s="265" t="s">
        <v>376</v>
      </c>
      <c r="C47" s="265" t="s">
        <v>377</v>
      </c>
    </row>
    <row r="48" spans="2:3">
      <c r="B48" s="265" t="s">
        <v>1556</v>
      </c>
      <c r="C48" s="265" t="s">
        <v>1557</v>
      </c>
    </row>
    <row r="49" spans="2:3">
      <c r="B49" s="265" t="s">
        <v>1558</v>
      </c>
      <c r="C49" s="265" t="s">
        <v>1559</v>
      </c>
    </row>
    <row r="50" spans="2:3">
      <c r="B50" s="265" t="s">
        <v>1560</v>
      </c>
      <c r="C50" s="265" t="s">
        <v>1561</v>
      </c>
    </row>
    <row r="51" spans="2:3">
      <c r="B51" s="265" t="s">
        <v>1562</v>
      </c>
      <c r="C51" s="265" t="s">
        <v>1563</v>
      </c>
    </row>
    <row r="52" spans="2:3">
      <c r="B52" s="265" t="s">
        <v>1564</v>
      </c>
      <c r="C52" s="265" t="s">
        <v>1565</v>
      </c>
    </row>
    <row r="53" spans="2:3">
      <c r="B53" s="265" t="s">
        <v>1566</v>
      </c>
      <c r="C53" s="265" t="s">
        <v>1567</v>
      </c>
    </row>
    <row r="54" spans="2:3">
      <c r="B54" s="265" t="s">
        <v>1568</v>
      </c>
      <c r="C54" s="265" t="s">
        <v>1569</v>
      </c>
    </row>
    <row r="55" spans="2:3">
      <c r="B55" s="265" t="s">
        <v>949</v>
      </c>
      <c r="C55" s="265" t="s">
        <v>950</v>
      </c>
    </row>
    <row r="56" spans="2:3">
      <c r="B56" s="265" t="s">
        <v>1570</v>
      </c>
      <c r="C56" s="265" t="s">
        <v>1571</v>
      </c>
    </row>
    <row r="57" spans="2:3">
      <c r="B57" s="265" t="s">
        <v>1572</v>
      </c>
      <c r="C57" s="265" t="s">
        <v>1573</v>
      </c>
    </row>
    <row r="58" spans="2:3">
      <c r="B58" s="265" t="s">
        <v>1574</v>
      </c>
      <c r="C58" s="265" t="s">
        <v>1575</v>
      </c>
    </row>
    <row r="59" spans="2:3">
      <c r="B59" s="265" t="s">
        <v>1576</v>
      </c>
      <c r="C59" s="265" t="s">
        <v>1577</v>
      </c>
    </row>
    <row r="60" spans="2:3">
      <c r="B60" s="265" t="s">
        <v>1578</v>
      </c>
      <c r="C60" s="265" t="s">
        <v>1579</v>
      </c>
    </row>
    <row r="61" spans="2:3">
      <c r="B61" s="265" t="s">
        <v>1580</v>
      </c>
      <c r="C61" s="265" t="s">
        <v>1581</v>
      </c>
    </row>
    <row r="62" spans="2:3">
      <c r="B62" s="265" t="s">
        <v>1582</v>
      </c>
      <c r="C62" s="265" t="s">
        <v>1583</v>
      </c>
    </row>
    <row r="63" spans="2:3">
      <c r="B63" s="265" t="s">
        <v>1584</v>
      </c>
      <c r="C63" s="265" t="s">
        <v>1585</v>
      </c>
    </row>
    <row r="64" spans="2:3">
      <c r="B64" s="265" t="s">
        <v>1586</v>
      </c>
      <c r="C64" s="265" t="s">
        <v>1587</v>
      </c>
    </row>
    <row r="65" spans="2:3">
      <c r="B65" s="265" t="s">
        <v>1588</v>
      </c>
      <c r="C65" s="265" t="s">
        <v>1589</v>
      </c>
    </row>
    <row r="66" spans="2:3">
      <c r="B66" s="265" t="s">
        <v>412</v>
      </c>
      <c r="C66" s="265" t="s">
        <v>413</v>
      </c>
    </row>
    <row r="67" spans="2:3">
      <c r="B67" s="265" t="s">
        <v>1590</v>
      </c>
      <c r="C67" s="265" t="s">
        <v>1591</v>
      </c>
    </row>
    <row r="68" spans="2:3">
      <c r="B68" s="265" t="s">
        <v>1592</v>
      </c>
      <c r="C68" s="265" t="s">
        <v>1593</v>
      </c>
    </row>
    <row r="69" spans="2:3">
      <c r="B69" s="265" t="s">
        <v>1594</v>
      </c>
      <c r="C69" s="265" t="s">
        <v>1595</v>
      </c>
    </row>
    <row r="70" spans="2:3">
      <c r="B70" s="265" t="s">
        <v>1596</v>
      </c>
      <c r="C70" s="265" t="s">
        <v>1597</v>
      </c>
    </row>
    <row r="71" spans="2:3">
      <c r="B71" s="265" t="s">
        <v>1598</v>
      </c>
      <c r="C71" s="265" t="s">
        <v>1599</v>
      </c>
    </row>
    <row r="72" spans="2:3">
      <c r="B72" s="265" t="s">
        <v>1600</v>
      </c>
      <c r="C72" s="265" t="s">
        <v>1601</v>
      </c>
    </row>
    <row r="73" spans="2:3">
      <c r="B73" s="265" t="s">
        <v>378</v>
      </c>
      <c r="C73" s="265" t="s">
        <v>379</v>
      </c>
    </row>
    <row r="74" spans="2:3">
      <c r="B74" s="265" t="s">
        <v>1602</v>
      </c>
      <c r="C74" s="265" t="s">
        <v>1603</v>
      </c>
    </row>
    <row r="75" spans="2:3">
      <c r="B75" s="265" t="s">
        <v>380</v>
      </c>
      <c r="C75" s="265" t="s">
        <v>381</v>
      </c>
    </row>
    <row r="76" spans="2:3">
      <c r="B76" s="265" t="s">
        <v>1604</v>
      </c>
      <c r="C76" s="265" t="s">
        <v>1605</v>
      </c>
    </row>
    <row r="77" spans="2:3">
      <c r="B77" s="265" t="s">
        <v>1606</v>
      </c>
      <c r="C77" s="265" t="s">
        <v>1607</v>
      </c>
    </row>
    <row r="78" spans="2:3">
      <c r="B78" s="265" t="s">
        <v>1608</v>
      </c>
      <c r="C78" s="265" t="s">
        <v>1609</v>
      </c>
    </row>
    <row r="79" spans="2:3">
      <c r="B79" s="265" t="s">
        <v>1610</v>
      </c>
      <c r="C79" s="265" t="s">
        <v>1611</v>
      </c>
    </row>
    <row r="80" spans="2:3">
      <c r="B80" s="265" t="s">
        <v>1612</v>
      </c>
      <c r="C80" s="265" t="s">
        <v>1613</v>
      </c>
    </row>
    <row r="81" spans="2:3">
      <c r="B81" s="265" t="s">
        <v>1614</v>
      </c>
      <c r="C81" s="265" t="s">
        <v>1615</v>
      </c>
    </row>
    <row r="82" spans="2:3">
      <c r="B82" s="265" t="s">
        <v>1616</v>
      </c>
      <c r="C82" s="265" t="s">
        <v>1617</v>
      </c>
    </row>
    <row r="83" spans="2:3">
      <c r="B83" s="265" t="s">
        <v>1618</v>
      </c>
      <c r="C83" s="265" t="s">
        <v>1619</v>
      </c>
    </row>
    <row r="84" spans="2:3">
      <c r="B84" s="265" t="s">
        <v>1620</v>
      </c>
      <c r="C84" s="265" t="s">
        <v>1621</v>
      </c>
    </row>
    <row r="85" spans="2:3">
      <c r="B85" s="265" t="s">
        <v>1622</v>
      </c>
      <c r="C85" s="265" t="s">
        <v>1623</v>
      </c>
    </row>
    <row r="86" spans="2:3">
      <c r="B86" s="265" t="s">
        <v>1624</v>
      </c>
      <c r="C86" s="265" t="s">
        <v>1625</v>
      </c>
    </row>
    <row r="87" spans="2:3">
      <c r="B87" s="265" t="s">
        <v>1626</v>
      </c>
      <c r="C87" s="265" t="s">
        <v>1627</v>
      </c>
    </row>
    <row r="88" spans="2:3">
      <c r="B88" s="265" t="s">
        <v>1628</v>
      </c>
      <c r="C88" s="265" t="s">
        <v>1629</v>
      </c>
    </row>
    <row r="89" spans="2:3">
      <c r="B89" s="265" t="s">
        <v>1630</v>
      </c>
      <c r="C89" s="265" t="s">
        <v>1631</v>
      </c>
    </row>
    <row r="90" spans="2:3">
      <c r="B90" s="265" t="s">
        <v>1632</v>
      </c>
      <c r="C90" s="265" t="s">
        <v>1633</v>
      </c>
    </row>
    <row r="91" spans="2:3">
      <c r="B91" s="265" t="s">
        <v>1634</v>
      </c>
      <c r="C91" s="265" t="s">
        <v>1635</v>
      </c>
    </row>
    <row r="92" spans="2:3">
      <c r="B92" s="265" t="s">
        <v>1636</v>
      </c>
      <c r="C92" s="265" t="s">
        <v>1637</v>
      </c>
    </row>
    <row r="93" spans="2:3">
      <c r="B93" s="265" t="s">
        <v>382</v>
      </c>
      <c r="C93" s="265" t="s">
        <v>383</v>
      </c>
    </row>
    <row r="94" spans="2:3">
      <c r="B94" s="265" t="s">
        <v>1638</v>
      </c>
      <c r="C94" s="265" t="s">
        <v>1639</v>
      </c>
    </row>
    <row r="95" spans="2:3">
      <c r="B95" s="265" t="s">
        <v>1640</v>
      </c>
      <c r="C95" s="265" t="s">
        <v>1641</v>
      </c>
    </row>
    <row r="96" spans="2:3">
      <c r="B96" s="265" t="s">
        <v>917</v>
      </c>
      <c r="C96" s="265" t="s">
        <v>918</v>
      </c>
    </row>
    <row r="97" spans="2:3">
      <c r="B97" s="265" t="s">
        <v>1642</v>
      </c>
      <c r="C97" s="265" t="s">
        <v>1643</v>
      </c>
    </row>
    <row r="98" spans="2:3">
      <c r="B98" s="265" t="s">
        <v>1644</v>
      </c>
      <c r="C98" s="265" t="s">
        <v>1645</v>
      </c>
    </row>
    <row r="99" spans="2:3">
      <c r="B99" s="265" t="s">
        <v>384</v>
      </c>
      <c r="C99" s="265" t="s">
        <v>385</v>
      </c>
    </row>
    <row r="100" spans="2:3">
      <c r="B100" s="265" t="s">
        <v>1646</v>
      </c>
      <c r="C100" s="265" t="s">
        <v>1647</v>
      </c>
    </row>
    <row r="101" spans="2:3">
      <c r="B101" s="265" t="s">
        <v>1648</v>
      </c>
      <c r="C101" s="265" t="s">
        <v>1649</v>
      </c>
    </row>
    <row r="102" spans="2:3">
      <c r="B102" s="265" t="s">
        <v>1650</v>
      </c>
      <c r="C102" s="265" t="s">
        <v>1651</v>
      </c>
    </row>
    <row r="103" spans="2:3">
      <c r="B103" s="265" t="s">
        <v>422</v>
      </c>
      <c r="C103" s="265" t="s">
        <v>427</v>
      </c>
    </row>
    <row r="104" spans="2:3">
      <c r="B104" s="265" t="s">
        <v>1652</v>
      </c>
      <c r="C104" s="265" t="s">
        <v>1653</v>
      </c>
    </row>
    <row r="105" spans="2:3">
      <c r="B105" s="265" t="s">
        <v>1654</v>
      </c>
      <c r="C105" s="265" t="s">
        <v>1655</v>
      </c>
    </row>
    <row r="106" spans="2:3">
      <c r="B106" s="265" t="s">
        <v>1656</v>
      </c>
      <c r="C106" s="265" t="s">
        <v>1657</v>
      </c>
    </row>
    <row r="107" spans="2:3">
      <c r="B107" s="265" t="s">
        <v>1658</v>
      </c>
      <c r="C107" s="265" t="s">
        <v>1659</v>
      </c>
    </row>
    <row r="108" spans="2:3">
      <c r="B108" s="265" t="s">
        <v>1660</v>
      </c>
      <c r="C108" s="265" t="s">
        <v>1661</v>
      </c>
    </row>
    <row r="109" spans="2:3">
      <c r="B109" s="265" t="s">
        <v>1662</v>
      </c>
      <c r="C109" s="265" t="s">
        <v>1663</v>
      </c>
    </row>
    <row r="110" spans="2:3">
      <c r="B110" s="265" t="s">
        <v>1664</v>
      </c>
      <c r="C110" s="265" t="s">
        <v>1665</v>
      </c>
    </row>
    <row r="111" spans="2:3">
      <c r="B111" s="265" t="s">
        <v>1666</v>
      </c>
      <c r="C111" s="265" t="s">
        <v>1667</v>
      </c>
    </row>
    <row r="112" spans="2:3">
      <c r="B112" s="265" t="s">
        <v>387</v>
      </c>
      <c r="C112" s="265" t="s">
        <v>388</v>
      </c>
    </row>
    <row r="113" spans="2:3">
      <c r="B113" s="265" t="s">
        <v>1668</v>
      </c>
      <c r="C113" s="265" t="s">
        <v>1669</v>
      </c>
    </row>
    <row r="114" spans="2:3">
      <c r="B114" s="265" t="s">
        <v>1670</v>
      </c>
      <c r="C114" s="265" t="s">
        <v>1671</v>
      </c>
    </row>
    <row r="115" spans="2:3">
      <c r="B115" s="265" t="s">
        <v>1672</v>
      </c>
      <c r="C115" s="265" t="s">
        <v>1673</v>
      </c>
    </row>
    <row r="116" spans="2:3">
      <c r="B116" s="265" t="s">
        <v>1674</v>
      </c>
      <c r="C116" s="265" t="s">
        <v>1675</v>
      </c>
    </row>
    <row r="117" spans="2:3">
      <c r="B117" s="265" t="s">
        <v>1676</v>
      </c>
      <c r="C117" s="265" t="s">
        <v>1677</v>
      </c>
    </row>
    <row r="118" spans="2:3">
      <c r="B118" s="265" t="s">
        <v>1678</v>
      </c>
      <c r="C118" s="265" t="s">
        <v>1679</v>
      </c>
    </row>
    <row r="119" spans="2:3">
      <c r="B119" s="265" t="s">
        <v>1680</v>
      </c>
      <c r="C119" s="265" t="s">
        <v>1681</v>
      </c>
    </row>
    <row r="120" spans="2:3">
      <c r="B120" s="265" t="s">
        <v>389</v>
      </c>
      <c r="C120" s="265" t="s">
        <v>1682</v>
      </c>
    </row>
    <row r="121" spans="2:3">
      <c r="B121" s="265" t="s">
        <v>1683</v>
      </c>
      <c r="C121" s="265" t="s">
        <v>1684</v>
      </c>
    </row>
    <row r="122" spans="2:3">
      <c r="B122" s="265" t="s">
        <v>392</v>
      </c>
      <c r="C122" s="265" t="s">
        <v>393</v>
      </c>
    </row>
    <row r="123" spans="2:3">
      <c r="B123" s="265" t="s">
        <v>1685</v>
      </c>
      <c r="C123" s="265" t="s">
        <v>1686</v>
      </c>
    </row>
    <row r="124" spans="2:3">
      <c r="B124" s="265" t="s">
        <v>1687</v>
      </c>
      <c r="C124" s="265" t="s">
        <v>1688</v>
      </c>
    </row>
    <row r="125" spans="2:3">
      <c r="B125" s="265" t="s">
        <v>1689</v>
      </c>
      <c r="C125" s="265" t="s">
        <v>1690</v>
      </c>
    </row>
    <row r="126" spans="2:3">
      <c r="B126" s="265" t="s">
        <v>1691</v>
      </c>
      <c r="C126" s="265" t="s">
        <v>1692</v>
      </c>
    </row>
    <row r="127" spans="2:3">
      <c r="B127" s="265" t="s">
        <v>1693</v>
      </c>
      <c r="C127" s="265" t="s">
        <v>1694</v>
      </c>
    </row>
    <row r="128" spans="2:3">
      <c r="B128" s="265" t="s">
        <v>1477</v>
      </c>
      <c r="C128" s="265" t="s">
        <v>1695</v>
      </c>
    </row>
    <row r="129" spans="2:3">
      <c r="B129" s="265" t="s">
        <v>1696</v>
      </c>
      <c r="C129" s="265" t="s">
        <v>1697</v>
      </c>
    </row>
    <row r="130" spans="2:3">
      <c r="B130" s="265" t="s">
        <v>1698</v>
      </c>
      <c r="C130" s="265" t="s">
        <v>1699</v>
      </c>
    </row>
    <row r="131" spans="2:3">
      <c r="B131" s="265" t="s">
        <v>1700</v>
      </c>
      <c r="C131" s="265" t="s">
        <v>1701</v>
      </c>
    </row>
    <row r="132" spans="2:3">
      <c r="B132" s="265" t="s">
        <v>1702</v>
      </c>
      <c r="C132" s="265" t="s">
        <v>1703</v>
      </c>
    </row>
    <row r="133" spans="2:3">
      <c r="B133" s="265" t="s">
        <v>1704</v>
      </c>
      <c r="C133" s="265" t="s">
        <v>1705</v>
      </c>
    </row>
    <row r="134" spans="2:3">
      <c r="B134" s="265" t="s">
        <v>1706</v>
      </c>
      <c r="C134" s="265" t="s">
        <v>1707</v>
      </c>
    </row>
    <row r="135" spans="2:3">
      <c r="B135" s="265" t="s">
        <v>1708</v>
      </c>
      <c r="C135" s="265" t="s">
        <v>1709</v>
      </c>
    </row>
    <row r="136" spans="2:3">
      <c r="B136" s="265" t="s">
        <v>1710</v>
      </c>
      <c r="C136" s="265" t="s">
        <v>1711</v>
      </c>
    </row>
    <row r="137" spans="2:3">
      <c r="B137" s="265" t="s">
        <v>1712</v>
      </c>
      <c r="C137" s="265" t="s">
        <v>1713</v>
      </c>
    </row>
    <row r="138" spans="2:3">
      <c r="B138" s="265" t="s">
        <v>1714</v>
      </c>
      <c r="C138" s="265" t="s">
        <v>1715</v>
      </c>
    </row>
    <row r="139" spans="2:3">
      <c r="B139" s="265" t="s">
        <v>1716</v>
      </c>
      <c r="C139" s="265" t="s">
        <v>1717</v>
      </c>
    </row>
    <row r="140" spans="2:3">
      <c r="B140" s="265" t="s">
        <v>1718</v>
      </c>
      <c r="C140" s="265" t="s">
        <v>1719</v>
      </c>
    </row>
    <row r="141" spans="2:3">
      <c r="B141" s="265" t="s">
        <v>1720</v>
      </c>
      <c r="C141" s="265" t="s">
        <v>1721</v>
      </c>
    </row>
    <row r="142" spans="2:3">
      <c r="B142" s="265" t="s">
        <v>1722</v>
      </c>
      <c r="C142" s="265" t="s">
        <v>1723</v>
      </c>
    </row>
    <row r="143" spans="2:3">
      <c r="B143" s="265" t="s">
        <v>1724</v>
      </c>
      <c r="C143" s="265" t="s">
        <v>1725</v>
      </c>
    </row>
    <row r="144" spans="2:3">
      <c r="B144" s="265" t="s">
        <v>1726</v>
      </c>
      <c r="C144" s="265" t="s">
        <v>1727</v>
      </c>
    </row>
    <row r="145" spans="2:3">
      <c r="B145" s="265" t="s">
        <v>542</v>
      </c>
      <c r="C145" s="265" t="s">
        <v>1728</v>
      </c>
    </row>
    <row r="146" spans="2:3">
      <c r="B146" s="265" t="s">
        <v>421</v>
      </c>
      <c r="C146" s="265" t="s">
        <v>1729</v>
      </c>
    </row>
    <row r="147" spans="2:3">
      <c r="B147" s="265" t="s">
        <v>1730</v>
      </c>
      <c r="C147" s="265" t="s">
        <v>1731</v>
      </c>
    </row>
    <row r="148" spans="2:3">
      <c r="B148" s="265" t="s">
        <v>1732</v>
      </c>
      <c r="C148" s="265" t="s">
        <v>1733</v>
      </c>
    </row>
    <row r="149" spans="2:3">
      <c r="B149" s="265" t="s">
        <v>1734</v>
      </c>
      <c r="C149" s="265" t="s">
        <v>1735</v>
      </c>
    </row>
    <row r="150" spans="2:3">
      <c r="B150" s="265" t="s">
        <v>1736</v>
      </c>
      <c r="C150" s="265" t="s">
        <v>1737</v>
      </c>
    </row>
    <row r="151" spans="2:3">
      <c r="B151" s="265" t="s">
        <v>1738</v>
      </c>
      <c r="C151" s="265" t="s">
        <v>1739</v>
      </c>
    </row>
    <row r="152" spans="2:3">
      <c r="B152" s="265" t="s">
        <v>1740</v>
      </c>
      <c r="C152" s="265" t="s">
        <v>1741</v>
      </c>
    </row>
    <row r="153" spans="2:3">
      <c r="B153" s="265" t="s">
        <v>1742</v>
      </c>
      <c r="C153" s="265" t="s">
        <v>1743</v>
      </c>
    </row>
    <row r="154" spans="2:3">
      <c r="B154" s="265" t="s">
        <v>1744</v>
      </c>
      <c r="C154" s="265" t="s">
        <v>1745</v>
      </c>
    </row>
    <row r="155" spans="2:3">
      <c r="B155" s="265" t="s">
        <v>1746</v>
      </c>
      <c r="C155" s="265" t="s">
        <v>761</v>
      </c>
    </row>
    <row r="156" spans="2:3">
      <c r="B156" s="265" t="s">
        <v>1747</v>
      </c>
      <c r="C156" s="265" t="s">
        <v>1748</v>
      </c>
    </row>
    <row r="157" spans="2:3">
      <c r="B157" s="265" t="s">
        <v>1749</v>
      </c>
      <c r="C157" s="265" t="s">
        <v>1750</v>
      </c>
    </row>
    <row r="158" spans="2:3">
      <c r="B158" s="265" t="s">
        <v>47</v>
      </c>
      <c r="C158" s="265" t="s">
        <v>1751</v>
      </c>
    </row>
    <row r="159" spans="2:3">
      <c r="B159" s="265" t="s">
        <v>1752</v>
      </c>
      <c r="C159" s="265" t="s">
        <v>1753</v>
      </c>
    </row>
    <row r="160" spans="2:3">
      <c r="B160" s="265" t="s">
        <v>1754</v>
      </c>
      <c r="C160" s="265" t="s">
        <v>1755</v>
      </c>
    </row>
    <row r="161" spans="2:3">
      <c r="B161" s="265" t="s">
        <v>1756</v>
      </c>
      <c r="C161" s="265" t="s">
        <v>1757</v>
      </c>
    </row>
    <row r="162" spans="2:3">
      <c r="B162" s="265" t="s">
        <v>1758</v>
      </c>
      <c r="C162" s="265" t="s">
        <v>1759</v>
      </c>
    </row>
    <row r="163" spans="2:3">
      <c r="B163" s="265" t="s">
        <v>1760</v>
      </c>
      <c r="C163" s="265" t="s">
        <v>1761</v>
      </c>
    </row>
    <row r="164" spans="2:3">
      <c r="B164" s="265" t="s">
        <v>419</v>
      </c>
      <c r="C164" s="265" t="s">
        <v>425</v>
      </c>
    </row>
    <row r="165" spans="2:3">
      <c r="B165" s="265" t="s">
        <v>1762</v>
      </c>
      <c r="C165" s="265" t="s">
        <v>1763</v>
      </c>
    </row>
    <row r="166" spans="2:3">
      <c r="B166" s="265" t="s">
        <v>1764</v>
      </c>
      <c r="C166" s="265" t="s">
        <v>1765</v>
      </c>
    </row>
    <row r="167" spans="2:3">
      <c r="B167" s="265" t="s">
        <v>372</v>
      </c>
      <c r="C167" s="265" t="s">
        <v>1766</v>
      </c>
    </row>
    <row r="168" spans="2:3">
      <c r="B168" s="265" t="s">
        <v>1767</v>
      </c>
      <c r="C168" s="265" t="s">
        <v>1768</v>
      </c>
    </row>
    <row r="169" spans="2:3">
      <c r="B169" s="265" t="s">
        <v>1769</v>
      </c>
      <c r="C169" s="265" t="s">
        <v>1770</v>
      </c>
    </row>
    <row r="170" spans="2:3">
      <c r="B170" s="265" t="s">
        <v>1771</v>
      </c>
      <c r="C170" s="265" t="s">
        <v>1772</v>
      </c>
    </row>
    <row r="171" spans="2:3">
      <c r="B171" s="265" t="s">
        <v>1773</v>
      </c>
      <c r="C171" s="265" t="s">
        <v>1774</v>
      </c>
    </row>
    <row r="172" spans="2:3">
      <c r="B172" s="265" t="s">
        <v>1775</v>
      </c>
      <c r="C172" s="265" t="s">
        <v>1776</v>
      </c>
    </row>
    <row r="173" spans="2:3">
      <c r="B173" s="265" t="s">
        <v>1777</v>
      </c>
      <c r="C173" s="265" t="s">
        <v>1778</v>
      </c>
    </row>
    <row r="174" spans="2:3">
      <c r="B174" s="265" t="s">
        <v>1779</v>
      </c>
      <c r="C174" s="265" t="s">
        <v>1780</v>
      </c>
    </row>
    <row r="175" spans="2:3">
      <c r="B175" s="265" t="s">
        <v>916</v>
      </c>
      <c r="C175" s="265" t="s">
        <v>915</v>
      </c>
    </row>
    <row r="176" spans="2:3">
      <c r="B176" s="265" t="s">
        <v>1781</v>
      </c>
      <c r="C176" s="265" t="s">
        <v>1782</v>
      </c>
    </row>
    <row r="177" spans="2:3">
      <c r="B177" s="265" t="s">
        <v>1783</v>
      </c>
      <c r="C177" s="265" t="s">
        <v>1784</v>
      </c>
    </row>
    <row r="178" spans="2:3">
      <c r="B178" s="265" t="s">
        <v>1785</v>
      </c>
      <c r="C178" s="265" t="s">
        <v>1786</v>
      </c>
    </row>
    <row r="179" spans="2:3">
      <c r="B179" s="265" t="s">
        <v>1787</v>
      </c>
      <c r="C179" s="265" t="s">
        <v>1788</v>
      </c>
    </row>
    <row r="180" spans="2:3">
      <c r="B180" s="265" t="s">
        <v>1789</v>
      </c>
      <c r="C180" s="265" t="s">
        <v>1790</v>
      </c>
    </row>
    <row r="181" spans="2:3">
      <c r="B181" s="265" t="s">
        <v>1791</v>
      </c>
      <c r="C181" s="265" t="s">
        <v>1792</v>
      </c>
    </row>
    <row r="182" spans="2:3">
      <c r="B182" s="265" t="s">
        <v>1793</v>
      </c>
      <c r="C182" s="265" t="s">
        <v>1794</v>
      </c>
    </row>
    <row r="183" spans="2:3">
      <c r="B183" s="265" t="s">
        <v>1795</v>
      </c>
      <c r="C183" s="265" t="s">
        <v>1796</v>
      </c>
    </row>
    <row r="184" spans="2:3">
      <c r="B184" s="265" t="s">
        <v>1797</v>
      </c>
      <c r="C184" s="265" t="s">
        <v>1798</v>
      </c>
    </row>
    <row r="185" spans="2:3">
      <c r="B185" s="265" t="s">
        <v>420</v>
      </c>
      <c r="C185" s="265" t="s">
        <v>426</v>
      </c>
    </row>
    <row r="186" spans="2:3">
      <c r="B186" s="265" t="s">
        <v>1799</v>
      </c>
      <c r="C186" s="265" t="s">
        <v>1800</v>
      </c>
    </row>
    <row r="187" spans="2:3">
      <c r="B187" s="265" t="s">
        <v>1801</v>
      </c>
      <c r="C187" s="265" t="s">
        <v>1802</v>
      </c>
    </row>
    <row r="188" spans="2:3">
      <c r="B188" s="265" t="s">
        <v>1803</v>
      </c>
      <c r="C188" s="265" t="s">
        <v>1804</v>
      </c>
    </row>
    <row r="189" spans="2:3">
      <c r="B189" s="265" t="s">
        <v>1805</v>
      </c>
      <c r="C189" s="265" t="s">
        <v>1806</v>
      </c>
    </row>
    <row r="190" spans="2:3">
      <c r="B190" s="265" t="s">
        <v>1807</v>
      </c>
      <c r="C190" s="265" t="s">
        <v>1808</v>
      </c>
    </row>
    <row r="191" spans="2:3">
      <c r="B191" s="265" t="s">
        <v>779</v>
      </c>
      <c r="C191" s="265" t="s">
        <v>780</v>
      </c>
    </row>
    <row r="192" spans="2:3">
      <c r="B192" s="265" t="s">
        <v>1809</v>
      </c>
      <c r="C192" s="265" t="s">
        <v>1810</v>
      </c>
    </row>
    <row r="193" spans="2:3">
      <c r="B193" s="265" t="s">
        <v>1811</v>
      </c>
      <c r="C193" s="265" t="s">
        <v>1812</v>
      </c>
    </row>
    <row r="194" spans="2:3">
      <c r="B194" s="265" t="s">
        <v>370</v>
      </c>
      <c r="C194" s="265" t="s">
        <v>1813</v>
      </c>
    </row>
    <row r="195" spans="2:3">
      <c r="B195" s="265" t="s">
        <v>804</v>
      </c>
      <c r="C195" s="265" t="s">
        <v>805</v>
      </c>
    </row>
    <row r="196" spans="2:3">
      <c r="B196" s="265" t="s">
        <v>395</v>
      </c>
      <c r="C196" s="265" t="s">
        <v>396</v>
      </c>
    </row>
    <row r="197" spans="2:3">
      <c r="B197" s="265" t="s">
        <v>1814</v>
      </c>
      <c r="C197" s="265" t="s">
        <v>1815</v>
      </c>
    </row>
    <row r="198" spans="2:3">
      <c r="B198" s="265" t="s">
        <v>1816</v>
      </c>
      <c r="C198" s="265" t="s">
        <v>1817</v>
      </c>
    </row>
    <row r="199" spans="2:3">
      <c r="B199" s="265" t="s">
        <v>1818</v>
      </c>
      <c r="C199" s="265" t="s">
        <v>1819</v>
      </c>
    </row>
    <row r="200" spans="2:3">
      <c r="B200" s="265" t="s">
        <v>1820</v>
      </c>
      <c r="C200" s="265" t="s">
        <v>1821</v>
      </c>
    </row>
    <row r="201" spans="2:3">
      <c r="B201" s="265" t="s">
        <v>1822</v>
      </c>
      <c r="C201" s="265" t="s">
        <v>1823</v>
      </c>
    </row>
    <row r="202" spans="2:3">
      <c r="B202" s="265" t="s">
        <v>1824</v>
      </c>
      <c r="C202" s="265" t="s">
        <v>1825</v>
      </c>
    </row>
    <row r="203" spans="2:3">
      <c r="B203" s="265" t="s">
        <v>1826</v>
      </c>
      <c r="C203" s="265" t="s">
        <v>1827</v>
      </c>
    </row>
    <row r="204" spans="2:3">
      <c r="B204" s="265" t="s">
        <v>1828</v>
      </c>
      <c r="C204" s="265" t="s">
        <v>1829</v>
      </c>
    </row>
    <row r="205" spans="2:3">
      <c r="B205" s="265" t="s">
        <v>1830</v>
      </c>
      <c r="C205" s="265" t="s">
        <v>1831</v>
      </c>
    </row>
    <row r="206" spans="2:3">
      <c r="B206" s="265" t="s">
        <v>1832</v>
      </c>
      <c r="C206" s="265" t="s">
        <v>1833</v>
      </c>
    </row>
    <row r="207" spans="2:3">
      <c r="B207" s="265" t="s">
        <v>1834</v>
      </c>
      <c r="C207" s="265" t="s">
        <v>1835</v>
      </c>
    </row>
    <row r="208" spans="2:3">
      <c r="B208" s="265" t="s">
        <v>1836</v>
      </c>
      <c r="C208" s="265" t="s">
        <v>1837</v>
      </c>
    </row>
    <row r="209" spans="2:3">
      <c r="B209" s="265" t="s">
        <v>1838</v>
      </c>
      <c r="C209" s="265" t="s">
        <v>1839</v>
      </c>
    </row>
    <row r="210" spans="2:3">
      <c r="B210" s="265" t="s">
        <v>1840</v>
      </c>
      <c r="C210" s="265" t="s">
        <v>1841</v>
      </c>
    </row>
    <row r="211" spans="2:3">
      <c r="B211" s="265" t="s">
        <v>1842</v>
      </c>
      <c r="C211" s="265" t="s">
        <v>1843</v>
      </c>
    </row>
    <row r="212" spans="2:3">
      <c r="B212" s="265" t="s">
        <v>1844</v>
      </c>
      <c r="C212" s="265" t="s">
        <v>1845</v>
      </c>
    </row>
    <row r="213" spans="2:3">
      <c r="B213" s="265" t="s">
        <v>1846</v>
      </c>
      <c r="C213" s="265" t="s">
        <v>1847</v>
      </c>
    </row>
    <row r="214" spans="2:3">
      <c r="B214" s="265" t="s">
        <v>1848</v>
      </c>
      <c r="C214" s="265" t="s">
        <v>1849</v>
      </c>
    </row>
    <row r="215" spans="2:3">
      <c r="B215" s="265" t="s">
        <v>397</v>
      </c>
      <c r="C215" s="265" t="s">
        <v>398</v>
      </c>
    </row>
    <row r="216" spans="2:3">
      <c r="B216" s="265" t="s">
        <v>1850</v>
      </c>
      <c r="C216" s="265" t="s">
        <v>1851</v>
      </c>
    </row>
    <row r="217" spans="2:3">
      <c r="B217" s="265" t="s">
        <v>1852</v>
      </c>
      <c r="C217" s="265" t="s">
        <v>1853</v>
      </c>
    </row>
    <row r="218" spans="2:3">
      <c r="B218" s="265" t="s">
        <v>1854</v>
      </c>
      <c r="C218" s="265" t="s">
        <v>1855</v>
      </c>
    </row>
    <row r="219" spans="2:3">
      <c r="B219" s="265" t="s">
        <v>1856</v>
      </c>
      <c r="C219" s="265" t="s">
        <v>1857</v>
      </c>
    </row>
    <row r="220" spans="2:3">
      <c r="B220" s="265" t="s">
        <v>1858</v>
      </c>
      <c r="C220" s="265" t="s">
        <v>1859</v>
      </c>
    </row>
    <row r="221" spans="2:3">
      <c r="B221" s="265" t="s">
        <v>1860</v>
      </c>
      <c r="C221" s="265" t="s">
        <v>1861</v>
      </c>
    </row>
    <row r="222" spans="2:3">
      <c r="B222" s="265" t="s">
        <v>1862</v>
      </c>
      <c r="C222" s="265" t="s">
        <v>1863</v>
      </c>
    </row>
    <row r="223" spans="2:3">
      <c r="B223" s="265" t="s">
        <v>1864</v>
      </c>
      <c r="C223" s="265" t="s">
        <v>1865</v>
      </c>
    </row>
    <row r="224" spans="2:3">
      <c r="B224" s="265" t="s">
        <v>1866</v>
      </c>
      <c r="C224" s="265" t="s">
        <v>1867</v>
      </c>
    </row>
    <row r="225" spans="2:3">
      <c r="B225" s="265" t="s">
        <v>541</v>
      </c>
      <c r="C225" s="265" t="s">
        <v>1868</v>
      </c>
    </row>
    <row r="226" spans="2:3">
      <c r="B226" s="265" t="s">
        <v>1869</v>
      </c>
      <c r="C226" s="265" t="s">
        <v>1870</v>
      </c>
    </row>
    <row r="227" spans="2:3">
      <c r="B227" s="265" t="s">
        <v>1871</v>
      </c>
      <c r="C227" s="265" t="s">
        <v>1872</v>
      </c>
    </row>
    <row r="228" spans="2:3">
      <c r="B228" s="265" t="s">
        <v>1873</v>
      </c>
      <c r="C228" s="265" t="s">
        <v>1874</v>
      </c>
    </row>
    <row r="229" spans="2:3">
      <c r="B229" s="265" t="s">
        <v>1875</v>
      </c>
      <c r="C229" s="265" t="s">
        <v>1876</v>
      </c>
    </row>
    <row r="230" spans="2:3">
      <c r="B230" s="265" t="s">
        <v>399</v>
      </c>
      <c r="C230" s="265" t="s">
        <v>1877</v>
      </c>
    </row>
    <row r="231" spans="2:3">
      <c r="B231" s="265" t="s">
        <v>1878</v>
      </c>
      <c r="C231" s="265" t="s">
        <v>1879</v>
      </c>
    </row>
    <row r="232" spans="2:3">
      <c r="B232" s="265" t="s">
        <v>1880</v>
      </c>
      <c r="C232" s="265" t="s">
        <v>1881</v>
      </c>
    </row>
    <row r="233" spans="2:3">
      <c r="B233" s="265" t="s">
        <v>1882</v>
      </c>
      <c r="C233" s="265" t="s">
        <v>1883</v>
      </c>
    </row>
    <row r="234" spans="2:3">
      <c r="B234" s="265" t="s">
        <v>1884</v>
      </c>
      <c r="C234" s="265" t="s">
        <v>1885</v>
      </c>
    </row>
    <row r="235" spans="2:3">
      <c r="B235" s="265" t="s">
        <v>1886</v>
      </c>
      <c r="C235" s="265" t="s">
        <v>1887</v>
      </c>
    </row>
    <row r="236" spans="2:3">
      <c r="B236" s="265" t="s">
        <v>1888</v>
      </c>
      <c r="C236" s="265" t="s">
        <v>1889</v>
      </c>
    </row>
    <row r="237" spans="2:3">
      <c r="B237" s="265" t="s">
        <v>1890</v>
      </c>
      <c r="C237" s="265" t="s">
        <v>1891</v>
      </c>
    </row>
    <row r="238" spans="2:3">
      <c r="B238" s="265" t="s">
        <v>955</v>
      </c>
      <c r="C238" s="265" t="s">
        <v>1892</v>
      </c>
    </row>
    <row r="239" spans="2:3">
      <c r="B239" s="265" t="s">
        <v>1893</v>
      </c>
      <c r="C239" s="265" t="s">
        <v>1894</v>
      </c>
    </row>
    <row r="240" spans="2:3">
      <c r="B240" s="265" t="s">
        <v>1895</v>
      </c>
      <c r="C240" s="265" t="s">
        <v>1896</v>
      </c>
    </row>
    <row r="241" spans="2:3">
      <c r="B241" s="265" t="s">
        <v>1897</v>
      </c>
      <c r="C241" s="265" t="s">
        <v>1898</v>
      </c>
    </row>
    <row r="242" spans="2:3">
      <c r="B242" s="265" t="s">
        <v>1899</v>
      </c>
      <c r="C242" s="265" t="s">
        <v>1900</v>
      </c>
    </row>
    <row r="243" spans="2:3">
      <c r="B243" s="265" t="s">
        <v>1901</v>
      </c>
      <c r="C243" s="265" t="s">
        <v>1902</v>
      </c>
    </row>
    <row r="244" spans="2:3">
      <c r="B244" s="265" t="s">
        <v>1903</v>
      </c>
      <c r="C244" s="265" t="s">
        <v>1904</v>
      </c>
    </row>
    <row r="245" spans="2:3">
      <c r="B245" s="265" t="s">
        <v>1905</v>
      </c>
      <c r="C245" s="265" t="s">
        <v>1906</v>
      </c>
    </row>
    <row r="246" spans="2:3">
      <c r="B246" s="265" t="s">
        <v>1907</v>
      </c>
      <c r="C246" s="265" t="s">
        <v>1908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SFC Report</vt:lpstr>
      <vt:lpstr>Risk Analytics</vt:lpstr>
      <vt:lpstr>Rating</vt:lpstr>
      <vt:lpstr>Sector Allocation</vt:lpstr>
      <vt:lpstr>Industry Breakdown</vt:lpstr>
      <vt:lpstr>Sheet2</vt:lpstr>
      <vt:lpstr>Geneva investment position repo</vt:lpstr>
      <vt:lpstr>Sheet1</vt:lpstr>
      <vt:lpstr>BBG - VaR Data (Sample, Indus )</vt:lpstr>
      <vt:lpstr>BBG - Scenarios (Sample View)</vt:lpstr>
      <vt:lpstr>LQA</vt:lpstr>
      <vt:lpstr>LQA Stress</vt:lpstr>
      <vt:lpstr>FX Rates</vt:lpstr>
      <vt:lpstr>Liquidity Bucket</vt:lpstr>
      <vt:lpstr>Rating Scale</vt:lpstr>
      <vt:lpstr>SFC Classifcation</vt:lpstr>
      <vt:lpstr>Trustee Discrepancy</vt:lpstr>
      <vt:lpstr>SFC Reference</vt:lpstr>
      <vt:lpstr>Enchancement</vt:lpstr>
      <vt:lpstr>Country_Code</vt:lpstr>
      <vt:lpstr>'Risk Analytics'!Print_Area</vt:lpstr>
      <vt:lpstr>'SFC Report'!Print_Area</vt:lpstr>
      <vt:lpstr>'Risk Analytics'!Print_Titles</vt:lpstr>
      <vt:lpstr>'SFC Report'!Print_Titles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2020-05-23T05:38:44Z</dcterms:modified>
</cp:coreProperties>
</file>